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0" yWindow="3900" windowWidth="19420" windowHeight="7130" tabRatio="718" firstSheet="4" activeTab="16"/>
  </bookViews>
  <sheets>
    <sheet name="прил2 дох 2019-2021 " sheetId="4" state="hidden" r:id="rId1"/>
    <sheet name="прил4 дох 2020 21" sheetId="6" state="hidden" r:id="rId2"/>
    <sheet name="прил2 дох 2021-2023.." sheetId="27" state="hidden" r:id="rId3"/>
    <sheet name="прил2 дох 2020-2022." sheetId="15" state="hidden" r:id="rId4"/>
    <sheet name="прил 5 2021-2023." sheetId="22" r:id="rId5"/>
    <sheet name="прил 5 2020-2022" sheetId="21" state="hidden" r:id="rId6"/>
    <sheet name="прил 5 2019-2021 " sheetId="11" state="hidden" r:id="rId7"/>
    <sheet name="прил 7 2017 " sheetId="5" state="hidden" r:id="rId8"/>
    <sheet name="прил 6 2020 2021" sheetId="13" state="hidden" r:id="rId9"/>
    <sheet name="прил 8 2018 2019" sheetId="1" state="hidden" r:id="rId10"/>
    <sheet name="прил 6 2019-2021" sheetId="12" state="hidden" r:id="rId11"/>
    <sheet name="прил 9 2017 " sheetId="3" state="hidden" r:id="rId12"/>
    <sheet name="прил 8 2020-21" sheetId="14" state="hidden" r:id="rId13"/>
    <sheet name="прил 10 2018-19" sheetId="2" state="hidden" r:id="rId14"/>
    <sheet name="прил 6 2020-2022" sheetId="20" state="hidden" r:id="rId15"/>
    <sheet name="прил 6 2019-2021." sheetId="17" state="hidden" r:id="rId16"/>
    <sheet name="прил 6 2021-2023.." sheetId="28" r:id="rId17"/>
    <sheet name="прил8 2021-2022." sheetId="35" r:id="rId18"/>
    <sheet name="прил 6 2020-2022." sheetId="23" state="hidden" r:id="rId19"/>
    <sheet name="прил 7 2020-2022" sheetId="16" state="hidden" r:id="rId20"/>
    <sheet name="прил8 2020-2022 " sheetId="7" state="hidden" r:id="rId21"/>
    <sheet name="прил 13 " sheetId="8" state="hidden" r:id="rId22"/>
    <sheet name="прил 10 2020-2022" sheetId="9" state="hidden" r:id="rId23"/>
    <sheet name="прил 10 2020-2022." sheetId="26" state="hidden" r:id="rId24"/>
    <sheet name="прил 7 2020-2022." sheetId="30" state="hidden" r:id="rId25"/>
    <sheet name="прил 7 2021-2023." sheetId="34" state="hidden" r:id="rId26"/>
    <sheet name="прил 7 2021-2023" sheetId="31" state="hidden" r:id="rId27"/>
    <sheet name="прил8 2021-2022" sheetId="32" state="hidden" r:id="rId28"/>
    <sheet name="прил 10 2021-2023.." sheetId="29" state="hidden" r:id="rId29"/>
    <sheet name="прил 6 2019-2021. (2)" sheetId="18" state="hidden" r:id="rId30"/>
  </sheets>
  <definedNames>
    <definedName name="_xlnm._FilterDatabase" localSheetId="13" hidden="1">'прил 10 2018-19'!$A$20:$V$316</definedName>
    <definedName name="_xlnm._FilterDatabase" localSheetId="22" hidden="1">'прил 10 2020-2022'!#REF!</definedName>
    <definedName name="_xlnm._FilterDatabase" localSheetId="6" hidden="1">'прил 5 2019-2021 '!$A$189:$IV$299</definedName>
    <definedName name="_xlnm._FilterDatabase" localSheetId="5" hidden="1">'прил 5 2020-2022'!$A$189:$IV$305</definedName>
    <definedName name="_xlnm._FilterDatabase" localSheetId="4" hidden="1">'прил 5 2021-2023.'!$A$195:$IV$350</definedName>
    <definedName name="_xlnm._FilterDatabase" localSheetId="10" hidden="1">'прил 6 2019-2021'!$A$17:$T$361</definedName>
    <definedName name="_xlnm._FilterDatabase" localSheetId="15" hidden="1">'прил 6 2019-2021.'!$A$17:$T$361</definedName>
    <definedName name="_xlnm._FilterDatabase" localSheetId="29" hidden="1">'прил 6 2019-2021. (2)'!$A$17:$T$361</definedName>
    <definedName name="_xlnm._FilterDatabase" localSheetId="8" hidden="1">'прил 6 2020 2021'!$A$189:$IW$189</definedName>
    <definedName name="_xlnm._FilterDatabase" localSheetId="14" hidden="1">'прил 6 2020-2022'!$A$21:$AH$21</definedName>
    <definedName name="_xlnm._FilterDatabase" localSheetId="18" hidden="1">'прил 6 2020-2022.'!$A$55:$AA$55</definedName>
    <definedName name="_xlnm._FilterDatabase" localSheetId="16" hidden="1">'прил 6 2021-2023..'!$A$61:$AA$61</definedName>
    <definedName name="_xlnm._FilterDatabase" localSheetId="7" hidden="1">'прил 7 2017 '!$A$188:$WWF$188</definedName>
    <definedName name="_xlnm._FilterDatabase" localSheetId="9" hidden="1">'прил 8 2018 2019'!$A$189:$IW$189</definedName>
    <definedName name="_xlnm._FilterDatabase" localSheetId="12" hidden="1">'прил 8 2020-21'!$A$20:$V$323</definedName>
    <definedName name="_xlnm._FilterDatabase" localSheetId="11" hidden="1">'прил 9 2017 '!$A$17:$T$327</definedName>
    <definedName name="_xlnm.Print_Area" localSheetId="13">'прил 10 2018-19'!$A$1:$L$316</definedName>
    <definedName name="_xlnm.Print_Area" localSheetId="22">'прил 10 2020-2022'!$A$17:$M$218</definedName>
    <definedName name="_xlnm.Print_Area" localSheetId="21">'прил 13 '!$A$1:$D$26</definedName>
    <definedName name="_xlnm.Print_Area" localSheetId="6">'прил 5 2019-2021 '!$A$1:$R$545</definedName>
    <definedName name="_xlnm.Print_Area" localSheetId="5">'прил 5 2020-2022'!$A$1:$R$586</definedName>
    <definedName name="_xlnm.Print_Area" localSheetId="4">'прил 5 2021-2023.'!$A$1:$W$727</definedName>
    <definedName name="_xlnm.Print_Area" localSheetId="10">'прил 6 2019-2021'!$A$1:$Y$382</definedName>
    <definedName name="_xlnm.Print_Area" localSheetId="15">'прил 6 2019-2021.'!$A$1:$U$382</definedName>
    <definedName name="_xlnm.Print_Area" localSheetId="29">'прил 6 2019-2021. (2)'!$A$1:$U$382</definedName>
    <definedName name="_xlnm.Print_Area" localSheetId="8">'прил 6 2020 2021'!$A$1:$P$498</definedName>
    <definedName name="_xlnm.Print_Area" localSheetId="14">'прил 6 2020-2022'!$A$1:$U$442</definedName>
    <definedName name="_xlnm.Print_Area" localSheetId="18">'прил 6 2020-2022.'!$A$1:$U$507</definedName>
    <definedName name="_xlnm.Print_Area" localSheetId="16">'прил 6 2021-2023..'!$A$1:$U$576</definedName>
    <definedName name="_xlnm.Print_Area" localSheetId="7">'прил 7 2017 '!$A$1:$O$517</definedName>
    <definedName name="_xlnm.Print_Area" localSheetId="19">'прил 7 2020-2022'!$A$1:$K$30</definedName>
    <definedName name="_xlnm.Print_Area" localSheetId="24">'прил 7 2020-2022.'!$A$1:$K$30</definedName>
    <definedName name="_xlnm.Print_Area" localSheetId="26">'прил 7 2021-2023'!$A$1:$K$30</definedName>
    <definedName name="_xlnm.Print_Area" localSheetId="25">'прил 7 2021-2023.'!$A$1:$K$30</definedName>
    <definedName name="_xlnm.Print_Area" localSheetId="9">'прил 8 2018 2019'!$A$1:$P$475</definedName>
    <definedName name="_xlnm.Print_Area" localSheetId="12">'прил 8 2020-21'!$A$1:$L$331</definedName>
    <definedName name="_xlnm.Print_Area" localSheetId="11">'прил 9 2017 '!$A$1:$H$349</definedName>
    <definedName name="_xlnm.Print_Area" localSheetId="0">'прил2 дох 2019-2021 '!$A$1:$Z$122</definedName>
    <definedName name="_xlnm.Print_Area" localSheetId="3">'прил2 дох 2020-2022.'!$A$1:$W$117</definedName>
    <definedName name="_xlnm.Print_Area" localSheetId="2">'прил2 дох 2021-2023..'!$A$1:$W$132</definedName>
    <definedName name="_xlnm.Print_Area" localSheetId="1">'прил4 дох 2020 21'!$A$1:$S$116</definedName>
    <definedName name="_xlnm.Print_Area" localSheetId="20">'прил8 2020-2022 '!$A$1:$J$35</definedName>
    <definedName name="_xlnm.Print_Area" localSheetId="27">'прил8 2021-2022'!$A$1:$J$35</definedName>
    <definedName name="_xlnm.Print_Area" localSheetId="17">'прил8 2021-2022.'!$A$1:$J$42</definedName>
  </definedNames>
  <calcPr calcId="144525"/>
</workbook>
</file>

<file path=xl/calcChain.xml><?xml version="1.0" encoding="utf-8"?>
<calcChain xmlns="http://schemas.openxmlformats.org/spreadsheetml/2006/main">
  <c r="N282" i="28" l="1"/>
  <c r="N404" i="28"/>
  <c r="V341" i="22"/>
  <c r="V648" i="22"/>
  <c r="H204" i="28" l="1"/>
  <c r="N317" i="22"/>
  <c r="N372" i="22"/>
  <c r="H295" i="28"/>
  <c r="H328" i="28"/>
  <c r="N347" i="22"/>
  <c r="N274" i="22"/>
  <c r="H454" i="28"/>
  <c r="N492" i="22" l="1"/>
  <c r="H69" i="28"/>
  <c r="N512" i="22" l="1"/>
  <c r="N513" i="22"/>
  <c r="N615" i="22" l="1"/>
  <c r="H240" i="28"/>
  <c r="H113" i="28"/>
  <c r="N567" i="22"/>
  <c r="W478" i="22"/>
  <c r="V478" i="22"/>
  <c r="W514" i="22"/>
  <c r="W513" i="22" s="1"/>
  <c r="W512" i="22" s="1"/>
  <c r="V514" i="22"/>
  <c r="V513" i="22"/>
  <c r="V512" i="22"/>
  <c r="N514" i="22"/>
  <c r="H79" i="28"/>
  <c r="N488" i="22"/>
  <c r="H561" i="28" l="1"/>
  <c r="H42" i="35" l="1"/>
  <c r="J39" i="35"/>
  <c r="J36" i="35" s="1"/>
  <c r="J35" i="35" s="1"/>
  <c r="I39" i="35"/>
  <c r="H38" i="35"/>
  <c r="H37" i="35" s="1"/>
  <c r="H36" i="35" s="1"/>
  <c r="H35" i="35" s="1"/>
  <c r="I36" i="35"/>
  <c r="I35" i="35"/>
  <c r="J32" i="35"/>
  <c r="I32" i="35"/>
  <c r="J29" i="35"/>
  <c r="I29" i="35"/>
  <c r="H26" i="35"/>
  <c r="H25" i="35" s="1"/>
  <c r="H24" i="35" s="1"/>
  <c r="H23" i="35"/>
  <c r="H22" i="35" l="1"/>
  <c r="N285" i="22"/>
  <c r="N462" i="22"/>
  <c r="H144" i="28"/>
  <c r="H390" i="28"/>
  <c r="N297" i="22" l="1"/>
  <c r="H161" i="28"/>
  <c r="W587" i="22" l="1"/>
  <c r="V587" i="22"/>
  <c r="N587" i="22"/>
  <c r="N572" i="22"/>
  <c r="H115" i="28"/>
  <c r="U174" i="28" l="1"/>
  <c r="N174" i="28"/>
  <c r="W544" i="22"/>
  <c r="V544" i="22"/>
  <c r="W126" i="27"/>
  <c r="V126" i="27"/>
  <c r="I21" i="34" l="1"/>
  <c r="H23" i="34"/>
  <c r="D35" i="29" l="1"/>
  <c r="F38" i="29"/>
  <c r="F65" i="29" s="1"/>
  <c r="E35" i="29"/>
  <c r="D66" i="29"/>
  <c r="D22" i="29"/>
  <c r="D39" i="29"/>
  <c r="D38" i="29"/>
  <c r="E23" i="29"/>
  <c r="E66" i="29" s="1"/>
  <c r="E22" i="29"/>
  <c r="E65" i="29" s="1"/>
  <c r="D23" i="29"/>
  <c r="D65" i="29" l="1"/>
  <c r="D67" i="29" s="1"/>
  <c r="U265" i="28"/>
  <c r="N265" i="28"/>
  <c r="H265" i="28"/>
  <c r="N722" i="22"/>
  <c r="H271" i="28"/>
  <c r="N352" i="22"/>
  <c r="H331" i="28"/>
  <c r="H335" i="28"/>
  <c r="N357" i="22"/>
  <c r="N256" i="22"/>
  <c r="H435" i="28"/>
  <c r="H437" i="28"/>
  <c r="N259" i="22"/>
  <c r="N250" i="22"/>
  <c r="H427" i="28"/>
  <c r="N447" i="22"/>
  <c r="H384" i="28"/>
  <c r="N626" i="22"/>
  <c r="H246" i="28"/>
  <c r="N337" i="22"/>
  <c r="H279" i="28"/>
  <c r="U240" i="28"/>
  <c r="W615" i="22"/>
  <c r="V626" i="22"/>
  <c r="N246" i="28"/>
  <c r="V567" i="22"/>
  <c r="N113" i="28"/>
  <c r="H189" i="28"/>
  <c r="V196" i="22"/>
  <c r="K56" i="27"/>
  <c r="K100" i="27"/>
  <c r="K87" i="27"/>
  <c r="V300" i="22"/>
  <c r="U200" i="28"/>
  <c r="U199" i="28" s="1"/>
  <c r="H200" i="28"/>
  <c r="H199" i="28" s="1"/>
  <c r="N189" i="28"/>
  <c r="N200" i="28"/>
  <c r="N199" i="28" s="1"/>
  <c r="W341" i="22"/>
  <c r="U282" i="28"/>
  <c r="N341" i="22"/>
  <c r="H282" i="28"/>
  <c r="H274" i="28" s="1"/>
  <c r="N246" i="22"/>
  <c r="H424" i="28"/>
  <c r="N544" i="22"/>
  <c r="H174" i="28"/>
  <c r="K126" i="27"/>
  <c r="V112" i="27"/>
  <c r="K112" i="27"/>
  <c r="K115" i="27"/>
  <c r="E5" i="29" l="1"/>
  <c r="H5" i="34"/>
  <c r="J19" i="34" l="1"/>
  <c r="J25" i="34" s="1"/>
  <c r="J20" i="34"/>
  <c r="J22" i="34"/>
  <c r="I22" i="34"/>
  <c r="H22" i="34"/>
  <c r="H20" i="34"/>
  <c r="I20" i="34"/>
  <c r="I19" i="34"/>
  <c r="I25" i="34" s="1"/>
  <c r="H19" i="34" l="1"/>
  <c r="H25" i="34" s="1"/>
  <c r="X108" i="27"/>
  <c r="T410" i="28"/>
  <c r="S410" i="28"/>
  <c r="R410" i="28"/>
  <c r="Q410" i="28"/>
  <c r="P410" i="28"/>
  <c r="O410" i="28"/>
  <c r="U416" i="28" l="1"/>
  <c r="T416" i="28"/>
  <c r="S416" i="28"/>
  <c r="R416" i="28"/>
  <c r="Q416" i="28"/>
  <c r="P416" i="28"/>
  <c r="O416" i="28"/>
  <c r="N416" i="28"/>
  <c r="H416" i="28"/>
  <c r="U423" i="28"/>
  <c r="U422" i="28"/>
  <c r="U421" i="28"/>
  <c r="N423" i="28"/>
  <c r="N422" i="28" s="1"/>
  <c r="N421" i="28"/>
  <c r="H421" i="28"/>
  <c r="H423" i="28"/>
  <c r="H422" i="28" s="1"/>
  <c r="U426" i="28"/>
  <c r="U425" i="28"/>
  <c r="N426" i="28"/>
  <c r="N425" i="28" s="1"/>
  <c r="H426" i="28"/>
  <c r="H425" i="28" s="1"/>
  <c r="N229" i="22"/>
  <c r="W251" i="22"/>
  <c r="V251" i="22"/>
  <c r="N251" i="22"/>
  <c r="W242" i="22"/>
  <c r="V242" i="22"/>
  <c r="N242" i="22"/>
  <c r="W245" i="22"/>
  <c r="W244" i="22" s="1"/>
  <c r="W243" i="22" s="1"/>
  <c r="V245" i="22"/>
  <c r="V244" i="22" s="1"/>
  <c r="V243" i="22" s="1"/>
  <c r="N245" i="22"/>
  <c r="N244" i="22" s="1"/>
  <c r="N243" i="22" s="1"/>
  <c r="W249" i="22"/>
  <c r="W248" i="22" s="1"/>
  <c r="W247" i="22" s="1"/>
  <c r="V249" i="22"/>
  <c r="V248" i="22" s="1"/>
  <c r="V247" i="22" s="1"/>
  <c r="N249" i="22"/>
  <c r="N248" i="22" s="1"/>
  <c r="N247" i="22" s="1"/>
  <c r="W692" i="22" l="1"/>
  <c r="V695" i="22"/>
  <c r="N134" i="28"/>
  <c r="N695" i="22"/>
  <c r="H134" i="28"/>
  <c r="H21" i="31"/>
  <c r="N698" i="22"/>
  <c r="H136" i="28"/>
  <c r="V125" i="27"/>
  <c r="V108" i="27" s="1"/>
  <c r="K125" i="27"/>
  <c r="K108" i="27" s="1"/>
  <c r="T141" i="28" l="1"/>
  <c r="S141" i="28"/>
  <c r="R141" i="28"/>
  <c r="Q141" i="28"/>
  <c r="P141" i="28"/>
  <c r="O141" i="28"/>
  <c r="U140" i="28"/>
  <c r="T140" i="28"/>
  <c r="T139" i="28" s="1"/>
  <c r="S140" i="28"/>
  <c r="R140" i="28"/>
  <c r="R139" i="28" s="1"/>
  <c r="Q140" i="28"/>
  <c r="Q139" i="28" s="1"/>
  <c r="P140" i="28"/>
  <c r="P139" i="28" s="1"/>
  <c r="O140" i="28"/>
  <c r="N140" i="28"/>
  <c r="S139" i="28"/>
  <c r="O139" i="28"/>
  <c r="H140" i="28"/>
  <c r="W626" i="22"/>
  <c r="U246" i="28"/>
  <c r="N511" i="22"/>
  <c r="H77" i="28"/>
  <c r="I19" i="31" l="1"/>
  <c r="H19" i="31"/>
  <c r="I20" i="31"/>
  <c r="H20" i="31"/>
  <c r="W326" i="22" l="1"/>
  <c r="U211" i="28"/>
  <c r="U189" i="28" s="1"/>
  <c r="W196" i="22" l="1"/>
  <c r="W610" i="22"/>
  <c r="W609" i="22" s="1"/>
  <c r="W608" i="22" s="1"/>
  <c r="V610" i="22"/>
  <c r="V609" i="22" s="1"/>
  <c r="V608" i="22" s="1"/>
  <c r="N496" i="22"/>
  <c r="U323" i="28"/>
  <c r="N323" i="28"/>
  <c r="U363" i="28"/>
  <c r="U362" i="28" s="1"/>
  <c r="U361" i="28" s="1"/>
  <c r="U360" i="28" s="1"/>
  <c r="H363" i="28"/>
  <c r="H362" i="28" s="1"/>
  <c r="H361" i="28" s="1"/>
  <c r="H360" i="28" s="1"/>
  <c r="N363" i="28"/>
  <c r="N362" i="28" s="1"/>
  <c r="N361" i="28" s="1"/>
  <c r="N360" i="28" s="1"/>
  <c r="T554" i="28"/>
  <c r="S554" i="28"/>
  <c r="R554" i="28"/>
  <c r="Q554" i="28"/>
  <c r="P554" i="28"/>
  <c r="O554" i="28"/>
  <c r="U558" i="28"/>
  <c r="T558" i="28"/>
  <c r="S558" i="28"/>
  <c r="R558" i="28"/>
  <c r="Q558" i="28"/>
  <c r="P558" i="28"/>
  <c r="O558" i="28"/>
  <c r="N558" i="28"/>
  <c r="H563" i="28"/>
  <c r="H91" i="28"/>
  <c r="U68" i="28"/>
  <c r="N68" i="28"/>
  <c r="H68" i="28"/>
  <c r="U398" i="28"/>
  <c r="U397" i="28" s="1"/>
  <c r="N398" i="28"/>
  <c r="N397" i="28" s="1"/>
  <c r="H291" i="28"/>
  <c r="H154" i="28"/>
  <c r="N154" i="28"/>
  <c r="U154" i="28"/>
  <c r="T149" i="28" l="1"/>
  <c r="T137" i="28" s="1"/>
  <c r="S149" i="28"/>
  <c r="S137" i="28" s="1"/>
  <c r="O149" i="28"/>
  <c r="O137" i="28" s="1"/>
  <c r="R149" i="28"/>
  <c r="R137" i="28" s="1"/>
  <c r="P149" i="28"/>
  <c r="P137" i="28" s="1"/>
  <c r="Q149" i="28"/>
  <c r="Q137" i="28" s="1"/>
  <c r="J34" i="32" l="1"/>
  <c r="I34" i="32"/>
  <c r="I31" i="32" s="1"/>
  <c r="I30" i="32" s="1"/>
  <c r="H36" i="32"/>
  <c r="J31" i="32"/>
  <c r="J30" i="32" s="1"/>
  <c r="J27" i="32"/>
  <c r="I27" i="32"/>
  <c r="J24" i="32"/>
  <c r="I24" i="32"/>
  <c r="H21" i="32"/>
  <c r="H20" i="32"/>
  <c r="H19" i="32" s="1"/>
  <c r="H18" i="32"/>
  <c r="H33" i="32" l="1"/>
  <c r="H32" i="32" s="1"/>
  <c r="H31" i="32" s="1"/>
  <c r="H30" i="32" s="1"/>
  <c r="H17" i="32" s="1"/>
  <c r="J22" i="31" l="1"/>
  <c r="I22" i="31"/>
  <c r="H22" i="31"/>
  <c r="H25" i="31"/>
  <c r="J20" i="31"/>
  <c r="J19" i="31" s="1"/>
  <c r="J25" i="31" s="1"/>
  <c r="I25" i="31"/>
  <c r="L108" i="27" l="1"/>
  <c r="W57" i="27"/>
  <c r="V57" i="27"/>
  <c r="V40" i="27"/>
  <c r="N648" i="22" l="1"/>
  <c r="N580" i="22" s="1"/>
  <c r="H404" i="28"/>
  <c r="H314" i="28" l="1"/>
  <c r="W717" i="22" l="1"/>
  <c r="W716" i="22" s="1"/>
  <c r="V717" i="22"/>
  <c r="V716" i="22" s="1"/>
  <c r="N717" i="22"/>
  <c r="N716" i="22" s="1"/>
  <c r="U321" i="28"/>
  <c r="N321" i="28"/>
  <c r="H321" i="28"/>
  <c r="W714" i="22"/>
  <c r="W713" i="22" s="1"/>
  <c r="W712" i="22" s="1"/>
  <c r="V714" i="22"/>
  <c r="V713" i="22" s="1"/>
  <c r="V712" i="22" s="1"/>
  <c r="W580" i="22"/>
  <c r="V580" i="22"/>
  <c r="N714" i="22"/>
  <c r="N713" i="22" s="1"/>
  <c r="N712" i="22" s="1"/>
  <c r="U314" i="28"/>
  <c r="N314" i="28"/>
  <c r="U319" i="28"/>
  <c r="U318" i="28" s="1"/>
  <c r="N319" i="28"/>
  <c r="N318" i="28" s="1"/>
  <c r="H319" i="28"/>
  <c r="H318" i="28" s="1"/>
  <c r="W710" i="22" l="1"/>
  <c r="W709" i="22" s="1"/>
  <c r="W708" i="22" s="1"/>
  <c r="V710" i="22"/>
  <c r="V709" i="22" s="1"/>
  <c r="V708" i="22" s="1"/>
  <c r="U310" i="28"/>
  <c r="U309" i="28" s="1"/>
  <c r="N310" i="28"/>
  <c r="N309" i="28" s="1"/>
  <c r="H310" i="28"/>
  <c r="F45" i="29" l="1"/>
  <c r="F57" i="29"/>
  <c r="D57" i="29"/>
  <c r="F54" i="29"/>
  <c r="D54" i="29"/>
  <c r="F51" i="29"/>
  <c r="D51" i="29"/>
  <c r="D48" i="29"/>
  <c r="F48" i="29"/>
  <c r="E48" i="29"/>
  <c r="E51" i="29"/>
  <c r="E57" i="29"/>
  <c r="E45" i="29" l="1"/>
  <c r="N710" i="22" l="1"/>
  <c r="N709" i="22" s="1"/>
  <c r="N708" i="22" s="1"/>
  <c r="H316" i="28"/>
  <c r="H315" i="28" s="1"/>
  <c r="H398" i="28"/>
  <c r="H397" i="28" s="1"/>
  <c r="N640" i="22"/>
  <c r="N639" i="22" s="1"/>
  <c r="N638" i="22" s="1"/>
  <c r="W640" i="22"/>
  <c r="W639" i="22" s="1"/>
  <c r="W638" i="22" s="1"/>
  <c r="V640" i="22"/>
  <c r="V639" i="22" s="1"/>
  <c r="V638" i="22" s="1"/>
  <c r="W358" i="22" l="1"/>
  <c r="V358" i="22"/>
  <c r="U283" i="28"/>
  <c r="N283" i="28"/>
  <c r="W496" i="22" l="1"/>
  <c r="V496" i="22"/>
  <c r="U503" i="28" l="1"/>
  <c r="N503" i="28"/>
  <c r="H503" i="28"/>
  <c r="W215" i="22"/>
  <c r="V215" i="22"/>
  <c r="U394" i="28" l="1"/>
  <c r="T394" i="28"/>
  <c r="S394" i="28"/>
  <c r="R394" i="28"/>
  <c r="Q394" i="28"/>
  <c r="P394" i="28"/>
  <c r="O394" i="28"/>
  <c r="N394" i="28"/>
  <c r="H395" i="28"/>
  <c r="H394" i="28" s="1"/>
  <c r="N610" i="22"/>
  <c r="N609" i="22" s="1"/>
  <c r="N608" i="22" s="1"/>
  <c r="H181" i="28"/>
  <c r="H180" i="28" s="1"/>
  <c r="H179" i="28" s="1"/>
  <c r="H178" i="28" s="1"/>
  <c r="H177" i="28"/>
  <c r="H176" i="28"/>
  <c r="U181" i="28"/>
  <c r="U180" i="28" s="1"/>
  <c r="U179" i="28" s="1"/>
  <c r="U178" i="28" s="1"/>
  <c r="H187" i="28"/>
  <c r="N187" i="28"/>
  <c r="U177" i="28"/>
  <c r="W461" i="22"/>
  <c r="W460" i="22" s="1"/>
  <c r="W459" i="22" s="1"/>
  <c r="W458" i="22" s="1"/>
  <c r="W457" i="22" s="1"/>
  <c r="N461" i="22"/>
  <c r="N460" i="22" s="1"/>
  <c r="N459" i="22" s="1"/>
  <c r="N458" i="22" s="1"/>
  <c r="N457" i="22" s="1"/>
  <c r="N456" i="22" s="1"/>
  <c r="N467" i="22"/>
  <c r="N466" i="22" s="1"/>
  <c r="N465" i="22" s="1"/>
  <c r="N464" i="22" s="1"/>
  <c r="N463" i="22" s="1"/>
  <c r="V467" i="22"/>
  <c r="V466" i="22" s="1"/>
  <c r="V465" i="22" s="1"/>
  <c r="V464" i="22" s="1"/>
  <c r="V463" i="22" s="1"/>
  <c r="W467" i="22"/>
  <c r="W466" i="22" s="1"/>
  <c r="W465" i="22" s="1"/>
  <c r="W464" i="22" s="1"/>
  <c r="W463" i="22" s="1"/>
  <c r="O371" i="22"/>
  <c r="P371" i="22"/>
  <c r="Q371" i="22"/>
  <c r="R371" i="22"/>
  <c r="V371" i="22"/>
  <c r="V366" i="22" s="1"/>
  <c r="W371" i="22"/>
  <c r="W366" i="22" s="1"/>
  <c r="N181" i="28"/>
  <c r="N180" i="28" s="1"/>
  <c r="N179" i="28" s="1"/>
  <c r="N178" i="28" s="1"/>
  <c r="U375" i="28"/>
  <c r="U374" i="28" s="1"/>
  <c r="U373" i="28" s="1"/>
  <c r="U372" i="28" s="1"/>
  <c r="U371" i="28" s="1"/>
  <c r="N374" i="28"/>
  <c r="N373" i="28" s="1"/>
  <c r="N372" i="28" s="1"/>
  <c r="N371" i="28" s="1"/>
  <c r="H374" i="28"/>
  <c r="W395" i="22"/>
  <c r="W394" i="22" s="1"/>
  <c r="W393" i="22" s="1"/>
  <c r="W392" i="22"/>
  <c r="V395" i="22"/>
  <c r="V394" i="22" s="1"/>
  <c r="V393" i="22" s="1"/>
  <c r="V392" i="22"/>
  <c r="N395" i="22"/>
  <c r="N394" i="22" s="1"/>
  <c r="N393" i="22" s="1"/>
  <c r="U298" i="28"/>
  <c r="U297" i="28" s="1"/>
  <c r="U296" i="28" s="1"/>
  <c r="N298" i="28"/>
  <c r="N297" i="28" s="1"/>
  <c r="N296" i="28" s="1"/>
  <c r="N371" i="22"/>
  <c r="N185" i="28" l="1"/>
  <c r="N184" i="28" s="1"/>
  <c r="N183" i="28" s="1"/>
  <c r="N186" i="28"/>
  <c r="H185" i="28"/>
  <c r="H184" i="28" s="1"/>
  <c r="H183" i="28" s="1"/>
  <c r="H186" i="28"/>
  <c r="U176" i="28"/>
  <c r="W456" i="22"/>
  <c r="V461" i="22"/>
  <c r="V460" i="22" s="1"/>
  <c r="V459" i="22" s="1"/>
  <c r="V458" i="22" s="1"/>
  <c r="V457" i="22" s="1"/>
  <c r="V456" i="22"/>
  <c r="U187" i="28"/>
  <c r="N176" i="28"/>
  <c r="N177" i="28"/>
  <c r="N392" i="22"/>
  <c r="U185" i="28" l="1"/>
  <c r="U184" i="28" s="1"/>
  <c r="U183" i="28" s="1"/>
  <c r="U186" i="28"/>
  <c r="W122" i="27"/>
  <c r="W108" i="27" s="1"/>
  <c r="V422" i="22" l="1"/>
  <c r="W356" i="22"/>
  <c r="W355" i="22" s="1"/>
  <c r="V356" i="22"/>
  <c r="V354" i="22" s="1"/>
  <c r="V353" i="22" s="1"/>
  <c r="W336" i="22"/>
  <c r="W335" i="22" s="1"/>
  <c r="V336" i="22"/>
  <c r="V335" i="22" s="1"/>
  <c r="W354" i="22" l="1"/>
  <c r="W353" i="22" s="1"/>
  <c r="V355" i="22"/>
  <c r="J22" i="30"/>
  <c r="I22" i="30"/>
  <c r="H22" i="30"/>
  <c r="H21" i="30"/>
  <c r="H20" i="30" s="1"/>
  <c r="H19" i="30" s="1"/>
  <c r="H25" i="30" s="1"/>
  <c r="J20" i="30"/>
  <c r="J19" i="30" s="1"/>
  <c r="J25" i="30" s="1"/>
  <c r="I20" i="30"/>
  <c r="I19" i="30" s="1"/>
  <c r="I25" i="30" s="1"/>
  <c r="V420" i="22" l="1"/>
  <c r="V419" i="22" s="1"/>
  <c r="V410" i="22" l="1"/>
  <c r="V409" i="22" s="1"/>
  <c r="V408" i="22" s="1"/>
  <c r="V407" i="22" s="1"/>
  <c r="V406" i="22" s="1"/>
  <c r="N411" i="22"/>
  <c r="N410" i="22" s="1"/>
  <c r="N409" i="22" s="1"/>
  <c r="N408" i="22" s="1"/>
  <c r="N407" i="22" s="1"/>
  <c r="N406" i="22" s="1"/>
  <c r="W410" i="22" l="1"/>
  <c r="W409" i="22" s="1"/>
  <c r="W408" i="22" s="1"/>
  <c r="W407" i="22" s="1"/>
  <c r="W406" i="22" s="1"/>
  <c r="N405" i="22"/>
  <c r="V405" i="22"/>
  <c r="W405" i="22" l="1"/>
  <c r="W44" i="27" l="1"/>
  <c r="V454" i="22"/>
  <c r="V453" i="22" s="1"/>
  <c r="F37" i="29" l="1"/>
  <c r="E37" i="29"/>
  <c r="F64" i="29" l="1"/>
  <c r="E64" i="29"/>
  <c r="D64" i="29"/>
  <c r="F40" i="29"/>
  <c r="F41" i="29" s="1"/>
  <c r="E40" i="29"/>
  <c r="E41" i="29" s="1"/>
  <c r="D40" i="29"/>
  <c r="F36" i="29"/>
  <c r="F66" i="29" s="1"/>
  <c r="D37" i="29"/>
  <c r="D41" i="29" s="1"/>
  <c r="F34" i="29"/>
  <c r="E34" i="29"/>
  <c r="D34" i="29"/>
  <c r="F31" i="29"/>
  <c r="E31" i="29"/>
  <c r="D31" i="29"/>
  <c r="F28" i="29"/>
  <c r="E28" i="29"/>
  <c r="D28" i="29"/>
  <c r="E67" i="29"/>
  <c r="F24" i="29"/>
  <c r="D24" i="29"/>
  <c r="D21" i="29" l="1"/>
  <c r="F21" i="29"/>
  <c r="E24" i="29"/>
  <c r="F67" i="29" l="1"/>
  <c r="E21" i="29"/>
  <c r="H373" i="28"/>
  <c r="H372" i="28" s="1"/>
  <c r="W422" i="22"/>
  <c r="W421" i="22" s="1"/>
  <c r="W420" i="22" s="1"/>
  <c r="W419" i="22" s="1"/>
  <c r="N479" i="22"/>
  <c r="N478" i="22" s="1"/>
  <c r="N300" i="22" l="1"/>
  <c r="J22" i="16"/>
  <c r="I22" i="16"/>
  <c r="H22" i="16"/>
  <c r="D37" i="26" l="1"/>
  <c r="D21" i="26"/>
  <c r="T400" i="28" l="1"/>
  <c r="S400" i="28"/>
  <c r="R400" i="28"/>
  <c r="Q400" i="28"/>
  <c r="P400" i="28"/>
  <c r="O400" i="28"/>
  <c r="N400" i="28"/>
  <c r="N393" i="28" s="1"/>
  <c r="H400" i="28"/>
  <c r="U401" i="28"/>
  <c r="T401" i="28"/>
  <c r="S401" i="28"/>
  <c r="R401" i="28"/>
  <c r="Q401" i="28"/>
  <c r="P401" i="28"/>
  <c r="O401" i="28"/>
  <c r="N401" i="28"/>
  <c r="H401" i="28"/>
  <c r="W644" i="22"/>
  <c r="W643" i="22" s="1"/>
  <c r="V644" i="22"/>
  <c r="V643" i="22" s="1"/>
  <c r="N644" i="22"/>
  <c r="N643" i="22" s="1"/>
  <c r="N647" i="22"/>
  <c r="N642" i="22" s="1"/>
  <c r="D39" i="26" l="1"/>
  <c r="H278" i="28" l="1"/>
  <c r="H275" i="28" s="1"/>
  <c r="N327" i="22"/>
  <c r="N336" i="22"/>
  <c r="N335" i="22" s="1"/>
  <c r="N422" i="22"/>
  <c r="N421" i="22" s="1"/>
  <c r="N420" i="22" s="1"/>
  <c r="N419" i="22" s="1"/>
  <c r="N454" i="22"/>
  <c r="N356" i="22"/>
  <c r="N355" i="22" s="1"/>
  <c r="U573" i="28" l="1"/>
  <c r="U572" i="28" s="1"/>
  <c r="U571" i="28" s="1"/>
  <c r="U570" i="28" s="1"/>
  <c r="U569" i="28" s="1"/>
  <c r="U568" i="28" s="1"/>
  <c r="U567" i="28"/>
  <c r="N573" i="28"/>
  <c r="N572" i="28" s="1"/>
  <c r="N571" i="28" s="1"/>
  <c r="N570" i="28" s="1"/>
  <c r="N569" i="28" s="1"/>
  <c r="N568" i="28" s="1"/>
  <c r="N567" i="28"/>
  <c r="H573" i="28"/>
  <c r="H572" i="28" s="1"/>
  <c r="H571" i="28" s="1"/>
  <c r="H570" i="28" s="1"/>
  <c r="H569" i="28" s="1"/>
  <c r="H568" i="28" s="1"/>
  <c r="I572" i="28"/>
  <c r="I571" i="28" s="1"/>
  <c r="I570" i="28" s="1"/>
  <c r="I569" i="28" s="1"/>
  <c r="I568" i="28" s="1"/>
  <c r="I567" i="28" s="1"/>
  <c r="J572" i="28"/>
  <c r="J571" i="28" s="1"/>
  <c r="J570" i="28" s="1"/>
  <c r="J569" i="28" s="1"/>
  <c r="J568" i="28" s="1"/>
  <c r="J567" i="28" s="1"/>
  <c r="H567" i="28"/>
  <c r="N566" i="28" l="1"/>
  <c r="U566" i="28"/>
  <c r="H566" i="28"/>
  <c r="K574" i="28"/>
  <c r="L574" i="28" s="1"/>
  <c r="J566" i="28"/>
  <c r="I566" i="28"/>
  <c r="K567" i="28"/>
  <c r="H34" i="7" l="1"/>
  <c r="E38" i="26" l="1"/>
  <c r="E37" i="26"/>
  <c r="U405" i="28" l="1"/>
  <c r="N405" i="28"/>
  <c r="U563" i="28" l="1"/>
  <c r="T563" i="28"/>
  <c r="S563" i="28"/>
  <c r="R563" i="28"/>
  <c r="Q563" i="28"/>
  <c r="P563" i="28"/>
  <c r="O563" i="28"/>
  <c r="N563" i="28"/>
  <c r="M563" i="28"/>
  <c r="L563" i="28"/>
  <c r="K563" i="28"/>
  <c r="J563" i="28"/>
  <c r="I563" i="28"/>
  <c r="U560" i="28"/>
  <c r="T560" i="28"/>
  <c r="S560" i="28"/>
  <c r="R560" i="28"/>
  <c r="Q560" i="28"/>
  <c r="P560" i="28"/>
  <c r="O560" i="28"/>
  <c r="N560" i="28"/>
  <c r="M560" i="28"/>
  <c r="L560" i="28"/>
  <c r="K560" i="28"/>
  <c r="J560" i="28"/>
  <c r="I560" i="28"/>
  <c r="H560" i="28"/>
  <c r="M558" i="28"/>
  <c r="L558" i="28"/>
  <c r="K558" i="28"/>
  <c r="J558" i="28"/>
  <c r="I558" i="28"/>
  <c r="H558" i="28"/>
  <c r="U557" i="28"/>
  <c r="U556" i="28" s="1"/>
  <c r="U555" i="28" s="1"/>
  <c r="N557" i="28"/>
  <c r="N556" i="28" s="1"/>
  <c r="N555" i="28" s="1"/>
  <c r="J557" i="28"/>
  <c r="J556" i="28" s="1"/>
  <c r="J555" i="28" s="1"/>
  <c r="J554" i="28" s="1"/>
  <c r="J553" i="28" s="1"/>
  <c r="I557" i="28"/>
  <c r="I556" i="28"/>
  <c r="I555" i="28" s="1"/>
  <c r="I554" i="28" s="1"/>
  <c r="I553" i="28" s="1"/>
  <c r="U551" i="28"/>
  <c r="T551" i="28"/>
  <c r="S551" i="28"/>
  <c r="R551" i="28"/>
  <c r="Q551" i="28"/>
  <c r="P551" i="28"/>
  <c r="O551" i="28"/>
  <c r="N551" i="28"/>
  <c r="M551" i="28"/>
  <c r="L551" i="28"/>
  <c r="K551" i="28"/>
  <c r="J551" i="28"/>
  <c r="I551" i="28"/>
  <c r="H551" i="28"/>
  <c r="U550" i="28"/>
  <c r="U549" i="28" s="1"/>
  <c r="U548" i="28" s="1"/>
  <c r="U547" i="28" s="1"/>
  <c r="U546" i="28" s="1"/>
  <c r="N550" i="28"/>
  <c r="N549" i="28" s="1"/>
  <c r="N548" i="28" s="1"/>
  <c r="N547" i="28" s="1"/>
  <c r="N546" i="28" s="1"/>
  <c r="H550" i="28"/>
  <c r="H549" i="28" s="1"/>
  <c r="H548" i="28" s="1"/>
  <c r="H547" i="28" s="1"/>
  <c r="H546" i="28" s="1"/>
  <c r="K546" i="28"/>
  <c r="L546" i="28" s="1"/>
  <c r="J544" i="28"/>
  <c r="J543" i="28" s="1"/>
  <c r="J542" i="28" s="1"/>
  <c r="J541" i="28" s="1"/>
  <c r="J540" i="28" s="1"/>
  <c r="I544" i="28"/>
  <c r="I543" i="28" s="1"/>
  <c r="I542" i="28" s="1"/>
  <c r="I541" i="28" s="1"/>
  <c r="I540" i="28" s="1"/>
  <c r="K539" i="28"/>
  <c r="U536" i="28"/>
  <c r="U535" i="28" s="1"/>
  <c r="N536" i="28"/>
  <c r="N535" i="28" s="1"/>
  <c r="J536" i="28"/>
  <c r="J535" i="28" s="1"/>
  <c r="I536" i="28"/>
  <c r="I535" i="28" s="1"/>
  <c r="H536" i="28"/>
  <c r="H535" i="28" s="1"/>
  <c r="U530" i="28"/>
  <c r="U529" i="28" s="1"/>
  <c r="U528" i="28" s="1"/>
  <c r="U527" i="28" s="1"/>
  <c r="N530" i="28"/>
  <c r="N529" i="28" s="1"/>
  <c r="N528" i="28" s="1"/>
  <c r="N527" i="28" s="1"/>
  <c r="H530" i="28"/>
  <c r="H529" i="28" s="1"/>
  <c r="H528" i="28" s="1"/>
  <c r="H527" i="28" s="1"/>
  <c r="U525" i="28"/>
  <c r="N525" i="28"/>
  <c r="H525" i="28"/>
  <c r="U524" i="28"/>
  <c r="N524" i="28"/>
  <c r="H524" i="28"/>
  <c r="J523" i="28"/>
  <c r="J522" i="28" s="1"/>
  <c r="J521" i="28" s="1"/>
  <c r="J520" i="28" s="1"/>
  <c r="J519" i="28" s="1"/>
  <c r="I523" i="28"/>
  <c r="I522" i="28" s="1"/>
  <c r="I521" i="28" s="1"/>
  <c r="I520" i="28" s="1"/>
  <c r="I519" i="28" s="1"/>
  <c r="U514" i="28"/>
  <c r="U513" i="28" s="1"/>
  <c r="U512" i="28" s="1"/>
  <c r="N514" i="28"/>
  <c r="J514" i="28"/>
  <c r="J513" i="28" s="1"/>
  <c r="J512" i="28" s="1"/>
  <c r="I514" i="28"/>
  <c r="I513" i="28" s="1"/>
  <c r="I512" i="28" s="1"/>
  <c r="H514" i="28"/>
  <c r="H513" i="28" s="1"/>
  <c r="H512" i="28" s="1"/>
  <c r="N513" i="28"/>
  <c r="N512" i="28" s="1"/>
  <c r="U510" i="28"/>
  <c r="N510" i="28"/>
  <c r="H510" i="28"/>
  <c r="U509" i="28"/>
  <c r="U508" i="28" s="1"/>
  <c r="U507" i="28" s="1"/>
  <c r="U506" i="28" s="1"/>
  <c r="U505" i="28" s="1"/>
  <c r="N509" i="28"/>
  <c r="J509" i="28"/>
  <c r="J508" i="28" s="1"/>
  <c r="I509" i="28"/>
  <c r="I508" i="28" s="1"/>
  <c r="H509" i="28"/>
  <c r="H508" i="28" s="1"/>
  <c r="H507" i="28" s="1"/>
  <c r="H506" i="28" s="1"/>
  <c r="H505" i="28" s="1"/>
  <c r="N508" i="28"/>
  <c r="N507" i="28" s="1"/>
  <c r="N506" i="28" s="1"/>
  <c r="N505" i="28" s="1"/>
  <c r="U502" i="28"/>
  <c r="T502" i="28"/>
  <c r="S502" i="28"/>
  <c r="R502" i="28"/>
  <c r="Q502" i="28"/>
  <c r="P502" i="28"/>
  <c r="O502" i="28"/>
  <c r="N502" i="28"/>
  <c r="M502" i="28"/>
  <c r="L502" i="28"/>
  <c r="K502" i="28"/>
  <c r="J502" i="28"/>
  <c r="I502" i="28"/>
  <c r="H502" i="28"/>
  <c r="U501" i="28"/>
  <c r="U500" i="28" s="1"/>
  <c r="N501" i="28"/>
  <c r="N500" i="28" s="1"/>
  <c r="H501" i="28"/>
  <c r="H500" i="28" s="1"/>
  <c r="U498" i="28"/>
  <c r="T498" i="28"/>
  <c r="S498" i="28"/>
  <c r="R498" i="28"/>
  <c r="Q498" i="28"/>
  <c r="P498" i="28"/>
  <c r="O498" i="28"/>
  <c r="N498" i="28"/>
  <c r="M498" i="28"/>
  <c r="L498" i="28"/>
  <c r="K498" i="28"/>
  <c r="J498" i="28"/>
  <c r="I498" i="28"/>
  <c r="H498" i="28"/>
  <c r="U497" i="28"/>
  <c r="U496" i="28" s="1"/>
  <c r="U495" i="28" s="1"/>
  <c r="N497" i="28"/>
  <c r="N496" i="28" s="1"/>
  <c r="N495" i="28" s="1"/>
  <c r="J497" i="28"/>
  <c r="J496" i="28" s="1"/>
  <c r="I497" i="28"/>
  <c r="I496" i="28" s="1"/>
  <c r="H497" i="28"/>
  <c r="H496" i="28" s="1"/>
  <c r="H495" i="28" s="1"/>
  <c r="U493" i="28"/>
  <c r="N493" i="28"/>
  <c r="J493" i="28"/>
  <c r="I493" i="28"/>
  <c r="H493" i="28"/>
  <c r="U491" i="28"/>
  <c r="N491" i="28"/>
  <c r="J491" i="28"/>
  <c r="I491" i="28"/>
  <c r="H491" i="28"/>
  <c r="U488" i="28"/>
  <c r="U487" i="28" s="1"/>
  <c r="N488" i="28"/>
  <c r="N487" i="28" s="1"/>
  <c r="J488" i="28"/>
  <c r="J487" i="28" s="1"/>
  <c r="I488" i="28"/>
  <c r="I487" i="28" s="1"/>
  <c r="H488" i="28"/>
  <c r="H487" i="28" s="1"/>
  <c r="U480" i="28"/>
  <c r="U479" i="28" s="1"/>
  <c r="U478" i="28" s="1"/>
  <c r="U477" i="28" s="1"/>
  <c r="U476" i="28" s="1"/>
  <c r="N480" i="28"/>
  <c r="N479" i="28" s="1"/>
  <c r="N478" i="28" s="1"/>
  <c r="N477" i="28" s="1"/>
  <c r="N476" i="28" s="1"/>
  <c r="J480" i="28"/>
  <c r="J479" i="28" s="1"/>
  <c r="J478" i="28" s="1"/>
  <c r="J477" i="28" s="1"/>
  <c r="J476" i="28" s="1"/>
  <c r="I480" i="28"/>
  <c r="I479" i="28" s="1"/>
  <c r="I478" i="28" s="1"/>
  <c r="I477" i="28" s="1"/>
  <c r="I476" i="28" s="1"/>
  <c r="H480" i="28"/>
  <c r="H479" i="28" s="1"/>
  <c r="H478" i="28" s="1"/>
  <c r="H477" i="28" s="1"/>
  <c r="H476" i="28" s="1"/>
  <c r="U472" i="28"/>
  <c r="U471" i="28" s="1"/>
  <c r="U470" i="28" s="1"/>
  <c r="N472" i="28"/>
  <c r="N471" i="28" s="1"/>
  <c r="N470" i="28" s="1"/>
  <c r="H472" i="28"/>
  <c r="H471" i="28" s="1"/>
  <c r="H470" i="28" s="1"/>
  <c r="U468" i="28"/>
  <c r="U467" i="28" s="1"/>
  <c r="U466" i="28" s="1"/>
  <c r="N468" i="28"/>
  <c r="N467" i="28" s="1"/>
  <c r="N466" i="28" s="1"/>
  <c r="J468" i="28"/>
  <c r="J467" i="28" s="1"/>
  <c r="J466" i="28" s="1"/>
  <c r="J465" i="28" s="1"/>
  <c r="J464" i="28" s="1"/>
  <c r="I468" i="28"/>
  <c r="I467" i="28" s="1"/>
  <c r="I466" i="28" s="1"/>
  <c r="I465" i="28" s="1"/>
  <c r="I464" i="28" s="1"/>
  <c r="H468" i="28"/>
  <c r="H467" i="28" s="1"/>
  <c r="H466" i="28" s="1"/>
  <c r="U462" i="28"/>
  <c r="T462" i="28"/>
  <c r="S462" i="28"/>
  <c r="R462" i="28"/>
  <c r="Q462" i="28"/>
  <c r="P462" i="28"/>
  <c r="O462" i="28"/>
  <c r="N462" i="28"/>
  <c r="M462" i="28"/>
  <c r="L462" i="28"/>
  <c r="K462" i="28"/>
  <c r="J462" i="28"/>
  <c r="I462" i="28"/>
  <c r="H462" i="28"/>
  <c r="U461" i="28"/>
  <c r="U460" i="28" s="1"/>
  <c r="U459" i="28" s="1"/>
  <c r="U458" i="28" s="1"/>
  <c r="U457" i="28" s="1"/>
  <c r="N461" i="28"/>
  <c r="J461" i="28"/>
  <c r="J460" i="28" s="1"/>
  <c r="J459" i="28" s="1"/>
  <c r="J458" i="28" s="1"/>
  <c r="J457" i="28" s="1"/>
  <c r="I461" i="28"/>
  <c r="I460" i="28" s="1"/>
  <c r="I459" i="28" s="1"/>
  <c r="I458" i="28" s="1"/>
  <c r="I457" i="28" s="1"/>
  <c r="H461" i="28"/>
  <c r="H460" i="28" s="1"/>
  <c r="H459" i="28" s="1"/>
  <c r="H458" i="28" s="1"/>
  <c r="H457" i="28" s="1"/>
  <c r="N460" i="28"/>
  <c r="N459" i="28" s="1"/>
  <c r="N458" i="28" s="1"/>
  <c r="N457" i="28" s="1"/>
  <c r="U453" i="28"/>
  <c r="T453" i="28"/>
  <c r="S453" i="28"/>
  <c r="R453" i="28"/>
  <c r="Q453" i="28"/>
  <c r="P453" i="28"/>
  <c r="O453" i="28"/>
  <c r="N453" i="28"/>
  <c r="M453" i="28"/>
  <c r="L453" i="28"/>
  <c r="K453" i="28"/>
  <c r="J453" i="28"/>
  <c r="I453" i="28"/>
  <c r="H453" i="28"/>
  <c r="U452" i="28"/>
  <c r="U451" i="28" s="1"/>
  <c r="U450" i="28" s="1"/>
  <c r="U449" i="28" s="1"/>
  <c r="U448" i="28" s="1"/>
  <c r="N452" i="28"/>
  <c r="N451" i="28" s="1"/>
  <c r="N450" i="28" s="1"/>
  <c r="N449" i="28" s="1"/>
  <c r="N448" i="28" s="1"/>
  <c r="H452" i="28"/>
  <c r="H451" i="28" s="1"/>
  <c r="H450" i="28" s="1"/>
  <c r="H449" i="28" s="1"/>
  <c r="H448" i="28" s="1"/>
  <c r="J451" i="28"/>
  <c r="J450" i="28" s="1"/>
  <c r="I451" i="28"/>
  <c r="I450" i="28" s="1"/>
  <c r="J448" i="28"/>
  <c r="J444" i="28" s="1"/>
  <c r="I448" i="28"/>
  <c r="I444" i="28" s="1"/>
  <c r="Z447" i="28"/>
  <c r="U446" i="28"/>
  <c r="T446" i="28"/>
  <c r="S446" i="28"/>
  <c r="R446" i="28"/>
  <c r="Q446" i="28"/>
  <c r="P446" i="28"/>
  <c r="O446" i="28"/>
  <c r="M446" i="28"/>
  <c r="L446" i="28"/>
  <c r="K446" i="28"/>
  <c r="J446" i="28"/>
  <c r="I446" i="28"/>
  <c r="H446" i="28"/>
  <c r="U445" i="28"/>
  <c r="H445" i="28"/>
  <c r="U443" i="28"/>
  <c r="N443" i="28"/>
  <c r="H443" i="28"/>
  <c r="U441" i="28"/>
  <c r="U440" i="28" s="1"/>
  <c r="N441" i="28"/>
  <c r="N440" i="28" s="1"/>
  <c r="J441" i="28"/>
  <c r="I441" i="28"/>
  <c r="H441" i="28"/>
  <c r="H440" i="28" s="1"/>
  <c r="U438" i="28"/>
  <c r="T438" i="28"/>
  <c r="S438" i="28"/>
  <c r="R438" i="28"/>
  <c r="Q438" i="28"/>
  <c r="P438" i="28"/>
  <c r="O438" i="28"/>
  <c r="N438" i="28"/>
  <c r="M438" i="28"/>
  <c r="L438" i="28"/>
  <c r="K438" i="28"/>
  <c r="J438" i="28"/>
  <c r="I438" i="28"/>
  <c r="H438" i="28"/>
  <c r="Z437" i="28"/>
  <c r="U436" i="28"/>
  <c r="T436" i="28"/>
  <c r="S436" i="28"/>
  <c r="R436" i="28"/>
  <c r="Q436" i="28"/>
  <c r="P436" i="28"/>
  <c r="O436" i="28"/>
  <c r="N436" i="28"/>
  <c r="M436" i="28"/>
  <c r="L436" i="28"/>
  <c r="K436" i="28"/>
  <c r="J436" i="28"/>
  <c r="I436" i="28"/>
  <c r="H436" i="28"/>
  <c r="U434" i="28"/>
  <c r="T434" i="28"/>
  <c r="S434" i="28"/>
  <c r="R434" i="28"/>
  <c r="Q434" i="28"/>
  <c r="P434" i="28"/>
  <c r="O434" i="28"/>
  <c r="N434" i="28"/>
  <c r="M434" i="28"/>
  <c r="L434" i="28"/>
  <c r="K434" i="28"/>
  <c r="J434" i="28"/>
  <c r="I434" i="28"/>
  <c r="H434" i="28"/>
  <c r="N433" i="28"/>
  <c r="J433" i="28"/>
  <c r="J432" i="28" s="1"/>
  <c r="J431" i="28" s="1"/>
  <c r="J430" i="28" s="1"/>
  <c r="I433" i="28"/>
  <c r="I432" i="28" s="1"/>
  <c r="I431" i="28" s="1"/>
  <c r="I430" i="28" s="1"/>
  <c r="H433" i="28"/>
  <c r="H432" i="28"/>
  <c r="H431" i="28" s="1"/>
  <c r="H430" i="28" s="1"/>
  <c r="K430" i="28"/>
  <c r="U419" i="28"/>
  <c r="T419" i="28"/>
  <c r="S419" i="28"/>
  <c r="R419" i="28"/>
  <c r="Q419" i="28"/>
  <c r="P419" i="28"/>
  <c r="O419" i="28"/>
  <c r="N419" i="28"/>
  <c r="M419" i="28"/>
  <c r="L419" i="28"/>
  <c r="K419" i="28"/>
  <c r="J419" i="28"/>
  <c r="I419" i="28"/>
  <c r="H419" i="28"/>
  <c r="U418" i="28"/>
  <c r="N418" i="28"/>
  <c r="J418" i="28"/>
  <c r="J414" i="28" s="1"/>
  <c r="I418" i="28"/>
  <c r="I414" i="28" s="1"/>
  <c r="H418" i="28"/>
  <c r="U415" i="28"/>
  <c r="N415" i="28"/>
  <c r="H415" i="28"/>
  <c r="U412" i="28"/>
  <c r="U411" i="28" s="1"/>
  <c r="N412" i="28"/>
  <c r="N411" i="28" s="1"/>
  <c r="J412" i="28"/>
  <c r="J411" i="28" s="1"/>
  <c r="I412" i="28"/>
  <c r="I411" i="28" s="1"/>
  <c r="H412" i="28"/>
  <c r="H411" i="28" s="1"/>
  <c r="H405" i="28"/>
  <c r="H393" i="28" s="1"/>
  <c r="U403" i="28"/>
  <c r="T403" i="28"/>
  <c r="S403" i="28"/>
  <c r="R403" i="28"/>
  <c r="Q403" i="28"/>
  <c r="P403" i="28"/>
  <c r="O403" i="28"/>
  <c r="N403" i="28"/>
  <c r="M403" i="28"/>
  <c r="L403" i="28"/>
  <c r="K403" i="28"/>
  <c r="J403" i="28"/>
  <c r="I403" i="28"/>
  <c r="H403" i="28"/>
  <c r="N392" i="28"/>
  <c r="N391" i="28" s="1"/>
  <c r="U389" i="28"/>
  <c r="T389" i="28"/>
  <c r="S389" i="28"/>
  <c r="R389" i="28"/>
  <c r="Q389" i="28"/>
  <c r="P389" i="28"/>
  <c r="O389" i="28"/>
  <c r="N389" i="28"/>
  <c r="M389" i="28"/>
  <c r="L389" i="28"/>
  <c r="K389" i="28"/>
  <c r="J389" i="28"/>
  <c r="I389" i="28"/>
  <c r="H389" i="28"/>
  <c r="U388" i="28"/>
  <c r="N388" i="28"/>
  <c r="H388" i="28"/>
  <c r="H387" i="28" s="1"/>
  <c r="H385" i="28" s="1"/>
  <c r="U383" i="28"/>
  <c r="T383" i="28"/>
  <c r="S383" i="28"/>
  <c r="R383" i="28"/>
  <c r="Q383" i="28"/>
  <c r="P383" i="28"/>
  <c r="O383" i="28"/>
  <c r="N383" i="28"/>
  <c r="M383" i="28"/>
  <c r="L383" i="28"/>
  <c r="K383" i="28"/>
  <c r="J383" i="28"/>
  <c r="I383" i="28"/>
  <c r="U382" i="28"/>
  <c r="U381" i="28" s="1"/>
  <c r="U380" i="28" s="1"/>
  <c r="N382" i="28"/>
  <c r="N381" i="28" s="1"/>
  <c r="N380" i="28" s="1"/>
  <c r="N377" i="28"/>
  <c r="N376" i="28" s="1"/>
  <c r="N370" i="28" s="1"/>
  <c r="H378" i="28"/>
  <c r="U368" i="28"/>
  <c r="N368" i="28"/>
  <c r="H368" i="28"/>
  <c r="U367" i="28"/>
  <c r="U366" i="28" s="1"/>
  <c r="U365" i="28" s="1"/>
  <c r="N367" i="28"/>
  <c r="N366" i="28" s="1"/>
  <c r="N365" i="28" s="1"/>
  <c r="H367" i="28"/>
  <c r="H366" i="28" s="1"/>
  <c r="H365" i="28" s="1"/>
  <c r="U357" i="28"/>
  <c r="U356" i="28" s="1"/>
  <c r="U355" i="28" s="1"/>
  <c r="U354" i="28" s="1"/>
  <c r="N357" i="28"/>
  <c r="N356" i="28" s="1"/>
  <c r="N355" i="28" s="1"/>
  <c r="N354" i="28" s="1"/>
  <c r="H357" i="28"/>
  <c r="H356" i="28" s="1"/>
  <c r="H355" i="28" s="1"/>
  <c r="H354" i="28" s="1"/>
  <c r="H352" i="28"/>
  <c r="H351" i="28" s="1"/>
  <c r="H350" i="28" s="1"/>
  <c r="U349" i="28"/>
  <c r="U348" i="28" s="1"/>
  <c r="N349" i="28"/>
  <c r="N348" i="28" s="1"/>
  <c r="H349" i="28"/>
  <c r="H348" i="28" s="1"/>
  <c r="J348" i="28"/>
  <c r="I348" i="28"/>
  <c r="U344" i="28"/>
  <c r="N344" i="28"/>
  <c r="J344" i="28"/>
  <c r="J343" i="28" s="1"/>
  <c r="I344" i="28"/>
  <c r="H344" i="28"/>
  <c r="U341" i="28"/>
  <c r="N341" i="28"/>
  <c r="J341" i="28"/>
  <c r="I341" i="28"/>
  <c r="H341" i="28"/>
  <c r="U339" i="28"/>
  <c r="N339" i="28"/>
  <c r="J339" i="28"/>
  <c r="I339" i="28"/>
  <c r="H339" i="28"/>
  <c r="U334" i="28"/>
  <c r="N333" i="28"/>
  <c r="J335" i="28"/>
  <c r="J334" i="28" s="1"/>
  <c r="J333" i="28" s="1"/>
  <c r="I335" i="28"/>
  <c r="I334" i="28" s="1"/>
  <c r="I333" i="28" s="1"/>
  <c r="H333" i="28"/>
  <c r="T330" i="28"/>
  <c r="S330" i="28"/>
  <c r="R330" i="28"/>
  <c r="Q330" i="28"/>
  <c r="P330" i="28"/>
  <c r="O330" i="28"/>
  <c r="N330" i="28"/>
  <c r="M330" i="28"/>
  <c r="L330" i="28"/>
  <c r="K330" i="28"/>
  <c r="J330" i="28"/>
  <c r="I330" i="28"/>
  <c r="H330" i="28"/>
  <c r="J329" i="28"/>
  <c r="I329" i="28"/>
  <c r="U327" i="28"/>
  <c r="N327" i="28"/>
  <c r="T327" i="28"/>
  <c r="S327" i="28"/>
  <c r="R327" i="28"/>
  <c r="Q327" i="28"/>
  <c r="P327" i="28"/>
  <c r="O327" i="28"/>
  <c r="M327" i="28"/>
  <c r="L327" i="28"/>
  <c r="K327" i="28"/>
  <c r="J327" i="28"/>
  <c r="I327" i="28"/>
  <c r="H327" i="28"/>
  <c r="J326" i="28"/>
  <c r="J325" i="28" s="1"/>
  <c r="J324" i="28" s="1"/>
  <c r="I326" i="28"/>
  <c r="H326" i="28"/>
  <c r="K324" i="28"/>
  <c r="U312" i="28"/>
  <c r="N312" i="28"/>
  <c r="H312" i="28"/>
  <c r="H311" i="28" s="1"/>
  <c r="H309" i="28" s="1"/>
  <c r="H304" i="28"/>
  <c r="H303" i="28"/>
  <c r="H302" i="28" s="1"/>
  <c r="H301" i="28" s="1"/>
  <c r="H300" i="28"/>
  <c r="H298" i="28" s="1"/>
  <c r="H297" i="28" s="1"/>
  <c r="H296" i="28" s="1"/>
  <c r="J299" i="28"/>
  <c r="J298" i="28" s="1"/>
  <c r="J297" i="28" s="1"/>
  <c r="J296" i="28" s="1"/>
  <c r="I299" i="28"/>
  <c r="I298" i="28" s="1"/>
  <c r="I297" i="28" s="1"/>
  <c r="I296" i="28" s="1"/>
  <c r="U294" i="28"/>
  <c r="T294" i="28"/>
  <c r="S294" i="28"/>
  <c r="R294" i="28"/>
  <c r="Q294" i="28"/>
  <c r="P294" i="28"/>
  <c r="O294" i="28"/>
  <c r="N294" i="28"/>
  <c r="M294" i="28"/>
  <c r="L294" i="28"/>
  <c r="K294" i="28"/>
  <c r="J294" i="28"/>
  <c r="I294" i="28"/>
  <c r="H294" i="28"/>
  <c r="U292" i="28"/>
  <c r="T292" i="28"/>
  <c r="S292" i="28"/>
  <c r="R292" i="28"/>
  <c r="Q292" i="28"/>
  <c r="P292" i="28"/>
  <c r="O292" i="28"/>
  <c r="N292" i="28"/>
  <c r="M292" i="28"/>
  <c r="L292" i="28"/>
  <c r="K292" i="28"/>
  <c r="J292" i="28"/>
  <c r="I292" i="28"/>
  <c r="H292" i="28"/>
  <c r="U291" i="28"/>
  <c r="U290" i="28" s="1"/>
  <c r="N291" i="28"/>
  <c r="N290" i="28" s="1"/>
  <c r="H290" i="28"/>
  <c r="U288" i="28"/>
  <c r="U285" i="28" s="1"/>
  <c r="U284" i="28" s="1"/>
  <c r="N288" i="28"/>
  <c r="N285" i="28" s="1"/>
  <c r="N284" i="28" s="1"/>
  <c r="J288" i="28"/>
  <c r="J285" i="28" s="1"/>
  <c r="J284" i="28" s="1"/>
  <c r="J283" i="28" s="1"/>
  <c r="I288" i="28"/>
  <c r="I285" i="28" s="1"/>
  <c r="I284" i="28" s="1"/>
  <c r="I283" i="28" s="1"/>
  <c r="H288" i="28"/>
  <c r="H287" i="28"/>
  <c r="H285" i="28"/>
  <c r="H284" i="28" s="1"/>
  <c r="K284" i="28"/>
  <c r="AA282" i="28"/>
  <c r="U281" i="28"/>
  <c r="N273" i="28"/>
  <c r="N272" i="28" s="1"/>
  <c r="T281" i="28"/>
  <c r="S281" i="28"/>
  <c r="R281" i="28"/>
  <c r="Q281" i="28"/>
  <c r="P281" i="28"/>
  <c r="O281" i="28"/>
  <c r="M281" i="28"/>
  <c r="L281" i="28"/>
  <c r="K281" i="28"/>
  <c r="J281" i="28"/>
  <c r="I281" i="28"/>
  <c r="H281" i="28"/>
  <c r="H280" i="28"/>
  <c r="U276" i="28"/>
  <c r="T276" i="28"/>
  <c r="S276" i="28"/>
  <c r="R276" i="28"/>
  <c r="Q276" i="28"/>
  <c r="P276" i="28"/>
  <c r="O276" i="28"/>
  <c r="N276" i="28"/>
  <c r="M276" i="28"/>
  <c r="L276" i="28"/>
  <c r="K276" i="28"/>
  <c r="J276" i="28"/>
  <c r="I276" i="28"/>
  <c r="H276" i="28"/>
  <c r="U275" i="28"/>
  <c r="N275" i="28"/>
  <c r="N274" i="28" s="1"/>
  <c r="J275" i="28"/>
  <c r="J274" i="28" s="1"/>
  <c r="J273" i="28" s="1"/>
  <c r="I275" i="28"/>
  <c r="I274" i="28" s="1"/>
  <c r="I273" i="28" s="1"/>
  <c r="H273" i="28"/>
  <c r="K273" i="28"/>
  <c r="U270" i="28"/>
  <c r="T270" i="28"/>
  <c r="S270" i="28"/>
  <c r="R270" i="28"/>
  <c r="Q270" i="28"/>
  <c r="P270" i="28"/>
  <c r="O270" i="28"/>
  <c r="N270" i="28"/>
  <c r="M270" i="28"/>
  <c r="L270" i="28"/>
  <c r="K270" i="28"/>
  <c r="J270" i="28"/>
  <c r="I270" i="28"/>
  <c r="H270" i="28"/>
  <c r="U269" i="28"/>
  <c r="N269" i="28"/>
  <c r="J269" i="28"/>
  <c r="I269" i="28"/>
  <c r="H269" i="28"/>
  <c r="H267" i="28"/>
  <c r="U264" i="28"/>
  <c r="N264" i="28"/>
  <c r="J264" i="28"/>
  <c r="I264" i="28"/>
  <c r="H264" i="28"/>
  <c r="U262" i="28"/>
  <c r="N262" i="28"/>
  <c r="J262" i="28"/>
  <c r="I262" i="28"/>
  <c r="H262" i="28"/>
  <c r="H257" i="28"/>
  <c r="H256" i="28" s="1"/>
  <c r="H255" i="28" s="1"/>
  <c r="H253" i="28"/>
  <c r="H252" i="28" s="1"/>
  <c r="H251" i="28" s="1"/>
  <c r="N245" i="28"/>
  <c r="U245" i="28"/>
  <c r="T245" i="28"/>
  <c r="S245" i="28"/>
  <c r="R245" i="28"/>
  <c r="Q245" i="28"/>
  <c r="P245" i="28"/>
  <c r="O245" i="28"/>
  <c r="M245" i="28"/>
  <c r="L245" i="28"/>
  <c r="K245" i="28"/>
  <c r="J245" i="28"/>
  <c r="I245" i="28"/>
  <c r="H245" i="28"/>
  <c r="U244" i="28"/>
  <c r="J244" i="28"/>
  <c r="I244" i="28"/>
  <c r="H244" i="28"/>
  <c r="U242" i="28"/>
  <c r="T242" i="28"/>
  <c r="S242" i="28"/>
  <c r="R242" i="28"/>
  <c r="Q242" i="28"/>
  <c r="P242" i="28"/>
  <c r="O242" i="28"/>
  <c r="N242" i="28"/>
  <c r="M242" i="28"/>
  <c r="L242" i="28"/>
  <c r="K242" i="28"/>
  <c r="J242" i="28"/>
  <c r="I242" i="28"/>
  <c r="H242" i="28"/>
  <c r="U241" i="28"/>
  <c r="N241" i="28"/>
  <c r="J241" i="28"/>
  <c r="I241" i="28"/>
  <c r="H241" i="28"/>
  <c r="U239" i="28"/>
  <c r="N238" i="28"/>
  <c r="T239" i="28"/>
  <c r="S239" i="28"/>
  <c r="R239" i="28"/>
  <c r="Q239" i="28"/>
  <c r="P239" i="28"/>
  <c r="O239" i="28"/>
  <c r="M239" i="28"/>
  <c r="L239" i="28"/>
  <c r="K239" i="28"/>
  <c r="J239" i="28"/>
  <c r="I239" i="28"/>
  <c r="J238" i="28"/>
  <c r="J237" i="28" s="1"/>
  <c r="J236" i="28" s="1"/>
  <c r="J235" i="28" s="1"/>
  <c r="I238" i="28"/>
  <c r="I237" i="28" s="1"/>
  <c r="I236" i="28" s="1"/>
  <c r="I235" i="28" s="1"/>
  <c r="K237" i="28"/>
  <c r="U233" i="28"/>
  <c r="T233" i="28"/>
  <c r="S233" i="28"/>
  <c r="R233" i="28"/>
  <c r="Q233" i="28"/>
  <c r="P233" i="28"/>
  <c r="O233" i="28"/>
  <c r="N233" i="28"/>
  <c r="M233" i="28"/>
  <c r="L233" i="28"/>
  <c r="K233" i="28"/>
  <c r="J233" i="28"/>
  <c r="I233" i="28"/>
  <c r="H233" i="28"/>
  <c r="U232" i="28"/>
  <c r="U231" i="28" s="1"/>
  <c r="U230" i="28" s="1"/>
  <c r="N232" i="28"/>
  <c r="N231" i="28" s="1"/>
  <c r="N230" i="28" s="1"/>
  <c r="J232" i="28"/>
  <c r="J231" i="28" s="1"/>
  <c r="J230" i="28" s="1"/>
  <c r="I232" i="28"/>
  <c r="I231" i="28" s="1"/>
  <c r="I230" i="28" s="1"/>
  <c r="H232" i="28"/>
  <c r="H231" i="28" s="1"/>
  <c r="H230" i="28" s="1"/>
  <c r="K230" i="28"/>
  <c r="U227" i="28"/>
  <c r="U226" i="28" s="1"/>
  <c r="U225" i="28" s="1"/>
  <c r="U224" i="28" s="1"/>
  <c r="N227" i="28"/>
  <c r="N226" i="28" s="1"/>
  <c r="N225" i="28" s="1"/>
  <c r="N224" i="28" s="1"/>
  <c r="J227" i="28"/>
  <c r="J226" i="28" s="1"/>
  <c r="J225" i="28" s="1"/>
  <c r="J224" i="28" s="1"/>
  <c r="I227" i="28"/>
  <c r="I226" i="28" s="1"/>
  <c r="I225" i="28" s="1"/>
  <c r="I224" i="28" s="1"/>
  <c r="H227" i="28"/>
  <c r="H226" i="28" s="1"/>
  <c r="H225" i="28" s="1"/>
  <c r="H224" i="28" s="1"/>
  <c r="U222" i="28"/>
  <c r="N222" i="28"/>
  <c r="J222" i="28"/>
  <c r="I222" i="28"/>
  <c r="H222" i="28"/>
  <c r="U220" i="28"/>
  <c r="N220" i="28"/>
  <c r="J220" i="28"/>
  <c r="I220" i="28"/>
  <c r="H220" i="28"/>
  <c r="U218" i="28"/>
  <c r="N218" i="28"/>
  <c r="J218" i="28"/>
  <c r="I218" i="28"/>
  <c r="H218" i="28"/>
  <c r="U215" i="28"/>
  <c r="U214" i="28" s="1"/>
  <c r="N215" i="28"/>
  <c r="N214" i="28" s="1"/>
  <c r="J215" i="28"/>
  <c r="J214" i="28" s="1"/>
  <c r="I215" i="28"/>
  <c r="I214" i="28" s="1"/>
  <c r="H215" i="28"/>
  <c r="H214" i="28" s="1"/>
  <c r="U210" i="28"/>
  <c r="T210" i="28"/>
  <c r="S210" i="28"/>
  <c r="R210" i="28"/>
  <c r="Q210" i="28"/>
  <c r="P210" i="28"/>
  <c r="O210" i="28"/>
  <c r="N210" i="28"/>
  <c r="M210" i="28"/>
  <c r="L210" i="28"/>
  <c r="K210" i="28"/>
  <c r="J210" i="28"/>
  <c r="I210" i="28"/>
  <c r="N209" i="28"/>
  <c r="J209" i="28"/>
  <c r="I209" i="28"/>
  <c r="U207" i="28"/>
  <c r="N207" i="28"/>
  <c r="J207" i="28"/>
  <c r="J206" i="28" s="1"/>
  <c r="J205" i="28" s="1"/>
  <c r="I207" i="28"/>
  <c r="I206" i="28" s="1"/>
  <c r="I205" i="28" s="1"/>
  <c r="H207" i="28"/>
  <c r="N203" i="28"/>
  <c r="N202" i="28" s="1"/>
  <c r="U203" i="28"/>
  <c r="H203" i="28"/>
  <c r="H202" i="28" s="1"/>
  <c r="U202" i="28"/>
  <c r="J202" i="28"/>
  <c r="I202" i="28"/>
  <c r="H197" i="28"/>
  <c r="U197" i="28"/>
  <c r="T197" i="28"/>
  <c r="S197" i="28"/>
  <c r="R197" i="28"/>
  <c r="Q197" i="28"/>
  <c r="P197" i="28"/>
  <c r="O197" i="28"/>
  <c r="M197" i="28"/>
  <c r="L197" i="28"/>
  <c r="K197" i="28"/>
  <c r="J197" i="28"/>
  <c r="I197" i="28"/>
  <c r="U196" i="28"/>
  <c r="J196" i="28"/>
  <c r="I196" i="28"/>
  <c r="U194" i="28"/>
  <c r="T194" i="28"/>
  <c r="S194" i="28"/>
  <c r="R194" i="28"/>
  <c r="Q194" i="28"/>
  <c r="P194" i="28"/>
  <c r="O194" i="28"/>
  <c r="N194" i="28"/>
  <c r="M194" i="28"/>
  <c r="L194" i="28"/>
  <c r="K194" i="28"/>
  <c r="J194" i="28"/>
  <c r="I194" i="28"/>
  <c r="H194" i="28"/>
  <c r="U193" i="28"/>
  <c r="N193" i="28"/>
  <c r="J193" i="28"/>
  <c r="I193" i="28"/>
  <c r="H193" i="28"/>
  <c r="K191" i="28"/>
  <c r="U173" i="28"/>
  <c r="H173" i="28"/>
  <c r="T173" i="28"/>
  <c r="S173" i="28"/>
  <c r="R173" i="28"/>
  <c r="Q173" i="28"/>
  <c r="P173" i="28"/>
  <c r="O173" i="28"/>
  <c r="M173" i="28"/>
  <c r="L173" i="28"/>
  <c r="K173" i="28"/>
  <c r="J173" i="28"/>
  <c r="I173" i="28"/>
  <c r="K171" i="28"/>
  <c r="J171" i="28"/>
  <c r="J170" i="28" s="1"/>
  <c r="I171" i="28"/>
  <c r="I170" i="28" s="1"/>
  <c r="J167" i="28"/>
  <c r="I167" i="28"/>
  <c r="H165" i="28"/>
  <c r="H164" i="28" s="1"/>
  <c r="H163" i="28" s="1"/>
  <c r="H162" i="28" s="1"/>
  <c r="U160" i="28"/>
  <c r="T160" i="28"/>
  <c r="S160" i="28"/>
  <c r="R160" i="28"/>
  <c r="Q160" i="28"/>
  <c r="P160" i="28"/>
  <c r="O160" i="28"/>
  <c r="N160" i="28"/>
  <c r="M160" i="28"/>
  <c r="L160" i="28"/>
  <c r="K160" i="28"/>
  <c r="J160" i="28"/>
  <c r="I160" i="28"/>
  <c r="H160" i="28"/>
  <c r="U159" i="28"/>
  <c r="U158" i="28" s="1"/>
  <c r="U157" i="28" s="1"/>
  <c r="U139" i="28" s="1"/>
  <c r="N159" i="28"/>
  <c r="N158" i="28" s="1"/>
  <c r="N157" i="28" s="1"/>
  <c r="N139" i="28" s="1"/>
  <c r="J159" i="28"/>
  <c r="I159" i="28"/>
  <c r="H159" i="28"/>
  <c r="H158" i="28" s="1"/>
  <c r="H157" i="28" s="1"/>
  <c r="H139" i="28" s="1"/>
  <c r="T154" i="28"/>
  <c r="S154" i="28"/>
  <c r="R154" i="28"/>
  <c r="Q154" i="28"/>
  <c r="P154" i="28"/>
  <c r="O154" i="28"/>
  <c r="M154" i="28"/>
  <c r="L154" i="28"/>
  <c r="K154" i="28"/>
  <c r="J154" i="28"/>
  <c r="I154" i="28"/>
  <c r="U153" i="28"/>
  <c r="U152" i="28" s="1"/>
  <c r="N153" i="28"/>
  <c r="N152" i="28" s="1"/>
  <c r="N149" i="28" s="1"/>
  <c r="J153" i="28"/>
  <c r="J152" i="28" s="1"/>
  <c r="I153" i="28"/>
  <c r="I152" i="28" s="1"/>
  <c r="H153" i="28"/>
  <c r="H152" i="28" s="1"/>
  <c r="U147" i="28"/>
  <c r="N147" i="28"/>
  <c r="J147" i="28"/>
  <c r="I147" i="28"/>
  <c r="H147" i="28"/>
  <c r="U145" i="28"/>
  <c r="N145" i="28"/>
  <c r="J145" i="28"/>
  <c r="I145" i="28"/>
  <c r="U143" i="28"/>
  <c r="T143" i="28"/>
  <c r="S143" i="28"/>
  <c r="R143" i="28"/>
  <c r="Q143" i="28"/>
  <c r="P143" i="28"/>
  <c r="O143" i="28"/>
  <c r="N143" i="28"/>
  <c r="M143" i="28"/>
  <c r="L143" i="28"/>
  <c r="K143" i="28"/>
  <c r="J143" i="28"/>
  <c r="I143" i="28"/>
  <c r="H143" i="28"/>
  <c r="U142" i="28"/>
  <c r="N142" i="28"/>
  <c r="J142" i="28"/>
  <c r="I142" i="28"/>
  <c r="H142" i="28"/>
  <c r="K139" i="28"/>
  <c r="U135" i="28"/>
  <c r="T135" i="28"/>
  <c r="S135" i="28"/>
  <c r="R135" i="28"/>
  <c r="Q135" i="28"/>
  <c r="P135" i="28"/>
  <c r="O135" i="28"/>
  <c r="N135" i="28"/>
  <c r="M135" i="28"/>
  <c r="L135" i="28"/>
  <c r="K135" i="28"/>
  <c r="J135" i="28"/>
  <c r="I135" i="28"/>
  <c r="H135" i="28"/>
  <c r="N133" i="28"/>
  <c r="H133" i="28"/>
  <c r="U133" i="28"/>
  <c r="T133" i="28"/>
  <c r="S133" i="28"/>
  <c r="R133" i="28"/>
  <c r="Q133" i="28"/>
  <c r="P133" i="28"/>
  <c r="O133" i="28"/>
  <c r="M133" i="28"/>
  <c r="L133" i="28"/>
  <c r="K133" i="28"/>
  <c r="J133" i="28"/>
  <c r="I133" i="28"/>
  <c r="U132" i="28"/>
  <c r="U131" i="28" s="1"/>
  <c r="U130" i="28" s="1"/>
  <c r="U129" i="28" s="1"/>
  <c r="U128" i="28" s="1"/>
  <c r="U127" i="28" s="1"/>
  <c r="J132" i="28"/>
  <c r="J131" i="28" s="1"/>
  <c r="J130" i="28" s="1"/>
  <c r="J129" i="28" s="1"/>
  <c r="J128" i="28" s="1"/>
  <c r="J127" i="28" s="1"/>
  <c r="I132" i="28"/>
  <c r="I131" i="28" s="1"/>
  <c r="I130" i="28" s="1"/>
  <c r="I129" i="28" s="1"/>
  <c r="I128" i="28" s="1"/>
  <c r="I127" i="28" s="1"/>
  <c r="U124" i="28"/>
  <c r="U119" i="28" s="1"/>
  <c r="U118" i="28" s="1"/>
  <c r="U117" i="28" s="1"/>
  <c r="N124" i="28"/>
  <c r="N119" i="28" s="1"/>
  <c r="N118" i="28" s="1"/>
  <c r="N117" i="28" s="1"/>
  <c r="J124" i="28"/>
  <c r="J119" i="28" s="1"/>
  <c r="J118" i="28" s="1"/>
  <c r="J117" i="28" s="1"/>
  <c r="I124" i="28"/>
  <c r="I119" i="28" s="1"/>
  <c r="I118" i="28" s="1"/>
  <c r="I117" i="28" s="1"/>
  <c r="H124" i="28"/>
  <c r="U122" i="28"/>
  <c r="N122" i="28"/>
  <c r="J122" i="28"/>
  <c r="I122" i="28"/>
  <c r="H122" i="28"/>
  <c r="U120" i="28"/>
  <c r="N120" i="28"/>
  <c r="J120" i="28"/>
  <c r="I120" i="28"/>
  <c r="H120" i="28"/>
  <c r="H119" i="28" s="1"/>
  <c r="H118" i="28" s="1"/>
  <c r="H117" i="28" s="1"/>
  <c r="U114" i="28"/>
  <c r="T114" i="28"/>
  <c r="S114" i="28"/>
  <c r="R114" i="28"/>
  <c r="Q114" i="28"/>
  <c r="P114" i="28"/>
  <c r="O114" i="28"/>
  <c r="N114" i="28"/>
  <c r="H114" i="28"/>
  <c r="U112" i="28"/>
  <c r="T112" i="28"/>
  <c r="S112" i="28"/>
  <c r="R112" i="28"/>
  <c r="Q112" i="28"/>
  <c r="P112" i="28"/>
  <c r="O112" i="28"/>
  <c r="N112" i="28"/>
  <c r="M112" i="28"/>
  <c r="L112" i="28"/>
  <c r="K112" i="28"/>
  <c r="J112" i="28"/>
  <c r="I112" i="28"/>
  <c r="H112" i="28"/>
  <c r="J111" i="28"/>
  <c r="J110" i="28" s="1"/>
  <c r="J109" i="28" s="1"/>
  <c r="J108" i="28" s="1"/>
  <c r="I111" i="28"/>
  <c r="I110" i="28" s="1"/>
  <c r="I109" i="28" s="1"/>
  <c r="I108" i="28" s="1"/>
  <c r="H111" i="28"/>
  <c r="H110" i="28" s="1"/>
  <c r="H109" i="28" s="1"/>
  <c r="H108" i="28" s="1"/>
  <c r="U107" i="28"/>
  <c r="N107" i="28"/>
  <c r="U105" i="28"/>
  <c r="T105" i="28"/>
  <c r="S105" i="28"/>
  <c r="R105" i="28"/>
  <c r="Q105" i="28"/>
  <c r="P105" i="28"/>
  <c r="O105" i="28"/>
  <c r="N105" i="28"/>
  <c r="M105" i="28"/>
  <c r="L105" i="28"/>
  <c r="K105" i="28"/>
  <c r="J105" i="28"/>
  <c r="I105" i="28"/>
  <c r="H105" i="28"/>
  <c r="U104" i="28"/>
  <c r="U103" i="28" s="1"/>
  <c r="U102" i="28" s="1"/>
  <c r="U101" i="28" s="1"/>
  <c r="U100" i="28" s="1"/>
  <c r="N104" i="28"/>
  <c r="N103" i="28" s="1"/>
  <c r="N102" i="28" s="1"/>
  <c r="N101" i="28" s="1"/>
  <c r="N100" i="28" s="1"/>
  <c r="J104" i="28"/>
  <c r="J103" i="28" s="1"/>
  <c r="J102" i="28" s="1"/>
  <c r="J101" i="28" s="1"/>
  <c r="J100" i="28" s="1"/>
  <c r="I104" i="28"/>
  <c r="I103" i="28" s="1"/>
  <c r="I102" i="28" s="1"/>
  <c r="I101" i="28" s="1"/>
  <c r="I100" i="28" s="1"/>
  <c r="H104" i="28"/>
  <c r="H103" i="28" s="1"/>
  <c r="H102" i="28" s="1"/>
  <c r="H101" i="28" s="1"/>
  <c r="H100" i="28" s="1"/>
  <c r="U98" i="28"/>
  <c r="T98" i="28"/>
  <c r="S98" i="28"/>
  <c r="R98" i="28"/>
  <c r="Q98" i="28"/>
  <c r="P98" i="28"/>
  <c r="O98" i="28"/>
  <c r="N98" i="28"/>
  <c r="M98" i="28"/>
  <c r="L98" i="28"/>
  <c r="K98" i="28"/>
  <c r="J98" i="28"/>
  <c r="I98" i="28"/>
  <c r="H98" i="28"/>
  <c r="U97" i="28"/>
  <c r="U96" i="28" s="1"/>
  <c r="U95" i="28" s="1"/>
  <c r="U94" i="28" s="1"/>
  <c r="U93" i="28" s="1"/>
  <c r="N97" i="28"/>
  <c r="N96" i="28" s="1"/>
  <c r="N95" i="28" s="1"/>
  <c r="N94" i="28" s="1"/>
  <c r="N93" i="28" s="1"/>
  <c r="H97" i="28"/>
  <c r="H96" i="28" s="1"/>
  <c r="H95" i="28" s="1"/>
  <c r="H94" i="28" s="1"/>
  <c r="H93" i="28" s="1"/>
  <c r="U91" i="28"/>
  <c r="T91" i="28"/>
  <c r="S91" i="28"/>
  <c r="R91" i="28"/>
  <c r="Q91" i="28"/>
  <c r="P91" i="28"/>
  <c r="O91" i="28"/>
  <c r="N91" i="28"/>
  <c r="M91" i="28"/>
  <c r="L91" i="28"/>
  <c r="K91" i="28"/>
  <c r="J91" i="28"/>
  <c r="I91" i="28"/>
  <c r="U90" i="28"/>
  <c r="U89" i="28" s="1"/>
  <c r="U88" i="28" s="1"/>
  <c r="U87" i="28" s="1"/>
  <c r="U86" i="28" s="1"/>
  <c r="T90" i="28"/>
  <c r="S90" i="28"/>
  <c r="R90" i="28"/>
  <c r="R89" i="28" s="1"/>
  <c r="R88" i="28" s="1"/>
  <c r="R87" i="28" s="1"/>
  <c r="R86" i="28" s="1"/>
  <c r="Q90" i="28"/>
  <c r="Q89" i="28" s="1"/>
  <c r="Q88" i="28" s="1"/>
  <c r="Q87" i="28" s="1"/>
  <c r="Q86" i="28" s="1"/>
  <c r="P90" i="28"/>
  <c r="P89" i="28" s="1"/>
  <c r="P88" i="28" s="1"/>
  <c r="P87" i="28" s="1"/>
  <c r="P86" i="28" s="1"/>
  <c r="O90" i="28"/>
  <c r="O89" i="28" s="1"/>
  <c r="O88" i="28" s="1"/>
  <c r="O87" i="28" s="1"/>
  <c r="O86" i="28" s="1"/>
  <c r="N90" i="28"/>
  <c r="N89" i="28" s="1"/>
  <c r="N88" i="28" s="1"/>
  <c r="N87" i="28" s="1"/>
  <c r="N86" i="28" s="1"/>
  <c r="H90" i="28"/>
  <c r="H89" i="28" s="1"/>
  <c r="H88" i="28" s="1"/>
  <c r="H87" i="28" s="1"/>
  <c r="H86" i="28" s="1"/>
  <c r="T89" i="28"/>
  <c r="T88" i="28" s="1"/>
  <c r="T87" i="28" s="1"/>
  <c r="T86" i="28" s="1"/>
  <c r="S89" i="28"/>
  <c r="S88" i="28" s="1"/>
  <c r="S87" i="28" s="1"/>
  <c r="S86" i="28" s="1"/>
  <c r="K85" i="28"/>
  <c r="K84" i="28" s="1"/>
  <c r="U84" i="28"/>
  <c r="T84" i="28"/>
  <c r="S84" i="28"/>
  <c r="R84" i="28"/>
  <c r="Q84" i="28"/>
  <c r="P84" i="28"/>
  <c r="O84" i="28"/>
  <c r="N84" i="28"/>
  <c r="M84" i="28"/>
  <c r="L84" i="28"/>
  <c r="J84" i="28"/>
  <c r="I84" i="28"/>
  <c r="H84" i="28"/>
  <c r="U83" i="28"/>
  <c r="U82" i="28" s="1"/>
  <c r="U81" i="28" s="1"/>
  <c r="N83" i="28"/>
  <c r="N82" i="28" s="1"/>
  <c r="N81" i="28" s="1"/>
  <c r="J83" i="28"/>
  <c r="J82" i="28" s="1"/>
  <c r="J81" i="28" s="1"/>
  <c r="I83" i="28"/>
  <c r="I82" i="28" s="1"/>
  <c r="I81" i="28" s="1"/>
  <c r="H83" i="28"/>
  <c r="H82" i="28" s="1"/>
  <c r="H81" i="28" s="1"/>
  <c r="U78" i="28"/>
  <c r="N78" i="28"/>
  <c r="J78" i="28"/>
  <c r="I78" i="28"/>
  <c r="H78" i="28"/>
  <c r="U76" i="28"/>
  <c r="T76" i="28"/>
  <c r="S76" i="28"/>
  <c r="R76" i="28"/>
  <c r="Q76" i="28"/>
  <c r="P76" i="28"/>
  <c r="O76" i="28"/>
  <c r="N76" i="28"/>
  <c r="M76" i="28"/>
  <c r="L76" i="28"/>
  <c r="K76" i="28"/>
  <c r="J76" i="28"/>
  <c r="I76" i="28"/>
  <c r="H76" i="28"/>
  <c r="U75" i="28"/>
  <c r="N75" i="28"/>
  <c r="J75" i="28"/>
  <c r="I75" i="28"/>
  <c r="H75" i="28"/>
  <c r="U73" i="28"/>
  <c r="T73" i="28"/>
  <c r="S73" i="28"/>
  <c r="R73" i="28"/>
  <c r="Q73" i="28"/>
  <c r="P73" i="28"/>
  <c r="O73" i="28"/>
  <c r="N73" i="28"/>
  <c r="M73" i="28"/>
  <c r="L73" i="28"/>
  <c r="K73" i="28"/>
  <c r="J73" i="28"/>
  <c r="I73" i="28"/>
  <c r="H73" i="28"/>
  <c r="U72" i="28"/>
  <c r="N72" i="28"/>
  <c r="J72" i="28"/>
  <c r="I72" i="28"/>
  <c r="H72" i="28"/>
  <c r="U70" i="28"/>
  <c r="T70" i="28"/>
  <c r="S70" i="28"/>
  <c r="R70" i="28"/>
  <c r="Q70" i="28"/>
  <c r="P70" i="28"/>
  <c r="O70" i="28"/>
  <c r="N70" i="28"/>
  <c r="M70" i="28"/>
  <c r="L70" i="28"/>
  <c r="K70" i="28"/>
  <c r="J70" i="28"/>
  <c r="I70" i="28"/>
  <c r="H70" i="28"/>
  <c r="K69" i="28"/>
  <c r="K67" i="28"/>
  <c r="U66" i="28"/>
  <c r="T66" i="28"/>
  <c r="S66" i="28"/>
  <c r="R66" i="28"/>
  <c r="Q66" i="28"/>
  <c r="P66" i="28"/>
  <c r="O66" i="28"/>
  <c r="N66" i="28"/>
  <c r="H66" i="28"/>
  <c r="U65" i="28"/>
  <c r="N65" i="28"/>
  <c r="J65" i="28"/>
  <c r="I65" i="28"/>
  <c r="H65" i="28"/>
  <c r="L61" i="28"/>
  <c r="U57" i="28"/>
  <c r="U56" i="28" s="1"/>
  <c r="U55" i="28" s="1"/>
  <c r="U54" i="28" s="1"/>
  <c r="N57" i="28"/>
  <c r="N56" i="28" s="1"/>
  <c r="N55" i="28" s="1"/>
  <c r="N54" i="28" s="1"/>
  <c r="J57" i="28"/>
  <c r="J56" i="28" s="1"/>
  <c r="J55" i="28" s="1"/>
  <c r="J54" i="28" s="1"/>
  <c r="J53" i="28" s="1"/>
  <c r="I57" i="28"/>
  <c r="I56" i="28" s="1"/>
  <c r="I55" i="28" s="1"/>
  <c r="I54" i="28" s="1"/>
  <c r="I53" i="28" s="1"/>
  <c r="H57" i="28"/>
  <c r="H56" i="28" s="1"/>
  <c r="H55" i="28" s="1"/>
  <c r="H54" i="28" s="1"/>
  <c r="J51" i="28"/>
  <c r="J50" i="28" s="1"/>
  <c r="J49" i="28" s="1"/>
  <c r="I51" i="28"/>
  <c r="I50" i="28" s="1"/>
  <c r="I49" i="28" s="1"/>
  <c r="H51" i="28"/>
  <c r="H50" i="28" s="1"/>
  <c r="H49" i="28" s="1"/>
  <c r="J32" i="28"/>
  <c r="J31" i="28" s="1"/>
  <c r="J30" i="28" s="1"/>
  <c r="J29" i="28" s="1"/>
  <c r="J28" i="28" s="1"/>
  <c r="I32" i="28"/>
  <c r="I31" i="28" s="1"/>
  <c r="I30" i="28" s="1"/>
  <c r="I29" i="28" s="1"/>
  <c r="I28" i="28" s="1"/>
  <c r="I18" i="28"/>
  <c r="H64" i="28" l="1"/>
  <c r="U141" i="28"/>
  <c r="N141" i="28"/>
  <c r="I429" i="28"/>
  <c r="N554" i="28"/>
  <c r="N553" i="28" s="1"/>
  <c r="N539" i="28" s="1"/>
  <c r="N538" i="28" s="1"/>
  <c r="N534" i="28" s="1"/>
  <c r="N533" i="28" s="1"/>
  <c r="N532" i="28" s="1"/>
  <c r="U554" i="28"/>
  <c r="U553" i="28" s="1"/>
  <c r="U539" i="28" s="1"/>
  <c r="U149" i="28"/>
  <c r="H557" i="28"/>
  <c r="H556" i="28" s="1"/>
  <c r="H555" i="28" s="1"/>
  <c r="H149" i="28"/>
  <c r="H283" i="28"/>
  <c r="H272" i="28" s="1"/>
  <c r="K61" i="28"/>
  <c r="M61" i="28" s="1"/>
  <c r="H392" i="28"/>
  <c r="K27" i="28"/>
  <c r="K24" i="28" s="1"/>
  <c r="N326" i="28"/>
  <c r="I410" i="28"/>
  <c r="I409" i="28" s="1"/>
  <c r="I408" i="28" s="1"/>
  <c r="I407" i="28" s="1"/>
  <c r="H414" i="28"/>
  <c r="H410" i="28" s="1"/>
  <c r="H409" i="28" s="1"/>
  <c r="H408" i="28" s="1"/>
  <c r="H407" i="28" s="1"/>
  <c r="U111" i="28"/>
  <c r="U110" i="28" s="1"/>
  <c r="U109" i="28" s="1"/>
  <c r="U108" i="28" s="1"/>
  <c r="U326" i="28"/>
  <c r="N111" i="28"/>
  <c r="N110" i="28" s="1"/>
  <c r="N109" i="28" s="1"/>
  <c r="N108" i="28" s="1"/>
  <c r="H141" i="28"/>
  <c r="H138" i="28" s="1"/>
  <c r="I158" i="28"/>
  <c r="I157" i="28" s="1"/>
  <c r="I490" i="28"/>
  <c r="I486" i="28" s="1"/>
  <c r="N237" i="28"/>
  <c r="N236" i="28" s="1"/>
  <c r="N235" i="28" s="1"/>
  <c r="N229" i="28" s="1"/>
  <c r="U209" i="28"/>
  <c r="U206" i="28" s="1"/>
  <c r="U205" i="28" s="1"/>
  <c r="H523" i="28"/>
  <c r="H522" i="28" s="1"/>
  <c r="H521" i="28" s="1"/>
  <c r="H520" i="28" s="1"/>
  <c r="H519" i="28" s="1"/>
  <c r="N244" i="28"/>
  <c r="J192" i="28"/>
  <c r="J191" i="28" s="1"/>
  <c r="J190" i="28" s="1"/>
  <c r="J189" i="28" s="1"/>
  <c r="H465" i="28"/>
  <c r="H464" i="28" s="1"/>
  <c r="H456" i="28" s="1"/>
  <c r="N239" i="28"/>
  <c r="N490" i="28"/>
  <c r="N486" i="28" s="1"/>
  <c r="N485" i="28" s="1"/>
  <c r="N484" i="28" s="1"/>
  <c r="N475" i="28" s="1"/>
  <c r="N523" i="28"/>
  <c r="N522" i="28" s="1"/>
  <c r="N521" i="28" s="1"/>
  <c r="N520" i="28" s="1"/>
  <c r="N519" i="28" s="1"/>
  <c r="J158" i="28"/>
  <c r="J157" i="28" s="1"/>
  <c r="U329" i="28"/>
  <c r="H429" i="28"/>
  <c r="H428" i="28" s="1"/>
  <c r="J490" i="28"/>
  <c r="J486" i="28" s="1"/>
  <c r="N132" i="28"/>
  <c r="N131" i="28" s="1"/>
  <c r="N130" i="28" s="1"/>
  <c r="N129" i="28" s="1"/>
  <c r="N128" i="28" s="1"/>
  <c r="N127" i="28" s="1"/>
  <c r="I141" i="28"/>
  <c r="I140" i="28" s="1"/>
  <c r="J217" i="28"/>
  <c r="J213" i="28" s="1"/>
  <c r="J212" i="28" s="1"/>
  <c r="U238" i="28"/>
  <c r="U237" i="28" s="1"/>
  <c r="U236" i="28" s="1"/>
  <c r="U235" i="28" s="1"/>
  <c r="U229" i="28" s="1"/>
  <c r="N329" i="28"/>
  <c r="N325" i="28" s="1"/>
  <c r="I443" i="28"/>
  <c r="I495" i="28"/>
  <c r="U171" i="28"/>
  <c r="U170" i="28" s="1"/>
  <c r="U169" i="28" s="1"/>
  <c r="U167" i="28" s="1"/>
  <c r="U261" i="28"/>
  <c r="U260" i="28" s="1"/>
  <c r="U259" i="28" s="1"/>
  <c r="U249" i="28" s="1"/>
  <c r="U400" i="28"/>
  <c r="U393" i="28" s="1"/>
  <c r="U392" i="28" s="1"/>
  <c r="U391" i="28" s="1"/>
  <c r="N414" i="28"/>
  <c r="J495" i="28"/>
  <c r="U333" i="28"/>
  <c r="H334" i="28"/>
  <c r="N338" i="28"/>
  <c r="H338" i="28"/>
  <c r="N343" i="28"/>
  <c r="I64" i="28"/>
  <c r="I63" i="28" s="1"/>
  <c r="I62" i="28" s="1"/>
  <c r="I61" i="28" s="1"/>
  <c r="N64" i="28"/>
  <c r="N63" i="28" s="1"/>
  <c r="N62" i="28" s="1"/>
  <c r="N61" i="28" s="1"/>
  <c r="N60" i="28" s="1"/>
  <c r="H63" i="28"/>
  <c r="H62" i="28" s="1"/>
  <c r="H61" i="28" s="1"/>
  <c r="U64" i="28"/>
  <c r="U63" i="28" s="1"/>
  <c r="U62" i="28" s="1"/>
  <c r="U61" i="28" s="1"/>
  <c r="U27" i="28" s="1"/>
  <c r="N261" i="28"/>
  <c r="N260" i="28" s="1"/>
  <c r="N259" i="28" s="1"/>
  <c r="N249" i="28" s="1"/>
  <c r="I338" i="28"/>
  <c r="U338" i="28"/>
  <c r="H377" i="28"/>
  <c r="H376" i="28" s="1"/>
  <c r="H370" i="28" s="1"/>
  <c r="U523" i="28"/>
  <c r="U522" i="28" s="1"/>
  <c r="U521" i="28" s="1"/>
  <c r="U520" i="28" s="1"/>
  <c r="U519" i="28" s="1"/>
  <c r="J64" i="28"/>
  <c r="J63" i="28" s="1"/>
  <c r="J62" i="28" s="1"/>
  <c r="J61" i="28" s="1"/>
  <c r="I192" i="28"/>
  <c r="I191" i="28" s="1"/>
  <c r="I190" i="28" s="1"/>
  <c r="I189" i="28" s="1"/>
  <c r="I229" i="28"/>
  <c r="I325" i="28"/>
  <c r="I324" i="28" s="1"/>
  <c r="U330" i="28"/>
  <c r="J443" i="28"/>
  <c r="N217" i="28"/>
  <c r="N213" i="28" s="1"/>
  <c r="N212" i="28" s="1"/>
  <c r="J229" i="28"/>
  <c r="J338" i="28"/>
  <c r="J337" i="28" s="1"/>
  <c r="J332" i="28" s="1"/>
  <c r="J323" i="28" s="1"/>
  <c r="J410" i="28"/>
  <c r="J409" i="28" s="1"/>
  <c r="J408" i="28" s="1"/>
  <c r="J407" i="28" s="1"/>
  <c r="J539" i="28"/>
  <c r="J538" i="28" s="1"/>
  <c r="J534" i="28" s="1"/>
  <c r="J533" i="28" s="1"/>
  <c r="J532" i="28" s="1"/>
  <c r="J518" i="28" s="1"/>
  <c r="J517" i="28" s="1"/>
  <c r="H250" i="28"/>
  <c r="I456" i="28"/>
  <c r="H171" i="28"/>
  <c r="H170" i="28" s="1"/>
  <c r="H169" i="28" s="1"/>
  <c r="H167" i="28" s="1"/>
  <c r="U274" i="28"/>
  <c r="U273" i="28" s="1"/>
  <c r="U272" i="28" s="1"/>
  <c r="U280" i="28"/>
  <c r="U343" i="28"/>
  <c r="N378" i="28"/>
  <c r="J429" i="28"/>
  <c r="U432" i="28"/>
  <c r="U431" i="28" s="1"/>
  <c r="U430" i="28" s="1"/>
  <c r="U429" i="28" s="1"/>
  <c r="U428" i="28" s="1"/>
  <c r="I539" i="28"/>
  <c r="I538" i="28" s="1"/>
  <c r="I534" i="28" s="1"/>
  <c r="I533" i="28" s="1"/>
  <c r="I532" i="28" s="1"/>
  <c r="I518" i="28" s="1"/>
  <c r="I517" i="28" s="1"/>
  <c r="H107" i="28"/>
  <c r="H196" i="28"/>
  <c r="H192" i="28" s="1"/>
  <c r="H191" i="28" s="1"/>
  <c r="N206" i="28"/>
  <c r="N205" i="28" s="1"/>
  <c r="I217" i="28"/>
  <c r="I213" i="28" s="1"/>
  <c r="I212" i="28" s="1"/>
  <c r="H217" i="28"/>
  <c r="H213" i="28" s="1"/>
  <c r="H212" i="28" s="1"/>
  <c r="U217" i="28"/>
  <c r="U213" i="28" s="1"/>
  <c r="U212" i="28" s="1"/>
  <c r="J261" i="28"/>
  <c r="J260" i="28" s="1"/>
  <c r="J259" i="28" s="1"/>
  <c r="J249" i="28" s="1"/>
  <c r="I261" i="28"/>
  <c r="I260" i="28" s="1"/>
  <c r="I259" i="28" s="1"/>
  <c r="I249" i="28" s="1"/>
  <c r="H261" i="28"/>
  <c r="H260" i="28" s="1"/>
  <c r="H259" i="28" s="1"/>
  <c r="H329" i="28"/>
  <c r="H325" i="28" s="1"/>
  <c r="N334" i="28"/>
  <c r="H386" i="28"/>
  <c r="U414" i="28"/>
  <c r="U433" i="28"/>
  <c r="H343" i="28"/>
  <c r="U465" i="28"/>
  <c r="U464" i="28" s="1"/>
  <c r="U456" i="28" s="1"/>
  <c r="N465" i="28"/>
  <c r="N464" i="28" s="1"/>
  <c r="N456" i="28" s="1"/>
  <c r="J141" i="28"/>
  <c r="J140" i="28" s="1"/>
  <c r="U138" i="28"/>
  <c r="N138" i="28"/>
  <c r="I343" i="28"/>
  <c r="H490" i="28"/>
  <c r="H486" i="28" s="1"/>
  <c r="H485" i="28" s="1"/>
  <c r="H484" i="28" s="1"/>
  <c r="H475" i="28" s="1"/>
  <c r="U490" i="28"/>
  <c r="U486" i="28" s="1"/>
  <c r="U485" i="28" s="1"/>
  <c r="U484" i="28" s="1"/>
  <c r="U475" i="28" s="1"/>
  <c r="I27" i="28"/>
  <c r="J107" i="28"/>
  <c r="J27" i="28"/>
  <c r="I107" i="28"/>
  <c r="I272" i="28"/>
  <c r="H132" i="28"/>
  <c r="H131" i="28" s="1"/>
  <c r="H130" i="28" s="1"/>
  <c r="H129" i="28" s="1"/>
  <c r="H128" i="28" s="1"/>
  <c r="H127" i="28" s="1"/>
  <c r="J272" i="28"/>
  <c r="J456" i="28"/>
  <c r="U192" i="28"/>
  <c r="U191" i="28" s="1"/>
  <c r="H239" i="28"/>
  <c r="H238" i="28"/>
  <c r="H237" i="28" s="1"/>
  <c r="H236" i="28" s="1"/>
  <c r="H235" i="28" s="1"/>
  <c r="H229" i="28" s="1"/>
  <c r="H175" i="28" s="1"/>
  <c r="N446" i="28"/>
  <c r="N445" i="28"/>
  <c r="N432" i="28"/>
  <c r="N431" i="28" s="1"/>
  <c r="N430" i="28" s="1"/>
  <c r="N429" i="28" s="1"/>
  <c r="N428" i="28" s="1"/>
  <c r="H210" i="28"/>
  <c r="H209" i="28"/>
  <c r="H206" i="28" s="1"/>
  <c r="H205" i="28" s="1"/>
  <c r="N173" i="28"/>
  <c r="N171" i="28"/>
  <c r="N170" i="28" s="1"/>
  <c r="N169" i="28" s="1"/>
  <c r="N197" i="28"/>
  <c r="N196" i="28"/>
  <c r="N192" i="28" s="1"/>
  <c r="N191" i="28" s="1"/>
  <c r="N175" i="28"/>
  <c r="N280" i="28"/>
  <c r="N281" i="28"/>
  <c r="H382" i="28"/>
  <c r="H381" i="28" s="1"/>
  <c r="H380" i="28" s="1"/>
  <c r="H383" i="28"/>
  <c r="U377" i="28"/>
  <c r="U376" i="28" s="1"/>
  <c r="U378" i="28"/>
  <c r="H371" i="28"/>
  <c r="U385" i="28"/>
  <c r="U386" i="28"/>
  <c r="N385" i="28"/>
  <c r="N386" i="28"/>
  <c r="U410" i="28" l="1"/>
  <c r="U409" i="28" s="1"/>
  <c r="U408" i="28" s="1"/>
  <c r="U407" i="28" s="1"/>
  <c r="U137" i="28"/>
  <c r="N410" i="28"/>
  <c r="N409" i="28" s="1"/>
  <c r="N408" i="28" s="1"/>
  <c r="N407" i="28" s="1"/>
  <c r="U175" i="28"/>
  <c r="U538" i="28"/>
  <c r="U534" i="28" s="1"/>
  <c r="U533" i="28" s="1"/>
  <c r="U532" i="28" s="1"/>
  <c r="U518" i="28" s="1"/>
  <c r="U517" i="28" s="1"/>
  <c r="H554" i="28"/>
  <c r="H553" i="28" s="1"/>
  <c r="H539" i="28" s="1"/>
  <c r="H538" i="28" s="1"/>
  <c r="H534" i="28" s="1"/>
  <c r="H533" i="28" s="1"/>
  <c r="H532" i="28" s="1"/>
  <c r="H518" i="28" s="1"/>
  <c r="H517" i="28" s="1"/>
  <c r="U168" i="28"/>
  <c r="H137" i="28"/>
  <c r="H391" i="28"/>
  <c r="N518" i="28"/>
  <c r="N517" i="28" s="1"/>
  <c r="N27" i="28"/>
  <c r="N25" i="28" s="1"/>
  <c r="U325" i="28"/>
  <c r="H168" i="28"/>
  <c r="I139" i="28"/>
  <c r="I138" i="28" s="1"/>
  <c r="I137" i="28" s="1"/>
  <c r="J139" i="28"/>
  <c r="J138" i="28" s="1"/>
  <c r="J137" i="28" s="1"/>
  <c r="I485" i="28"/>
  <c r="I484" i="28" s="1"/>
  <c r="I475" i="28" s="1"/>
  <c r="N248" i="28"/>
  <c r="H249" i="28"/>
  <c r="U190" i="28"/>
  <c r="N190" i="28"/>
  <c r="J485" i="28"/>
  <c r="J484" i="28" s="1"/>
  <c r="J475" i="28" s="1"/>
  <c r="I60" i="28"/>
  <c r="H60" i="28"/>
  <c r="J60" i="28"/>
  <c r="J175" i="28"/>
  <c r="U337" i="28"/>
  <c r="U332" i="28" s="1"/>
  <c r="I337" i="28"/>
  <c r="I332" i="28" s="1"/>
  <c r="I323" i="28" s="1"/>
  <c r="I248" i="28" s="1"/>
  <c r="H337" i="28"/>
  <c r="H332" i="28" s="1"/>
  <c r="H324" i="28" s="1"/>
  <c r="H323" i="28" s="1"/>
  <c r="N337" i="28"/>
  <c r="N332" i="28" s="1"/>
  <c r="N324" i="28" s="1"/>
  <c r="I175" i="28"/>
  <c r="U60" i="28"/>
  <c r="H27" i="28"/>
  <c r="H25" i="28" s="1"/>
  <c r="J248" i="28"/>
  <c r="H190" i="28"/>
  <c r="U25" i="28"/>
  <c r="N167" i="28"/>
  <c r="N137" i="28" s="1"/>
  <c r="N168" i="28"/>
  <c r="V195" i="28"/>
  <c r="J25" i="28"/>
  <c r="I25" i="28"/>
  <c r="U248" i="28" l="1"/>
  <c r="U59" i="28" s="1"/>
  <c r="U324" i="28"/>
  <c r="J26" i="28"/>
  <c r="H248" i="28"/>
  <c r="N59" i="28"/>
  <c r="J59" i="28"/>
  <c r="J24" i="28" s="1"/>
  <c r="I59" i="28"/>
  <c r="I24" i="28" s="1"/>
  <c r="N26" i="28"/>
  <c r="N24" i="28" s="1"/>
  <c r="N576" i="28" s="1"/>
  <c r="U26" i="28"/>
  <c r="U24" i="28" s="1"/>
  <c r="U576" i="28" s="1"/>
  <c r="I26" i="28"/>
  <c r="AB22" i="28" l="1"/>
  <c r="AB20" i="28" s="1"/>
  <c r="H26" i="28"/>
  <c r="H24" i="28" s="1"/>
  <c r="H576" i="28" s="1"/>
  <c r="AD576" i="28" s="1"/>
  <c r="H59" i="28"/>
  <c r="AA22" i="28"/>
  <c r="AA20" i="28" s="1"/>
  <c r="Z137" i="27"/>
  <c r="Y137" i="27"/>
  <c r="X137" i="27"/>
  <c r="O133" i="27"/>
  <c r="P130" i="27"/>
  <c r="AC116" i="27"/>
  <c r="AB116" i="27"/>
  <c r="P111" i="27"/>
  <c r="T108" i="27"/>
  <c r="R108" i="27"/>
  <c r="P104" i="27"/>
  <c r="W104" i="27"/>
  <c r="V104" i="27"/>
  <c r="T104" i="27"/>
  <c r="R104" i="27"/>
  <c r="K104" i="27"/>
  <c r="W100" i="27"/>
  <c r="V100" i="27"/>
  <c r="T100" i="27"/>
  <c r="R100" i="27"/>
  <c r="P96" i="27"/>
  <c r="P91" i="27"/>
  <c r="W88" i="27"/>
  <c r="V88" i="27"/>
  <c r="T88" i="27"/>
  <c r="R88" i="27"/>
  <c r="K88" i="27"/>
  <c r="P87" i="27"/>
  <c r="P84" i="27"/>
  <c r="W82" i="27"/>
  <c r="V82" i="27"/>
  <c r="T82" i="27"/>
  <c r="R82" i="27"/>
  <c r="K82" i="27"/>
  <c r="N78" i="27"/>
  <c r="N133" i="27" s="1"/>
  <c r="P74" i="27"/>
  <c r="P70" i="27"/>
  <c r="P66" i="27"/>
  <c r="W63" i="27"/>
  <c r="V63" i="27"/>
  <c r="T63" i="27"/>
  <c r="R63" i="27"/>
  <c r="K63" i="27"/>
  <c r="P59" i="27"/>
  <c r="T57" i="27"/>
  <c r="R57" i="27"/>
  <c r="P57" i="27"/>
  <c r="K57" i="27"/>
  <c r="P56" i="27"/>
  <c r="P55" i="27"/>
  <c r="P54" i="27"/>
  <c r="W51" i="27"/>
  <c r="V51" i="27"/>
  <c r="T51" i="27"/>
  <c r="R51" i="27"/>
  <c r="K51" i="27"/>
  <c r="P50" i="27"/>
  <c r="W47" i="27"/>
  <c r="V47" i="27"/>
  <c r="T47" i="27"/>
  <c r="R47" i="27"/>
  <c r="K47" i="27"/>
  <c r="P46" i="27"/>
  <c r="V44" i="27"/>
  <c r="T44" i="27"/>
  <c r="R44" i="27"/>
  <c r="K44" i="27"/>
  <c r="P42" i="27"/>
  <c r="P40" i="27" s="1"/>
  <c r="W40" i="27"/>
  <c r="T40" i="27"/>
  <c r="R40" i="27"/>
  <c r="K40" i="27"/>
  <c r="V38" i="27" l="1"/>
  <c r="M24" i="28"/>
  <c r="K38" i="27"/>
  <c r="P88" i="27"/>
  <c r="P82" i="27"/>
  <c r="P108" i="27"/>
  <c r="R38" i="27"/>
  <c r="R131" i="27" s="1"/>
  <c r="P51" i="27"/>
  <c r="P47" i="27" s="1"/>
  <c r="P44" i="27" s="1"/>
  <c r="P133" i="27"/>
  <c r="P78" i="27"/>
  <c r="P63" i="27" s="1"/>
  <c r="W38" i="27"/>
  <c r="W131" i="27" s="1"/>
  <c r="T38" i="27"/>
  <c r="T131" i="27" s="1"/>
  <c r="K131" i="27" l="1"/>
  <c r="P38" i="27"/>
  <c r="P131" i="27" s="1"/>
  <c r="V131" i="27"/>
  <c r="W300" i="22"/>
  <c r="W299" i="22" s="1"/>
  <c r="N177" i="23"/>
  <c r="N176" i="23" s="1"/>
  <c r="H177" i="23"/>
  <c r="H176" i="23" s="1"/>
  <c r="U177" i="23"/>
  <c r="N175" i="23"/>
  <c r="N166" i="23" s="1"/>
  <c r="H185" i="23"/>
  <c r="H175" i="23"/>
  <c r="K115" i="15"/>
  <c r="K107" i="15"/>
  <c r="H166" i="23" l="1"/>
  <c r="W286" i="22"/>
  <c r="V286" i="22"/>
  <c r="N286" i="22"/>
  <c r="U164" i="23" l="1"/>
  <c r="W115" i="15" l="1"/>
  <c r="V115" i="15"/>
  <c r="W112" i="15"/>
  <c r="V112" i="15"/>
  <c r="K112" i="15"/>
  <c r="U214" i="23" l="1"/>
  <c r="N164" i="23" l="1"/>
  <c r="H164" i="23"/>
  <c r="N214" i="23"/>
  <c r="H214" i="23"/>
  <c r="F47" i="26" l="1"/>
  <c r="E47" i="26"/>
  <c r="D47" i="26"/>
  <c r="F46" i="26"/>
  <c r="E46" i="26"/>
  <c r="D46" i="26"/>
  <c r="F39" i="26"/>
  <c r="E39" i="26"/>
  <c r="F48" i="26" l="1"/>
  <c r="D48" i="26"/>
  <c r="E48" i="26"/>
  <c r="F45" i="26"/>
  <c r="E45" i="26"/>
  <c r="D45" i="26"/>
  <c r="F35" i="26"/>
  <c r="E35" i="26"/>
  <c r="D35" i="26"/>
  <c r="F34" i="26"/>
  <c r="E34" i="26"/>
  <c r="D34" i="26"/>
  <c r="F33" i="26"/>
  <c r="E33" i="26"/>
  <c r="D33" i="26"/>
  <c r="F30" i="26"/>
  <c r="E30" i="26"/>
  <c r="D30" i="26"/>
  <c r="F27" i="26"/>
  <c r="E27" i="26"/>
  <c r="D27" i="26"/>
  <c r="F23" i="26"/>
  <c r="E23" i="26"/>
  <c r="D23" i="26"/>
  <c r="M218" i="9"/>
  <c r="U185" i="23"/>
  <c r="U166" i="23" s="1"/>
  <c r="D36" i="26" l="1"/>
  <c r="E36" i="26"/>
  <c r="F36" i="26"/>
  <c r="U506" i="23" l="1"/>
  <c r="T506" i="23"/>
  <c r="S506" i="23"/>
  <c r="R506" i="23"/>
  <c r="Q506" i="23"/>
  <c r="P506" i="23"/>
  <c r="O506" i="23"/>
  <c r="N506" i="23"/>
  <c r="M506" i="23"/>
  <c r="L506" i="23"/>
  <c r="K506" i="23"/>
  <c r="J506" i="23"/>
  <c r="I506" i="23"/>
  <c r="H506" i="23"/>
  <c r="T503" i="23"/>
  <c r="S503" i="23"/>
  <c r="R503" i="23"/>
  <c r="Q503" i="23"/>
  <c r="P503" i="23"/>
  <c r="O503" i="23"/>
  <c r="N503" i="23"/>
  <c r="M503" i="23"/>
  <c r="L503" i="23"/>
  <c r="K503" i="23"/>
  <c r="J503" i="23"/>
  <c r="I503" i="23"/>
  <c r="H503" i="23"/>
  <c r="U501" i="23"/>
  <c r="T501" i="23"/>
  <c r="S501" i="23"/>
  <c r="R501" i="23"/>
  <c r="Q501" i="23"/>
  <c r="P501" i="23"/>
  <c r="O501" i="23"/>
  <c r="N501" i="23"/>
  <c r="M501" i="23"/>
  <c r="L501" i="23"/>
  <c r="K501" i="23"/>
  <c r="J501" i="23"/>
  <c r="I501" i="23"/>
  <c r="H501" i="23"/>
  <c r="U494" i="23"/>
  <c r="T494" i="23"/>
  <c r="S494" i="23"/>
  <c r="R494" i="23"/>
  <c r="Q494" i="23"/>
  <c r="P494" i="23"/>
  <c r="O494" i="23"/>
  <c r="N494" i="23"/>
  <c r="M494" i="23"/>
  <c r="L494" i="23"/>
  <c r="K494" i="23"/>
  <c r="J494" i="23"/>
  <c r="I494" i="23"/>
  <c r="H494" i="23"/>
  <c r="U445" i="23"/>
  <c r="T445" i="23"/>
  <c r="S445" i="23"/>
  <c r="R445" i="23"/>
  <c r="Q445" i="23"/>
  <c r="P445" i="23"/>
  <c r="O445" i="23"/>
  <c r="N445" i="23"/>
  <c r="M445" i="23"/>
  <c r="L445" i="23"/>
  <c r="K445" i="23"/>
  <c r="J445" i="23"/>
  <c r="I445" i="23"/>
  <c r="H445" i="23"/>
  <c r="U441" i="23"/>
  <c r="T441" i="23"/>
  <c r="S441" i="23"/>
  <c r="R441" i="23"/>
  <c r="Q441" i="23"/>
  <c r="P441" i="23"/>
  <c r="O441" i="23"/>
  <c r="N441" i="23"/>
  <c r="M441" i="23"/>
  <c r="L441" i="23"/>
  <c r="K441" i="23"/>
  <c r="J441" i="23"/>
  <c r="I441" i="23"/>
  <c r="H441" i="23"/>
  <c r="U405" i="23"/>
  <c r="T405" i="23"/>
  <c r="S405" i="23"/>
  <c r="R405" i="23"/>
  <c r="Q405" i="23"/>
  <c r="P405" i="23"/>
  <c r="O405" i="23"/>
  <c r="N405" i="23"/>
  <c r="M405" i="23"/>
  <c r="L405" i="23"/>
  <c r="K405" i="23"/>
  <c r="J405" i="23"/>
  <c r="I405" i="23"/>
  <c r="H405" i="23"/>
  <c r="U396" i="23"/>
  <c r="T396" i="23"/>
  <c r="S396" i="23"/>
  <c r="R396" i="23"/>
  <c r="Q396" i="23"/>
  <c r="P396" i="23"/>
  <c r="O396" i="23"/>
  <c r="N396" i="23"/>
  <c r="M396" i="23"/>
  <c r="L396" i="23"/>
  <c r="K396" i="23"/>
  <c r="J396" i="23"/>
  <c r="I396" i="23"/>
  <c r="H396" i="23"/>
  <c r="U389" i="23"/>
  <c r="T389" i="23"/>
  <c r="S389" i="23"/>
  <c r="R389" i="23"/>
  <c r="Q389" i="23"/>
  <c r="P389" i="23"/>
  <c r="O389" i="23"/>
  <c r="N389" i="23"/>
  <c r="M389" i="23"/>
  <c r="L389" i="23"/>
  <c r="K389" i="23"/>
  <c r="J389" i="23"/>
  <c r="I389" i="23"/>
  <c r="H389" i="23"/>
  <c r="U381" i="23"/>
  <c r="T381" i="23"/>
  <c r="S381" i="23"/>
  <c r="R381" i="23"/>
  <c r="Q381" i="23"/>
  <c r="P381" i="23"/>
  <c r="O381" i="23"/>
  <c r="N381" i="23"/>
  <c r="M381" i="23"/>
  <c r="L381" i="23"/>
  <c r="K381" i="23"/>
  <c r="J381" i="23"/>
  <c r="I381" i="23"/>
  <c r="H381" i="23"/>
  <c r="T379" i="23"/>
  <c r="S379" i="23"/>
  <c r="R379" i="23"/>
  <c r="Q379" i="23"/>
  <c r="P379" i="23"/>
  <c r="O379" i="23"/>
  <c r="M379" i="23"/>
  <c r="L379" i="23"/>
  <c r="K379" i="23"/>
  <c r="J379" i="23"/>
  <c r="I379" i="23"/>
  <c r="H379" i="23"/>
  <c r="U377" i="23"/>
  <c r="T377" i="23"/>
  <c r="S377" i="23"/>
  <c r="R377" i="23"/>
  <c r="Q377" i="23"/>
  <c r="P377" i="23"/>
  <c r="O377" i="23"/>
  <c r="N377" i="23"/>
  <c r="M377" i="23"/>
  <c r="L377" i="23"/>
  <c r="K377" i="23"/>
  <c r="J377" i="23"/>
  <c r="I377" i="23"/>
  <c r="H377" i="23"/>
  <c r="U369" i="23"/>
  <c r="T369" i="23"/>
  <c r="S369" i="23"/>
  <c r="R369" i="23"/>
  <c r="Q369" i="23"/>
  <c r="P369" i="23"/>
  <c r="O369" i="23"/>
  <c r="N369" i="23"/>
  <c r="M369" i="23"/>
  <c r="L369" i="23"/>
  <c r="K369" i="23"/>
  <c r="J369" i="23"/>
  <c r="I369" i="23"/>
  <c r="H369" i="23"/>
  <c r="T353" i="23"/>
  <c r="S353" i="23"/>
  <c r="R353" i="23"/>
  <c r="Q353" i="23"/>
  <c r="P353" i="23"/>
  <c r="O353" i="23"/>
  <c r="N353" i="23"/>
  <c r="M353" i="23"/>
  <c r="L353" i="23"/>
  <c r="K353" i="23"/>
  <c r="J353" i="23"/>
  <c r="I353" i="23"/>
  <c r="H353" i="23"/>
  <c r="U347" i="23"/>
  <c r="T347" i="23"/>
  <c r="S347" i="23"/>
  <c r="R347" i="23"/>
  <c r="Q347" i="23"/>
  <c r="P347" i="23"/>
  <c r="O347" i="23"/>
  <c r="N347" i="23"/>
  <c r="M347" i="23"/>
  <c r="L347" i="23"/>
  <c r="K347" i="23"/>
  <c r="J347" i="23"/>
  <c r="I347" i="23"/>
  <c r="H347" i="23"/>
  <c r="U341" i="23"/>
  <c r="T341" i="23"/>
  <c r="S341" i="23"/>
  <c r="R341" i="23"/>
  <c r="Q341" i="23"/>
  <c r="P341" i="23"/>
  <c r="O341" i="23"/>
  <c r="N341" i="23"/>
  <c r="M341" i="23"/>
  <c r="L341" i="23"/>
  <c r="K341" i="23"/>
  <c r="J341" i="23"/>
  <c r="I341" i="23"/>
  <c r="H341" i="23"/>
  <c r="T292" i="23"/>
  <c r="S292" i="23"/>
  <c r="R292" i="23"/>
  <c r="Q292" i="23"/>
  <c r="P292" i="23"/>
  <c r="O292" i="23"/>
  <c r="N292" i="23"/>
  <c r="M292" i="23"/>
  <c r="L292" i="23"/>
  <c r="K292" i="23"/>
  <c r="J292" i="23"/>
  <c r="I292" i="23"/>
  <c r="H292" i="23"/>
  <c r="T289" i="23"/>
  <c r="S289" i="23"/>
  <c r="R289" i="23"/>
  <c r="Q289" i="23"/>
  <c r="P289" i="23"/>
  <c r="O289" i="23"/>
  <c r="M289" i="23"/>
  <c r="L289" i="23"/>
  <c r="K289" i="23"/>
  <c r="J289" i="23"/>
  <c r="I289" i="23"/>
  <c r="H289" i="23"/>
  <c r="U265" i="23"/>
  <c r="T265" i="23"/>
  <c r="S265" i="23"/>
  <c r="R265" i="23"/>
  <c r="Q265" i="23"/>
  <c r="P265" i="23"/>
  <c r="O265" i="23"/>
  <c r="N265" i="23"/>
  <c r="M265" i="23"/>
  <c r="L265" i="23"/>
  <c r="K265" i="23"/>
  <c r="J265" i="23"/>
  <c r="I265" i="23"/>
  <c r="H265" i="23"/>
  <c r="U263" i="23"/>
  <c r="T263" i="23"/>
  <c r="S263" i="23"/>
  <c r="R263" i="23"/>
  <c r="Q263" i="23"/>
  <c r="P263" i="23"/>
  <c r="O263" i="23"/>
  <c r="N263" i="23"/>
  <c r="M263" i="23"/>
  <c r="L263" i="23"/>
  <c r="K263" i="23"/>
  <c r="J263" i="23"/>
  <c r="I263" i="23"/>
  <c r="H263" i="23"/>
  <c r="T252" i="23"/>
  <c r="S252" i="23"/>
  <c r="R252" i="23"/>
  <c r="Q252" i="23"/>
  <c r="P252" i="23"/>
  <c r="O252" i="23"/>
  <c r="N252" i="23"/>
  <c r="M252" i="23"/>
  <c r="L252" i="23"/>
  <c r="K252" i="23"/>
  <c r="J252" i="23"/>
  <c r="I252" i="23"/>
  <c r="H252" i="23"/>
  <c r="U249" i="23"/>
  <c r="T249" i="23"/>
  <c r="S249" i="23"/>
  <c r="R249" i="23"/>
  <c r="Q249" i="23"/>
  <c r="P249" i="23"/>
  <c r="O249" i="23"/>
  <c r="N249" i="23"/>
  <c r="M249" i="23"/>
  <c r="L249" i="23"/>
  <c r="K249" i="23"/>
  <c r="J249" i="23"/>
  <c r="I249" i="23"/>
  <c r="H249" i="23"/>
  <c r="U243" i="23"/>
  <c r="T243" i="23"/>
  <c r="S243" i="23"/>
  <c r="R243" i="23"/>
  <c r="Q243" i="23"/>
  <c r="P243" i="23"/>
  <c r="O243" i="23"/>
  <c r="N243" i="23"/>
  <c r="M243" i="23"/>
  <c r="L243" i="23"/>
  <c r="K243" i="23"/>
  <c r="J243" i="23"/>
  <c r="I243" i="23"/>
  <c r="H243" i="23"/>
  <c r="U219" i="23"/>
  <c r="T219" i="23"/>
  <c r="S219" i="23"/>
  <c r="R219" i="23"/>
  <c r="Q219" i="23"/>
  <c r="P219" i="23"/>
  <c r="O219" i="23"/>
  <c r="N219" i="23"/>
  <c r="M219" i="23"/>
  <c r="L219" i="23"/>
  <c r="K219" i="23"/>
  <c r="J219" i="23"/>
  <c r="I219" i="23"/>
  <c r="H219" i="23"/>
  <c r="U216" i="23"/>
  <c r="T216" i="23"/>
  <c r="S216" i="23"/>
  <c r="R216" i="23"/>
  <c r="Q216" i="23"/>
  <c r="P216" i="23"/>
  <c r="O216" i="23"/>
  <c r="N216" i="23"/>
  <c r="M216" i="23"/>
  <c r="L216" i="23"/>
  <c r="K216" i="23"/>
  <c r="J216" i="23"/>
  <c r="I216" i="23"/>
  <c r="H216" i="23"/>
  <c r="U213" i="23"/>
  <c r="T213" i="23"/>
  <c r="S213" i="23"/>
  <c r="R213" i="23"/>
  <c r="Q213" i="23"/>
  <c r="P213" i="23"/>
  <c r="O213" i="23"/>
  <c r="N213" i="23"/>
  <c r="M213" i="23"/>
  <c r="L213" i="23"/>
  <c r="K213" i="23"/>
  <c r="J213" i="23"/>
  <c r="I213" i="23"/>
  <c r="H213" i="23"/>
  <c r="U207" i="23"/>
  <c r="T207" i="23"/>
  <c r="S207" i="23"/>
  <c r="R207" i="23"/>
  <c r="Q207" i="23"/>
  <c r="P207" i="23"/>
  <c r="O207" i="23"/>
  <c r="N207" i="23"/>
  <c r="M207" i="23"/>
  <c r="L207" i="23"/>
  <c r="K207" i="23"/>
  <c r="J207" i="23"/>
  <c r="I207" i="23"/>
  <c r="H207" i="23"/>
  <c r="U184" i="23"/>
  <c r="T184" i="23"/>
  <c r="S184" i="23"/>
  <c r="R184" i="23"/>
  <c r="Q184" i="23"/>
  <c r="P184" i="23"/>
  <c r="O184" i="23"/>
  <c r="N184" i="23"/>
  <c r="M184" i="23"/>
  <c r="L184" i="23"/>
  <c r="K184" i="23"/>
  <c r="J184" i="23"/>
  <c r="I184" i="23"/>
  <c r="H184" i="23"/>
  <c r="U174" i="23"/>
  <c r="T174" i="23"/>
  <c r="S174" i="23"/>
  <c r="R174" i="23"/>
  <c r="Q174" i="23"/>
  <c r="P174" i="23"/>
  <c r="O174" i="23"/>
  <c r="N174" i="23"/>
  <c r="M174" i="23"/>
  <c r="L174" i="23"/>
  <c r="K174" i="23"/>
  <c r="J174" i="23"/>
  <c r="I174" i="23"/>
  <c r="H174" i="23"/>
  <c r="U171" i="23"/>
  <c r="T171" i="23"/>
  <c r="S171" i="23"/>
  <c r="R171" i="23"/>
  <c r="Q171" i="23"/>
  <c r="P171" i="23"/>
  <c r="O171" i="23"/>
  <c r="N171" i="23"/>
  <c r="M171" i="23"/>
  <c r="L171" i="23"/>
  <c r="K171" i="23"/>
  <c r="J171" i="23"/>
  <c r="I171" i="23"/>
  <c r="H171" i="23"/>
  <c r="U163" i="23"/>
  <c r="T163" i="23"/>
  <c r="S163" i="23"/>
  <c r="R163" i="23"/>
  <c r="Q163" i="23"/>
  <c r="P163" i="23"/>
  <c r="O163" i="23"/>
  <c r="N163" i="23"/>
  <c r="M163" i="23"/>
  <c r="L163" i="23"/>
  <c r="K163" i="23"/>
  <c r="J163" i="23"/>
  <c r="I163" i="23"/>
  <c r="H163" i="23"/>
  <c r="U150" i="23"/>
  <c r="T150" i="23"/>
  <c r="S150" i="23"/>
  <c r="R150" i="23"/>
  <c r="Q150" i="23"/>
  <c r="P150" i="23"/>
  <c r="O150" i="23"/>
  <c r="N150" i="23"/>
  <c r="M150" i="23"/>
  <c r="L150" i="23"/>
  <c r="K150" i="23"/>
  <c r="J150" i="23"/>
  <c r="I150" i="23"/>
  <c r="H150" i="23"/>
  <c r="U144" i="23"/>
  <c r="T144" i="23"/>
  <c r="S144" i="23"/>
  <c r="R144" i="23"/>
  <c r="Q144" i="23"/>
  <c r="P144" i="23"/>
  <c r="O144" i="23"/>
  <c r="N144" i="23"/>
  <c r="M144" i="23"/>
  <c r="L144" i="23"/>
  <c r="K144" i="23"/>
  <c r="J144" i="23"/>
  <c r="I144" i="23"/>
  <c r="H144" i="23"/>
  <c r="U136" i="23"/>
  <c r="T136" i="23"/>
  <c r="S136" i="23"/>
  <c r="R136" i="23"/>
  <c r="Q136" i="23"/>
  <c r="P136" i="23"/>
  <c r="O136" i="23"/>
  <c r="N136" i="23"/>
  <c r="M136" i="23"/>
  <c r="L136" i="23"/>
  <c r="K136" i="23"/>
  <c r="J136" i="23"/>
  <c r="I136" i="23"/>
  <c r="H136" i="23"/>
  <c r="U128" i="23"/>
  <c r="T128" i="23"/>
  <c r="S128" i="23"/>
  <c r="R128" i="23"/>
  <c r="Q128" i="23"/>
  <c r="P128" i="23"/>
  <c r="O128" i="23"/>
  <c r="N128" i="23"/>
  <c r="M128" i="23"/>
  <c r="L128" i="23"/>
  <c r="K128" i="23"/>
  <c r="J128" i="23"/>
  <c r="I128" i="23"/>
  <c r="H128" i="23"/>
  <c r="T126" i="23"/>
  <c r="S126" i="23"/>
  <c r="R126" i="23"/>
  <c r="Q126" i="23"/>
  <c r="P126" i="23"/>
  <c r="O126" i="23"/>
  <c r="N126" i="23"/>
  <c r="M126" i="23"/>
  <c r="L126" i="23"/>
  <c r="K126" i="23"/>
  <c r="J126" i="23"/>
  <c r="I126" i="23"/>
  <c r="H126" i="23"/>
  <c r="U105" i="23"/>
  <c r="T105" i="23"/>
  <c r="S105" i="23"/>
  <c r="R105" i="23"/>
  <c r="Q105" i="23"/>
  <c r="P105" i="23"/>
  <c r="O105" i="23"/>
  <c r="N105" i="23"/>
  <c r="M105" i="23"/>
  <c r="L105" i="23"/>
  <c r="K105" i="23"/>
  <c r="J105" i="23"/>
  <c r="I105" i="23"/>
  <c r="H105" i="23"/>
  <c r="U98" i="23"/>
  <c r="T98" i="23"/>
  <c r="S98" i="23"/>
  <c r="R98" i="23"/>
  <c r="Q98" i="23"/>
  <c r="P98" i="23"/>
  <c r="O98" i="23"/>
  <c r="N98" i="23"/>
  <c r="M98" i="23"/>
  <c r="L98" i="23"/>
  <c r="K98" i="23"/>
  <c r="J98" i="23"/>
  <c r="I98" i="23"/>
  <c r="H98" i="23"/>
  <c r="U91" i="23"/>
  <c r="T91" i="23"/>
  <c r="S91" i="23"/>
  <c r="R91" i="23"/>
  <c r="Q91" i="23"/>
  <c r="P91" i="23"/>
  <c r="O91" i="23"/>
  <c r="N91" i="23"/>
  <c r="M91" i="23"/>
  <c r="L91" i="23"/>
  <c r="K91" i="23"/>
  <c r="J91" i="23"/>
  <c r="I91" i="23"/>
  <c r="H91" i="23"/>
  <c r="U84" i="23"/>
  <c r="T84" i="23"/>
  <c r="S84" i="23"/>
  <c r="R84" i="23"/>
  <c r="Q84" i="23"/>
  <c r="P84" i="23"/>
  <c r="O84" i="23"/>
  <c r="N84" i="23"/>
  <c r="M84" i="23"/>
  <c r="L84" i="23"/>
  <c r="K84" i="23"/>
  <c r="J84" i="23"/>
  <c r="I84" i="23"/>
  <c r="H84" i="23"/>
  <c r="U77" i="23"/>
  <c r="T77" i="23"/>
  <c r="S77" i="23"/>
  <c r="R77" i="23"/>
  <c r="Q77" i="23"/>
  <c r="P77" i="23"/>
  <c r="O77" i="23"/>
  <c r="N77" i="23"/>
  <c r="M77" i="23"/>
  <c r="L77" i="23"/>
  <c r="J77" i="23"/>
  <c r="I77" i="23"/>
  <c r="H77" i="23"/>
  <c r="U70" i="23"/>
  <c r="T70" i="23"/>
  <c r="S70" i="23"/>
  <c r="R70" i="23"/>
  <c r="Q70" i="23"/>
  <c r="P70" i="23"/>
  <c r="O70" i="23"/>
  <c r="N70" i="23"/>
  <c r="M70" i="23"/>
  <c r="L70" i="23"/>
  <c r="K70" i="23"/>
  <c r="J70" i="23"/>
  <c r="I70" i="23"/>
  <c r="H70" i="23"/>
  <c r="U67" i="23"/>
  <c r="T67" i="23"/>
  <c r="S67" i="23"/>
  <c r="R67" i="23"/>
  <c r="Q67" i="23"/>
  <c r="P67" i="23"/>
  <c r="O67" i="23"/>
  <c r="N67" i="23"/>
  <c r="M67" i="23"/>
  <c r="L67" i="23"/>
  <c r="K67" i="23"/>
  <c r="J67" i="23"/>
  <c r="I67" i="23"/>
  <c r="H67" i="23"/>
  <c r="U64" i="23"/>
  <c r="T64" i="23"/>
  <c r="S64" i="23"/>
  <c r="R64" i="23"/>
  <c r="Q64" i="23"/>
  <c r="P64" i="23"/>
  <c r="O64" i="23"/>
  <c r="N64" i="23"/>
  <c r="M64" i="23"/>
  <c r="L64" i="23"/>
  <c r="K64" i="23"/>
  <c r="J64" i="23"/>
  <c r="I64" i="23"/>
  <c r="H64" i="23"/>
  <c r="U60" i="23"/>
  <c r="T60" i="23"/>
  <c r="S60" i="23"/>
  <c r="R60" i="23"/>
  <c r="Q60" i="23"/>
  <c r="P60" i="23"/>
  <c r="O60" i="23"/>
  <c r="N60" i="23"/>
  <c r="H60" i="23"/>
  <c r="U107" i="23"/>
  <c r="T107" i="23"/>
  <c r="S107" i="23"/>
  <c r="R107" i="23"/>
  <c r="Q107" i="23"/>
  <c r="P107" i="23"/>
  <c r="O107" i="23"/>
  <c r="N107" i="23"/>
  <c r="H107" i="23"/>
  <c r="U453" i="23"/>
  <c r="N453" i="23"/>
  <c r="H453" i="23"/>
  <c r="U388" i="23"/>
  <c r="U326" i="23"/>
  <c r="N326" i="23"/>
  <c r="H326" i="23"/>
  <c r="U320" i="23"/>
  <c r="N320" i="23"/>
  <c r="H320" i="23"/>
  <c r="U170" i="23"/>
  <c r="U127" i="23"/>
  <c r="U126" i="23" s="1"/>
  <c r="U83" i="23"/>
  <c r="T83" i="23"/>
  <c r="S83" i="23"/>
  <c r="R83" i="23"/>
  <c r="Q83" i="23"/>
  <c r="P83" i="23"/>
  <c r="O83" i="23"/>
  <c r="N83" i="23"/>
  <c r="U82" i="23"/>
  <c r="T82" i="23"/>
  <c r="S82" i="23"/>
  <c r="R82" i="23"/>
  <c r="R81" i="23" s="1"/>
  <c r="R80" i="23" s="1"/>
  <c r="R79" i="23" s="1"/>
  <c r="Q82" i="23"/>
  <c r="Q81" i="23" s="1"/>
  <c r="Q80" i="23" s="1"/>
  <c r="Q79" i="23" s="1"/>
  <c r="P82" i="23"/>
  <c r="P81" i="23" s="1"/>
  <c r="P80" i="23" s="1"/>
  <c r="P79" i="23" s="1"/>
  <c r="O82" i="23"/>
  <c r="O81" i="23" s="1"/>
  <c r="O80" i="23" s="1"/>
  <c r="O79" i="23" s="1"/>
  <c r="N82" i="23"/>
  <c r="N81" i="23" s="1"/>
  <c r="N80" i="23" s="1"/>
  <c r="N79" i="23" s="1"/>
  <c r="U81" i="23"/>
  <c r="T81" i="23"/>
  <c r="T80" i="23" s="1"/>
  <c r="T79" i="23" s="1"/>
  <c r="S81" i="23"/>
  <c r="S80" i="23" s="1"/>
  <c r="S79" i="23" s="1"/>
  <c r="U80" i="23"/>
  <c r="U79" i="23" s="1"/>
  <c r="U66" i="23"/>
  <c r="N66" i="23"/>
  <c r="U69" i="23"/>
  <c r="N69" i="23"/>
  <c r="N370" i="22"/>
  <c r="V370" i="22"/>
  <c r="W370" i="22"/>
  <c r="N498" i="22"/>
  <c r="N495" i="22" s="1"/>
  <c r="Q498" i="22"/>
  <c r="R498" i="22"/>
  <c r="V498" i="22"/>
  <c r="V495" i="22" s="1"/>
  <c r="W498" i="22"/>
  <c r="W495" i="22" s="1"/>
  <c r="W368" i="22"/>
  <c r="W367" i="22" s="1"/>
  <c r="V368" i="22"/>
  <c r="V367" i="22" s="1"/>
  <c r="N368" i="22"/>
  <c r="N367" i="22" s="1"/>
  <c r="J346" i="22"/>
  <c r="N346" i="22"/>
  <c r="O346" i="22"/>
  <c r="P346" i="22"/>
  <c r="Q346" i="22"/>
  <c r="R346" i="22"/>
  <c r="W266" i="22"/>
  <c r="W265" i="22" s="1"/>
  <c r="W235" i="22"/>
  <c r="V235" i="22"/>
  <c r="N235" i="22"/>
  <c r="U380" i="23"/>
  <c r="U379" i="23" s="1"/>
  <c r="N380" i="23"/>
  <c r="N379" i="23" s="1"/>
  <c r="U290" i="23"/>
  <c r="U289" i="23" s="1"/>
  <c r="U354" i="23" l="1"/>
  <c r="U353" i="23" s="1"/>
  <c r="U325" i="23"/>
  <c r="U324" i="23" s="1"/>
  <c r="U323" i="23" s="1"/>
  <c r="N325" i="23"/>
  <c r="N324" i="23" s="1"/>
  <c r="N323" i="23" s="1"/>
  <c r="H325" i="23"/>
  <c r="H324" i="23" s="1"/>
  <c r="H323" i="23" s="1"/>
  <c r="U319" i="23"/>
  <c r="U318" i="23" s="1"/>
  <c r="U317" i="23" s="1"/>
  <c r="U316" i="23" s="1"/>
  <c r="N319" i="23"/>
  <c r="N318" i="23" s="1"/>
  <c r="N317" i="23" s="1"/>
  <c r="N316" i="23" s="1"/>
  <c r="H319" i="23"/>
  <c r="H318" i="23" s="1"/>
  <c r="H317" i="23" s="1"/>
  <c r="H316" i="23" s="1"/>
  <c r="U444" i="23"/>
  <c r="U443" i="23" s="1"/>
  <c r="N444" i="23"/>
  <c r="N443" i="23" s="1"/>
  <c r="H444" i="23"/>
  <c r="H443" i="23" s="1"/>
  <c r="U504" i="23"/>
  <c r="U503" i="23" s="1"/>
  <c r="U340" i="23"/>
  <c r="U339" i="23" s="1"/>
  <c r="U338" i="23" s="1"/>
  <c r="N340" i="23"/>
  <c r="N339" i="23" s="1"/>
  <c r="N338" i="23" s="1"/>
  <c r="U346" i="23"/>
  <c r="U345" i="23" s="1"/>
  <c r="N346" i="23"/>
  <c r="N345" i="23" s="1"/>
  <c r="U352" i="23"/>
  <c r="U351" i="23"/>
  <c r="U350" i="23" s="1"/>
  <c r="U349" i="23" s="1"/>
  <c r="N352" i="23"/>
  <c r="N351" i="23"/>
  <c r="N350" i="23" s="1"/>
  <c r="N349" i="23" s="1"/>
  <c r="U337" i="23"/>
  <c r="U336" i="23" s="1"/>
  <c r="N337" i="23"/>
  <c r="N336" i="23" s="1"/>
  <c r="H337" i="23"/>
  <c r="H336" i="23" s="1"/>
  <c r="U293" i="23"/>
  <c r="U292" i="23" s="1"/>
  <c r="N290" i="23"/>
  <c r="N289" i="23" s="1"/>
  <c r="N246" i="23"/>
  <c r="U254" i="23"/>
  <c r="N254" i="23"/>
  <c r="U262" i="23"/>
  <c r="U261" i="23" s="1"/>
  <c r="N262" i="23"/>
  <c r="N261" i="23" s="1"/>
  <c r="H262" i="23"/>
  <c r="N251" i="23"/>
  <c r="U253" i="23"/>
  <c r="U252" i="23" s="1"/>
  <c r="U215" i="23"/>
  <c r="N215" i="23"/>
  <c r="N170" i="23"/>
  <c r="U100" i="23"/>
  <c r="N100" i="23"/>
  <c r="U63" i="23"/>
  <c r="N245" i="23" l="1"/>
  <c r="U344" i="23"/>
  <c r="U343" i="23"/>
  <c r="N344" i="23"/>
  <c r="N343" i="23"/>
  <c r="W346" i="22"/>
  <c r="V346" i="22"/>
  <c r="W214" i="22"/>
  <c r="V214" i="22"/>
  <c r="V213" i="22" s="1"/>
  <c r="N214" i="22"/>
  <c r="W403" i="22"/>
  <c r="V403" i="22"/>
  <c r="N403" i="22"/>
  <c r="W416" i="22"/>
  <c r="W415" i="22" s="1"/>
  <c r="W414" i="22" s="1"/>
  <c r="W413" i="22" s="1"/>
  <c r="W412" i="22" s="1"/>
  <c r="V416" i="22"/>
  <c r="V415" i="22" s="1"/>
  <c r="V414" i="22" s="1"/>
  <c r="V413" i="22" s="1"/>
  <c r="V412" i="22" s="1"/>
  <c r="N416" i="22"/>
  <c r="N415" i="22" s="1"/>
  <c r="N414" i="22" s="1"/>
  <c r="N413" i="22" s="1"/>
  <c r="N412" i="22" s="1"/>
  <c r="W400" i="22" l="1"/>
  <c r="W399" i="22" s="1"/>
  <c r="W398" i="22" s="1"/>
  <c r="W397" i="22" s="1"/>
  <c r="W402" i="22"/>
  <c r="N212" i="22"/>
  <c r="N211" i="22" s="1"/>
  <c r="N213" i="22"/>
  <c r="N400" i="22"/>
  <c r="N399" i="22" s="1"/>
  <c r="N398" i="22" s="1"/>
  <c r="N397" i="22" s="1"/>
  <c r="N402" i="22"/>
  <c r="V400" i="22"/>
  <c r="V399" i="22" s="1"/>
  <c r="V398" i="22" s="1"/>
  <c r="V397" i="22" s="1"/>
  <c r="V402" i="22"/>
  <c r="W212" i="22"/>
  <c r="W211" i="22" s="1"/>
  <c r="W213" i="22"/>
  <c r="V212" i="22"/>
  <c r="V211" i="22" s="1"/>
  <c r="W327" i="22"/>
  <c r="V327" i="22"/>
  <c r="W446" i="22"/>
  <c r="W445" i="22" s="1"/>
  <c r="W444" i="22" s="1"/>
  <c r="W443" i="22" s="1"/>
  <c r="W442" i="22" s="1"/>
  <c r="V209" i="22"/>
  <c r="W636" i="22"/>
  <c r="V636" i="22"/>
  <c r="N636" i="22"/>
  <c r="W726" i="22"/>
  <c r="W724" i="22"/>
  <c r="W721" i="22"/>
  <c r="W706" i="22"/>
  <c r="W705" i="22" s="1"/>
  <c r="W703" i="22"/>
  <c r="W702" i="22" s="1"/>
  <c r="W700" i="22"/>
  <c r="W699" i="22" s="1"/>
  <c r="W697" i="22"/>
  <c r="W696" i="22" s="1"/>
  <c r="W694" i="22"/>
  <c r="W690" i="22"/>
  <c r="W689" i="22" s="1"/>
  <c r="W687" i="22"/>
  <c r="W686" i="22" s="1"/>
  <c r="W684" i="22"/>
  <c r="W682" i="22"/>
  <c r="W680" i="22"/>
  <c r="W679" i="22" s="1"/>
  <c r="W678" i="22" s="1"/>
  <c r="W674" i="22"/>
  <c r="W673" i="22" s="1"/>
  <c r="W668" i="22"/>
  <c r="W667" i="22" s="1"/>
  <c r="W665" i="22"/>
  <c r="W664" i="22" s="1"/>
  <c r="W662" i="22"/>
  <c r="W661" i="22" s="1"/>
  <c r="W659" i="22"/>
  <c r="W658" i="22" s="1"/>
  <c r="W656" i="22"/>
  <c r="W655" i="22" s="1"/>
  <c r="W653" i="22"/>
  <c r="W651" i="22"/>
  <c r="W650" i="22" s="1"/>
  <c r="W647" i="22"/>
  <c r="W642" i="22" s="1"/>
  <c r="W632" i="22"/>
  <c r="W628" i="22" s="1"/>
  <c r="W627" i="22" s="1"/>
  <c r="W625" i="22"/>
  <c r="W621" i="22"/>
  <c r="W620" i="22" s="1"/>
  <c r="W618" i="22"/>
  <c r="W614" i="22"/>
  <c r="W606" i="22"/>
  <c r="W605" i="22" s="1"/>
  <c r="W603" i="22"/>
  <c r="W602" i="22" s="1"/>
  <c r="W596" i="22"/>
  <c r="W591" i="22"/>
  <c r="W586" i="22"/>
  <c r="W585" i="22" s="1"/>
  <c r="W583" i="22"/>
  <c r="W579" i="22"/>
  <c r="W575" i="22" s="1"/>
  <c r="W573" i="22"/>
  <c r="W571" i="22"/>
  <c r="W568" i="22"/>
  <c r="W566" i="22"/>
  <c r="W565" i="22" s="1"/>
  <c r="W564" i="22"/>
  <c r="W563" i="22" s="1"/>
  <c r="W562" i="22" s="1"/>
  <c r="W561" i="22" s="1"/>
  <c r="W559" i="22"/>
  <c r="W554" i="22"/>
  <c r="W553" i="22" s="1"/>
  <c r="W552" i="22" s="1"/>
  <c r="W551" i="22" s="1"/>
  <c r="W550" i="22" s="1"/>
  <c r="W548" i="22"/>
  <c r="W547" i="22" s="1"/>
  <c r="W546" i="22" s="1"/>
  <c r="W545" i="22" s="1"/>
  <c r="W543" i="22"/>
  <c r="W540" i="22"/>
  <c r="W537" i="22"/>
  <c r="W536" i="22" s="1"/>
  <c r="W532" i="22"/>
  <c r="W531" i="22" s="1"/>
  <c r="W529" i="22"/>
  <c r="W527" i="22" s="1"/>
  <c r="W525" i="22"/>
  <c r="W524" i="22" s="1"/>
  <c r="W522" i="22"/>
  <c r="W521" i="22" s="1"/>
  <c r="W520" i="22" s="1"/>
  <c r="W519" i="22" s="1"/>
  <c r="W517" i="22"/>
  <c r="W516" i="22" s="1"/>
  <c r="W510" i="22"/>
  <c r="W508" i="22" s="1"/>
  <c r="W506" i="22"/>
  <c r="W503" i="22"/>
  <c r="W493" i="22"/>
  <c r="W487" i="22"/>
  <c r="W486" i="22"/>
  <c r="W485" i="22" s="1"/>
  <c r="W481" i="22"/>
  <c r="W480" i="22" s="1"/>
  <c r="W479" i="22"/>
  <c r="W475" i="22"/>
  <c r="W453" i="22"/>
  <c r="W452" i="22" s="1"/>
  <c r="W451" i="22" s="1"/>
  <c r="W450" i="22" s="1"/>
  <c r="W449" i="22" s="1"/>
  <c r="W448" i="22" s="1"/>
  <c r="W435" i="22"/>
  <c r="W434" i="22" s="1"/>
  <c r="W433" i="22" s="1"/>
  <c r="W432" i="22" s="1"/>
  <c r="W390" i="22"/>
  <c r="W389" i="22" s="1"/>
  <c r="W388" i="22" s="1"/>
  <c r="W387" i="22" s="1"/>
  <c r="W386" i="22" s="1"/>
  <c r="W384" i="22"/>
  <c r="W383" i="22" s="1"/>
  <c r="W382" i="22" s="1"/>
  <c r="W381" i="22" s="1"/>
  <c r="W380" i="22" s="1"/>
  <c r="W378" i="22"/>
  <c r="W377" i="22" s="1"/>
  <c r="W376" i="22" s="1"/>
  <c r="W375" i="22" s="1"/>
  <c r="W374" i="22" s="1"/>
  <c r="W373" i="22"/>
  <c r="W365" i="22"/>
  <c r="W363" i="22"/>
  <c r="W361" i="22"/>
  <c r="W360" i="22"/>
  <c r="W359" i="22" s="1"/>
  <c r="W350" i="22"/>
  <c r="W344" i="22"/>
  <c r="W343" i="22"/>
  <c r="W342" i="22" s="1"/>
  <c r="W340" i="22"/>
  <c r="W331" i="22"/>
  <c r="W325" i="22"/>
  <c r="W321" i="22"/>
  <c r="W320" i="22" s="1"/>
  <c r="W319" i="22"/>
  <c r="W318" i="22" s="1"/>
  <c r="W316" i="22"/>
  <c r="W312" i="22"/>
  <c r="W307" i="22"/>
  <c r="W303" i="22"/>
  <c r="W296" i="22"/>
  <c r="W289" i="22"/>
  <c r="W284" i="22"/>
  <c r="W279" i="22"/>
  <c r="W278" i="22" s="1"/>
  <c r="W277" i="22" s="1"/>
  <c r="W272" i="22"/>
  <c r="W264" i="22"/>
  <c r="W261" i="22"/>
  <c r="W260" i="22" s="1"/>
  <c r="W258" i="22"/>
  <c r="W257" i="22" s="1"/>
  <c r="W255" i="22"/>
  <c r="W254" i="22" s="1"/>
  <c r="W253" i="22"/>
  <c r="W239" i="22"/>
  <c r="W234" i="22"/>
  <c r="W233" i="22" s="1"/>
  <c r="W221" i="22"/>
  <c r="W209" i="22"/>
  <c r="W202" i="22"/>
  <c r="W201" i="22" s="1"/>
  <c r="W200" i="22" s="1"/>
  <c r="W189" i="22"/>
  <c r="W188" i="22" s="1"/>
  <c r="W185" i="22"/>
  <c r="W184" i="22" s="1"/>
  <c r="W177" i="22"/>
  <c r="W176" i="22" s="1"/>
  <c r="W174" i="22"/>
  <c r="W173" i="22" s="1"/>
  <c r="W169" i="22"/>
  <c r="W168" i="22" s="1"/>
  <c r="W167" i="22" s="1"/>
  <c r="W166" i="22" s="1"/>
  <c r="W164" i="22"/>
  <c r="W162" i="22" s="1"/>
  <c r="W161" i="22" s="1"/>
  <c r="W160" i="22" s="1"/>
  <c r="W159" i="22" s="1"/>
  <c r="W156" i="22"/>
  <c r="W153" i="22" s="1"/>
  <c r="W152" i="22" s="1"/>
  <c r="W151" i="22" s="1"/>
  <c r="W150" i="22" s="1"/>
  <c r="W148" i="22"/>
  <c r="W147" i="22" s="1"/>
  <c r="W146" i="22" s="1"/>
  <c r="W145" i="22" s="1"/>
  <c r="W144" i="22"/>
  <c r="W143" i="22" s="1"/>
  <c r="W142" i="22"/>
  <c r="W141" i="22" s="1"/>
  <c r="W138" i="22"/>
  <c r="W137" i="22" s="1"/>
  <c r="W132" i="22"/>
  <c r="W131" i="22" s="1"/>
  <c r="W125" i="22"/>
  <c r="W124" i="22" s="1"/>
  <c r="W121" i="22"/>
  <c r="W119" i="22"/>
  <c r="W109" i="22"/>
  <c r="W107" i="22"/>
  <c r="W105" i="22"/>
  <c r="W102" i="22"/>
  <c r="W100" i="22" s="1"/>
  <c r="W97" i="22"/>
  <c r="W96" i="22" s="1"/>
  <c r="W94" i="22"/>
  <c r="W93" i="22" s="1"/>
  <c r="W92" i="22" s="1"/>
  <c r="W84" i="22"/>
  <c r="W83" i="22" s="1"/>
  <c r="W81" i="22"/>
  <c r="W79" i="22"/>
  <c r="W72" i="22"/>
  <c r="W71" i="22" s="1"/>
  <c r="W70" i="22" s="1"/>
  <c r="W67" i="22"/>
  <c r="W66" i="22" s="1"/>
  <c r="W65" i="22" s="1"/>
  <c r="W63" i="22"/>
  <c r="W62" i="22" s="1"/>
  <c r="W61" i="22" s="1"/>
  <c r="W56" i="22"/>
  <c r="W55" i="22" s="1"/>
  <c r="W54" i="22" s="1"/>
  <c r="W52" i="22"/>
  <c r="W51" i="22" s="1"/>
  <c r="W48" i="22"/>
  <c r="W45" i="22"/>
  <c r="W43" i="22"/>
  <c r="W41" i="22"/>
  <c r="W38" i="22"/>
  <c r="W33" i="22"/>
  <c r="W32" i="22" s="1"/>
  <c r="W31" i="22" s="1"/>
  <c r="V726" i="22"/>
  <c r="V724" i="22"/>
  <c r="V721" i="22"/>
  <c r="V706" i="22"/>
  <c r="V705" i="22" s="1"/>
  <c r="V703" i="22"/>
  <c r="V702" i="22" s="1"/>
  <c r="V700" i="22"/>
  <c r="V699" i="22" s="1"/>
  <c r="V697" i="22"/>
  <c r="V696" i="22" s="1"/>
  <c r="V694" i="22"/>
  <c r="V693" i="22" s="1"/>
  <c r="V692" i="22"/>
  <c r="V690" i="22"/>
  <c r="V689" i="22" s="1"/>
  <c r="V687" i="22"/>
  <c r="V686" i="22" s="1"/>
  <c r="V684" i="22"/>
  <c r="V682" i="22"/>
  <c r="V680" i="22"/>
  <c r="V679" i="22" s="1"/>
  <c r="V678" i="22" s="1"/>
  <c r="V674" i="22"/>
  <c r="V673" i="22" s="1"/>
  <c r="V668" i="22"/>
  <c r="V667" i="22" s="1"/>
  <c r="V665" i="22"/>
  <c r="V664" i="22" s="1"/>
  <c r="V662" i="22"/>
  <c r="V661" i="22" s="1"/>
  <c r="V659" i="22"/>
  <c r="V658" i="22" s="1"/>
  <c r="V656" i="22"/>
  <c r="V655" i="22" s="1"/>
  <c r="V653" i="22"/>
  <c r="V651" i="22"/>
  <c r="V647" i="22"/>
  <c r="V642" i="22" s="1"/>
  <c r="V632" i="22"/>
  <c r="V628" i="22" s="1"/>
  <c r="V627" i="22" s="1"/>
  <c r="V625" i="22"/>
  <c r="V621" i="22"/>
  <c r="V620" i="22" s="1"/>
  <c r="V618" i="22"/>
  <c r="V614" i="22"/>
  <c r="V606" i="22"/>
  <c r="V605" i="22" s="1"/>
  <c r="V603" i="22"/>
  <c r="V602" i="22" s="1"/>
  <c r="V596" i="22"/>
  <c r="V591" i="22"/>
  <c r="V586" i="22"/>
  <c r="V585" i="22" s="1"/>
  <c r="V583" i="22"/>
  <c r="V579" i="22"/>
  <c r="V575" i="22" s="1"/>
  <c r="V573" i="22"/>
  <c r="V571" i="22"/>
  <c r="V568" i="22"/>
  <c r="V566" i="22"/>
  <c r="V565" i="22" s="1"/>
  <c r="V564" i="22"/>
  <c r="V563" i="22" s="1"/>
  <c r="V562" i="22" s="1"/>
  <c r="V561" i="22" s="1"/>
  <c r="V559" i="22"/>
  <c r="V554" i="22"/>
  <c r="V553" i="22" s="1"/>
  <c r="V552" i="22" s="1"/>
  <c r="V551" i="22" s="1"/>
  <c r="V550" i="22" s="1"/>
  <c r="V548" i="22"/>
  <c r="V547" i="22" s="1"/>
  <c r="V546" i="22" s="1"/>
  <c r="V545" i="22" s="1"/>
  <c r="V543" i="22"/>
  <c r="V540" i="22"/>
  <c r="V537" i="22"/>
  <c r="V532" i="22"/>
  <c r="V531" i="22" s="1"/>
  <c r="V529" i="22"/>
  <c r="V527" i="22" s="1"/>
  <c r="V525" i="22"/>
  <c r="V524" i="22" s="1"/>
  <c r="V522" i="22"/>
  <c r="V521" i="22" s="1"/>
  <c r="V520" i="22" s="1"/>
  <c r="V519" i="22" s="1"/>
  <c r="V517" i="22"/>
  <c r="V516" i="22" s="1"/>
  <c r="V510" i="22"/>
  <c r="V508" i="22" s="1"/>
  <c r="V506" i="22"/>
  <c r="V503" i="22"/>
  <c r="V493" i="22"/>
  <c r="V487" i="22"/>
  <c r="V486" i="22"/>
  <c r="V485" i="22" s="1"/>
  <c r="V481" i="22"/>
  <c r="V480" i="22" s="1"/>
  <c r="V479" i="22"/>
  <c r="V475" i="22"/>
  <c r="V452" i="22"/>
  <c r="V451" i="22" s="1"/>
  <c r="V450" i="22" s="1"/>
  <c r="V449" i="22" s="1"/>
  <c r="V448" i="22" s="1"/>
  <c r="V446" i="22"/>
  <c r="V445" i="22" s="1"/>
  <c r="V444" i="22" s="1"/>
  <c r="V443" i="22" s="1"/>
  <c r="V442" i="22" s="1"/>
  <c r="V435" i="22"/>
  <c r="V434" i="22" s="1"/>
  <c r="V433" i="22" s="1"/>
  <c r="V432" i="22" s="1"/>
  <c r="V427" i="22"/>
  <c r="V426" i="22" s="1"/>
  <c r="V425" i="22" s="1"/>
  <c r="V424" i="22" s="1"/>
  <c r="V418" i="22" s="1"/>
  <c r="V390" i="22"/>
  <c r="V389" i="22" s="1"/>
  <c r="V388" i="22" s="1"/>
  <c r="V387" i="22" s="1"/>
  <c r="V386" i="22" s="1"/>
  <c r="V384" i="22"/>
  <c r="V383" i="22" s="1"/>
  <c r="V382" i="22" s="1"/>
  <c r="V381" i="22" s="1"/>
  <c r="V380" i="22" s="1"/>
  <c r="V378" i="22"/>
  <c r="V377" i="22" s="1"/>
  <c r="V376" i="22" s="1"/>
  <c r="V375" i="22" s="1"/>
  <c r="V374" i="22" s="1"/>
  <c r="V373" i="22"/>
  <c r="V365" i="22"/>
  <c r="V360" i="22"/>
  <c r="V359" i="22" s="1"/>
  <c r="V363" i="22"/>
  <c r="V361" i="22"/>
  <c r="V350" i="22"/>
  <c r="V344" i="22"/>
  <c r="V343" i="22"/>
  <c r="V342" i="22" s="1"/>
  <c r="V340" i="22"/>
  <c r="V331" i="22"/>
  <c r="V325" i="22"/>
  <c r="V321" i="22"/>
  <c r="V320" i="22" s="1"/>
  <c r="V319" i="22"/>
  <c r="V318" i="22" s="1"/>
  <c r="V316" i="22"/>
  <c r="V312" i="22"/>
  <c r="V307" i="22"/>
  <c r="V303" i="22"/>
  <c r="V299" i="22"/>
  <c r="V296" i="22"/>
  <c r="V289" i="22"/>
  <c r="V284" i="22"/>
  <c r="V279" i="22"/>
  <c r="V278" i="22" s="1"/>
  <c r="V277" i="22" s="1"/>
  <c r="V272" i="22"/>
  <c r="V266" i="22"/>
  <c r="V261" i="22"/>
  <c r="V260" i="22" s="1"/>
  <c r="V258" i="22"/>
  <c r="V257" i="22" s="1"/>
  <c r="V255" i="22"/>
  <c r="V254" i="22" s="1"/>
  <c r="V253" i="22"/>
  <c r="V239" i="22"/>
  <c r="V234" i="22"/>
  <c r="V233" i="22" s="1"/>
  <c r="V221" i="22"/>
  <c r="V202" i="22"/>
  <c r="V201" i="22" s="1"/>
  <c r="V200" i="22" s="1"/>
  <c r="V189" i="22"/>
  <c r="V188" i="22" s="1"/>
  <c r="V185" i="22"/>
  <c r="V184" i="22" s="1"/>
  <c r="V177" i="22"/>
  <c r="V176" i="22" s="1"/>
  <c r="V174" i="22"/>
  <c r="V173" i="22" s="1"/>
  <c r="V169" i="22"/>
  <c r="V168" i="22" s="1"/>
  <c r="V167" i="22" s="1"/>
  <c r="V166" i="22" s="1"/>
  <c r="V164" i="22"/>
  <c r="V162" i="22" s="1"/>
  <c r="V161" i="22" s="1"/>
  <c r="V160" i="22" s="1"/>
  <c r="V159" i="22" s="1"/>
  <c r="V156" i="22"/>
  <c r="V153" i="22" s="1"/>
  <c r="V152" i="22" s="1"/>
  <c r="V151" i="22" s="1"/>
  <c r="V150" i="22" s="1"/>
  <c r="V148" i="22"/>
  <c r="V147" i="22" s="1"/>
  <c r="V146" i="22" s="1"/>
  <c r="V145" i="22" s="1"/>
  <c r="V144" i="22"/>
  <c r="V143" i="22" s="1"/>
  <c r="V142" i="22"/>
  <c r="V141" i="22" s="1"/>
  <c r="V138" i="22"/>
  <c r="V137" i="22" s="1"/>
  <c r="V132" i="22"/>
  <c r="V131" i="22" s="1"/>
  <c r="V125" i="22"/>
  <c r="V124" i="22" s="1"/>
  <c r="V121" i="22"/>
  <c r="V119" i="22"/>
  <c r="V109" i="22"/>
  <c r="V107" i="22"/>
  <c r="V105" i="22"/>
  <c r="V102" i="22"/>
  <c r="V100" i="22" s="1"/>
  <c r="V97" i="22"/>
  <c r="V96" i="22" s="1"/>
  <c r="V94" i="22"/>
  <c r="V93" i="22" s="1"/>
  <c r="V92" i="22" s="1"/>
  <c r="V84" i="22"/>
  <c r="V83" i="22" s="1"/>
  <c r="V81" i="22"/>
  <c r="V79" i="22"/>
  <c r="V72" i="22"/>
  <c r="V71" i="22" s="1"/>
  <c r="V70" i="22" s="1"/>
  <c r="V67" i="22"/>
  <c r="V66" i="22" s="1"/>
  <c r="V65" i="22" s="1"/>
  <c r="V63" i="22"/>
  <c r="V62" i="22" s="1"/>
  <c r="V61" i="22" s="1"/>
  <c r="V56" i="22"/>
  <c r="V55" i="22" s="1"/>
  <c r="V54" i="22" s="1"/>
  <c r="V52" i="22"/>
  <c r="V51" i="22" s="1"/>
  <c r="V48" i="22"/>
  <c r="V45" i="22"/>
  <c r="V43" i="22"/>
  <c r="V41" i="22"/>
  <c r="V38" i="22"/>
  <c r="V33" i="22"/>
  <c r="V32" i="22" s="1"/>
  <c r="V31" i="22" s="1"/>
  <c r="V310" i="22" l="1"/>
  <c r="V311" i="22"/>
  <c r="W310" i="22"/>
  <c r="W311" i="22"/>
  <c r="V338" i="22"/>
  <c r="V339" i="22"/>
  <c r="W338" i="22"/>
  <c r="W339" i="22"/>
  <c r="W535" i="22"/>
  <c r="V78" i="22"/>
  <c r="W427" i="22"/>
  <c r="W426" i="22" s="1"/>
  <c r="W425" i="22" s="1"/>
  <c r="W424" i="22" s="1"/>
  <c r="W418" i="22" s="1"/>
  <c r="W570" i="22"/>
  <c r="V570" i="22"/>
  <c r="W348" i="22"/>
  <c r="W349" i="22"/>
  <c r="W649" i="22"/>
  <c r="V348" i="22"/>
  <c r="V349" i="22"/>
  <c r="W314" i="22"/>
  <c r="W315" i="22"/>
  <c r="V314" i="22"/>
  <c r="V315" i="22"/>
  <c r="V264" i="22"/>
  <c r="V252" i="22" s="1"/>
  <c r="V241" i="22" s="1"/>
  <c r="V265" i="22"/>
  <c r="V504" i="22"/>
  <c r="V505" i="22"/>
  <c r="V581" i="22"/>
  <c r="V582" i="22"/>
  <c r="V649" i="22"/>
  <c r="V650" i="22"/>
  <c r="W293" i="22"/>
  <c r="W292" i="22" s="1"/>
  <c r="W291" i="22" s="1"/>
  <c r="W295" i="22"/>
  <c r="W616" i="22"/>
  <c r="W617" i="22"/>
  <c r="W646" i="22"/>
  <c r="W719" i="22"/>
  <c r="W720" i="22"/>
  <c r="V634" i="22"/>
  <c r="V635" i="22"/>
  <c r="V219" i="22"/>
  <c r="V220" i="22"/>
  <c r="V270" i="22"/>
  <c r="V269" i="22" s="1"/>
  <c r="V268" i="22" s="1"/>
  <c r="V263" i="22" s="1"/>
  <c r="V271" i="22"/>
  <c r="V287" i="22"/>
  <c r="V288" i="22"/>
  <c r="V623" i="22"/>
  <c r="V624" i="22"/>
  <c r="W237" i="22"/>
  <c r="W232" i="22" s="1"/>
  <c r="W229" i="22" s="1"/>
  <c r="W238" i="22"/>
  <c r="W282" i="22"/>
  <c r="W281" i="22" s="1"/>
  <c r="W276" i="22" s="1"/>
  <c r="W283" i="22"/>
  <c r="W329" i="22"/>
  <c r="W328" i="22" s="1"/>
  <c r="W330" i="22"/>
  <c r="W504" i="22"/>
  <c r="W505" i="22"/>
  <c r="W581" i="22"/>
  <c r="W582" i="22"/>
  <c r="W634" i="22"/>
  <c r="W635" i="22"/>
  <c r="V181" i="22"/>
  <c r="V180" i="22" s="1"/>
  <c r="V293" i="22"/>
  <c r="V292" i="22" s="1"/>
  <c r="V291" i="22" s="1"/>
  <c r="V295" i="22"/>
  <c r="V323" i="22"/>
  <c r="V324" i="22"/>
  <c r="V589" i="22"/>
  <c r="V590" i="22"/>
  <c r="W218" i="22"/>
  <c r="W216" i="22" s="1"/>
  <c r="W220" i="22"/>
  <c r="W301" i="22"/>
  <c r="W302" i="22"/>
  <c r="W623" i="22"/>
  <c r="W624" i="22"/>
  <c r="V237" i="22"/>
  <c r="V232" i="22" s="1"/>
  <c r="V229" i="22" s="1"/>
  <c r="V228" i="22" s="1"/>
  <c r="V238" i="22"/>
  <c r="V282" i="22"/>
  <c r="V281" i="22" s="1"/>
  <c r="V276" i="22" s="1"/>
  <c r="V283" i="22"/>
  <c r="V329" i="22"/>
  <c r="V328" i="22" s="1"/>
  <c r="V330" i="22"/>
  <c r="V535" i="22"/>
  <c r="V536" i="22"/>
  <c r="V616" i="22"/>
  <c r="V617" i="22"/>
  <c r="V646" i="22"/>
  <c r="V719" i="22"/>
  <c r="V720" i="22"/>
  <c r="W270" i="22"/>
  <c r="W269" i="22" s="1"/>
  <c r="W268" i="22" s="1"/>
  <c r="W263" i="22" s="1"/>
  <c r="W271" i="22"/>
  <c r="W287" i="22"/>
  <c r="W288" i="22"/>
  <c r="W589" i="22"/>
  <c r="W590" i="22"/>
  <c r="W693" i="22"/>
  <c r="N634" i="22"/>
  <c r="N635" i="22"/>
  <c r="W612" i="22"/>
  <c r="W613" i="22"/>
  <c r="V612" i="22"/>
  <c r="V613" i="22"/>
  <c r="W539" i="22"/>
  <c r="W542" i="22"/>
  <c r="V539" i="22"/>
  <c r="V542" i="22"/>
  <c r="W305" i="22"/>
  <c r="W306" i="22"/>
  <c r="W323" i="22"/>
  <c r="W324" i="22"/>
  <c r="V301" i="22"/>
  <c r="V302" i="22"/>
  <c r="V305" i="22"/>
  <c r="V306" i="22"/>
  <c r="V557" i="22"/>
  <c r="V556" i="22" s="1"/>
  <c r="V555" i="22" s="1"/>
  <c r="V558" i="22"/>
  <c r="W557" i="22"/>
  <c r="W556" i="22" s="1"/>
  <c r="W555" i="22" s="1"/>
  <c r="W558" i="22"/>
  <c r="W473" i="22"/>
  <c r="W472" i="22" s="1"/>
  <c r="W471" i="22" s="1"/>
  <c r="W474" i="22"/>
  <c r="V473" i="22"/>
  <c r="V472" i="22" s="1"/>
  <c r="V471" i="22" s="1"/>
  <c r="V474" i="22"/>
  <c r="V207" i="22"/>
  <c r="V206" i="22" s="1"/>
  <c r="V205" i="22" s="1"/>
  <c r="V197" i="22" s="1"/>
  <c r="V208" i="22"/>
  <c r="W207" i="22"/>
  <c r="W206" i="22" s="1"/>
  <c r="W205" i="22" s="1"/>
  <c r="W197" i="22" s="1"/>
  <c r="W208" i="22"/>
  <c r="W118" i="22"/>
  <c r="W112" i="22" s="1"/>
  <c r="V118" i="22"/>
  <c r="V112" i="22" s="1"/>
  <c r="W681" i="22"/>
  <c r="W723" i="22"/>
  <c r="V681" i="22"/>
  <c r="W104" i="22"/>
  <c r="W99" i="22" s="1"/>
  <c r="V104" i="22"/>
  <c r="V99" i="22" s="1"/>
  <c r="W140" i="22"/>
  <c r="W136" i="22" s="1"/>
  <c r="W158" i="22"/>
  <c r="V723" i="22"/>
  <c r="W37" i="22"/>
  <c r="W36" i="22" s="1"/>
  <c r="W27" i="22" s="1"/>
  <c r="V37" i="22"/>
  <c r="V36" i="22" s="1"/>
  <c r="V27" i="22" s="1"/>
  <c r="V123" i="22"/>
  <c r="V172" i="22"/>
  <c r="W78" i="22"/>
  <c r="W77" i="22" s="1"/>
  <c r="W76" i="22" s="1"/>
  <c r="W75" i="22" s="1"/>
  <c r="W252" i="22"/>
  <c r="W241" i="22" s="1"/>
  <c r="W123" i="22"/>
  <c r="V158" i="22"/>
  <c r="W91" i="22"/>
  <c r="W90" i="22" s="1"/>
  <c r="W219" i="22"/>
  <c r="W298" i="22"/>
  <c r="V298" i="22"/>
  <c r="W181" i="22"/>
  <c r="W172" i="22"/>
  <c r="V91" i="22"/>
  <c r="V90" i="22" s="1"/>
  <c r="V140" i="22"/>
  <c r="V136" i="22" s="1"/>
  <c r="V77" i="22"/>
  <c r="V76" i="22" s="1"/>
  <c r="V75" i="22" s="1"/>
  <c r="V218" i="22"/>
  <c r="V216" i="22" s="1"/>
  <c r="W228" i="22" l="1"/>
  <c r="V477" i="22"/>
  <c r="V470" i="22" s="1"/>
  <c r="V469" i="22" s="1"/>
  <c r="W477" i="22"/>
  <c r="W470" i="22" s="1"/>
  <c r="W469" i="22" s="1"/>
  <c r="V89" i="22"/>
  <c r="V179" i="22"/>
  <c r="W275" i="22"/>
  <c r="V275" i="22"/>
  <c r="V111" i="22"/>
  <c r="W89" i="22"/>
  <c r="W111" i="22"/>
  <c r="W180" i="22"/>
  <c r="W179" i="22"/>
  <c r="V26" i="22" l="1"/>
  <c r="V17" i="22" s="1"/>
  <c r="V195" i="22"/>
  <c r="W195" i="22"/>
  <c r="Z194" i="22" s="1"/>
  <c r="W26" i="22"/>
  <c r="W17" i="22" s="1"/>
  <c r="N253" i="22"/>
  <c r="N299" i="22"/>
  <c r="N319" i="22"/>
  <c r="N318" i="22" s="1"/>
  <c r="N343" i="22"/>
  <c r="N360" i="22"/>
  <c r="N481" i="22"/>
  <c r="N480" i="22" s="1"/>
  <c r="N537" i="22"/>
  <c r="N543" i="22"/>
  <c r="N564" i="22"/>
  <c r="N563" i="22" s="1"/>
  <c r="N562" i="22" s="1"/>
  <c r="N561" i="22" s="1"/>
  <c r="N579" i="22"/>
  <c r="N575" i="22" s="1"/>
  <c r="N625" i="22"/>
  <c r="N632" i="22"/>
  <c r="N628" i="22" s="1"/>
  <c r="N627" i="22" s="1"/>
  <c r="N651" i="22"/>
  <c r="N692" i="22"/>
  <c r="H500" i="23"/>
  <c r="H499" i="23" s="1"/>
  <c r="H498" i="23" s="1"/>
  <c r="H497" i="23" s="1"/>
  <c r="H496" i="23" s="1"/>
  <c r="U500" i="23"/>
  <c r="N500" i="23"/>
  <c r="J500" i="23"/>
  <c r="J499" i="23" s="1"/>
  <c r="J498" i="23" s="1"/>
  <c r="J497" i="23" s="1"/>
  <c r="J496" i="23" s="1"/>
  <c r="I500" i="23"/>
  <c r="I499" i="23" s="1"/>
  <c r="I498" i="23" s="1"/>
  <c r="I497" i="23" s="1"/>
  <c r="I496" i="23" s="1"/>
  <c r="U499" i="23"/>
  <c r="U498" i="23" s="1"/>
  <c r="U497" i="23" s="1"/>
  <c r="U496" i="23" s="1"/>
  <c r="N499" i="23"/>
  <c r="N498" i="23" s="1"/>
  <c r="N497" i="23" s="1"/>
  <c r="N496" i="23" s="1"/>
  <c r="K482" i="23"/>
  <c r="U493" i="23"/>
  <c r="U492" i="23" s="1"/>
  <c r="U491" i="23" s="1"/>
  <c r="U490" i="23" s="1"/>
  <c r="U489" i="23" s="1"/>
  <c r="N493" i="23"/>
  <c r="N492" i="23" s="1"/>
  <c r="N491" i="23" s="1"/>
  <c r="N490" i="23" s="1"/>
  <c r="N489" i="23" s="1"/>
  <c r="N482" i="23" s="1"/>
  <c r="N481" i="23" s="1"/>
  <c r="H493" i="23"/>
  <c r="H492" i="23" s="1"/>
  <c r="H491" i="23" s="1"/>
  <c r="H490" i="23" s="1"/>
  <c r="H489" i="23" s="1"/>
  <c r="J487" i="23"/>
  <c r="J486" i="23" s="1"/>
  <c r="J485" i="23" s="1"/>
  <c r="J484" i="23" s="1"/>
  <c r="J483" i="23" s="1"/>
  <c r="I487" i="23"/>
  <c r="I486" i="23" s="1"/>
  <c r="I485" i="23" s="1"/>
  <c r="I484" i="23" s="1"/>
  <c r="I483" i="23" s="1"/>
  <c r="U479" i="23"/>
  <c r="U478" i="23" s="1"/>
  <c r="N479" i="23"/>
  <c r="N478" i="23" s="1"/>
  <c r="J479" i="23"/>
  <c r="J478" i="23" s="1"/>
  <c r="I479" i="23"/>
  <c r="I478" i="23" s="1"/>
  <c r="H479" i="23"/>
  <c r="H478" i="23" s="1"/>
  <c r="U473" i="23"/>
  <c r="U472" i="23" s="1"/>
  <c r="U471" i="23" s="1"/>
  <c r="U470" i="23" s="1"/>
  <c r="N473" i="23"/>
  <c r="N472" i="23" s="1"/>
  <c r="N471" i="23" s="1"/>
  <c r="N470" i="23" s="1"/>
  <c r="H473" i="23"/>
  <c r="H472" i="23" s="1"/>
  <c r="H471" i="23" s="1"/>
  <c r="H470" i="23" s="1"/>
  <c r="U468" i="23"/>
  <c r="N468" i="23"/>
  <c r="H468" i="23"/>
  <c r="U467" i="23"/>
  <c r="N467" i="23"/>
  <c r="H467" i="23"/>
  <c r="J466" i="23"/>
  <c r="J465" i="23" s="1"/>
  <c r="J464" i="23" s="1"/>
  <c r="J463" i="23" s="1"/>
  <c r="J462" i="23" s="1"/>
  <c r="I466" i="23"/>
  <c r="I465" i="23" s="1"/>
  <c r="I464" i="23" s="1"/>
  <c r="I463" i="23" s="1"/>
  <c r="I462" i="23" s="1"/>
  <c r="U457" i="23"/>
  <c r="U456" i="23" s="1"/>
  <c r="U455" i="23" s="1"/>
  <c r="N457" i="23"/>
  <c r="N456" i="23" s="1"/>
  <c r="N455" i="23" s="1"/>
  <c r="J457" i="23"/>
  <c r="J456" i="23" s="1"/>
  <c r="J455" i="23" s="1"/>
  <c r="I457" i="23"/>
  <c r="I456" i="23" s="1"/>
  <c r="I455" i="23" s="1"/>
  <c r="H457" i="23"/>
  <c r="H456" i="23" s="1"/>
  <c r="H455" i="23" s="1"/>
  <c r="U452" i="23"/>
  <c r="U451" i="23" s="1"/>
  <c r="U450" i="23" s="1"/>
  <c r="U449" i="23" s="1"/>
  <c r="U448" i="23" s="1"/>
  <c r="N452" i="23"/>
  <c r="N451" i="23" s="1"/>
  <c r="N450" i="23" s="1"/>
  <c r="N449" i="23" s="1"/>
  <c r="N448" i="23" s="1"/>
  <c r="J452" i="23"/>
  <c r="J451" i="23" s="1"/>
  <c r="I452" i="23"/>
  <c r="I451" i="23" s="1"/>
  <c r="H452" i="23"/>
  <c r="H451" i="23" s="1"/>
  <c r="H450" i="23" s="1"/>
  <c r="H449" i="23" s="1"/>
  <c r="H448" i="23" s="1"/>
  <c r="U440" i="23"/>
  <c r="U439" i="23" s="1"/>
  <c r="U438" i="23" s="1"/>
  <c r="N440" i="23"/>
  <c r="N439" i="23" s="1"/>
  <c r="N438" i="23" s="1"/>
  <c r="J440" i="23"/>
  <c r="J439" i="23" s="1"/>
  <c r="I440" i="23"/>
  <c r="I439" i="23" s="1"/>
  <c r="H440" i="23"/>
  <c r="H439" i="23" s="1"/>
  <c r="H438" i="23" s="1"/>
  <c r="U436" i="23"/>
  <c r="N436" i="23"/>
  <c r="J436" i="23"/>
  <c r="I436" i="23"/>
  <c r="H436" i="23"/>
  <c r="U434" i="23"/>
  <c r="N434" i="23"/>
  <c r="J434" i="23"/>
  <c r="I434" i="23"/>
  <c r="H434" i="23"/>
  <c r="U431" i="23"/>
  <c r="U430" i="23" s="1"/>
  <c r="N431" i="23"/>
  <c r="J431" i="23"/>
  <c r="J430" i="23" s="1"/>
  <c r="I431" i="23"/>
  <c r="I430" i="23" s="1"/>
  <c r="H431" i="23"/>
  <c r="H430" i="23" s="1"/>
  <c r="N430" i="23"/>
  <c r="U423" i="23"/>
  <c r="U422" i="23" s="1"/>
  <c r="U421" i="23" s="1"/>
  <c r="U420" i="23" s="1"/>
  <c r="U419" i="23" s="1"/>
  <c r="N423" i="23"/>
  <c r="N422" i="23" s="1"/>
  <c r="N421" i="23" s="1"/>
  <c r="N420" i="23" s="1"/>
  <c r="N419" i="23" s="1"/>
  <c r="J423" i="23"/>
  <c r="J422" i="23" s="1"/>
  <c r="J421" i="23" s="1"/>
  <c r="J420" i="23" s="1"/>
  <c r="J419" i="23" s="1"/>
  <c r="I423" i="23"/>
  <c r="I422" i="23" s="1"/>
  <c r="I421" i="23" s="1"/>
  <c r="I420" i="23" s="1"/>
  <c r="I419" i="23" s="1"/>
  <c r="H423" i="23"/>
  <c r="H422" i="23" s="1"/>
  <c r="H421" i="23" s="1"/>
  <c r="H420" i="23" s="1"/>
  <c r="H419" i="23" s="1"/>
  <c r="U415" i="23"/>
  <c r="U414" i="23" s="1"/>
  <c r="U413" i="23" s="1"/>
  <c r="N415" i="23"/>
  <c r="N414" i="23" s="1"/>
  <c r="N413" i="23" s="1"/>
  <c r="H415" i="23"/>
  <c r="H414" i="23" s="1"/>
  <c r="H413" i="23" s="1"/>
  <c r="U411" i="23"/>
  <c r="U410" i="23" s="1"/>
  <c r="U409" i="23" s="1"/>
  <c r="N411" i="23"/>
  <c r="N410" i="23" s="1"/>
  <c r="N409" i="23" s="1"/>
  <c r="J411" i="23"/>
  <c r="J410" i="23" s="1"/>
  <c r="J409" i="23" s="1"/>
  <c r="J408" i="23" s="1"/>
  <c r="J407" i="23" s="1"/>
  <c r="I411" i="23"/>
  <c r="I410" i="23" s="1"/>
  <c r="I409" i="23" s="1"/>
  <c r="I408" i="23" s="1"/>
  <c r="I407" i="23" s="1"/>
  <c r="H411" i="23"/>
  <c r="H410" i="23" s="1"/>
  <c r="H409" i="23" s="1"/>
  <c r="U404" i="23"/>
  <c r="U403" i="23" s="1"/>
  <c r="U402" i="23" s="1"/>
  <c r="U401" i="23" s="1"/>
  <c r="U400" i="23" s="1"/>
  <c r="N404" i="23"/>
  <c r="J404" i="23"/>
  <c r="J403" i="23" s="1"/>
  <c r="J402" i="23" s="1"/>
  <c r="J401" i="23" s="1"/>
  <c r="J400" i="23" s="1"/>
  <c r="I404" i="23"/>
  <c r="I403" i="23" s="1"/>
  <c r="I402" i="23" s="1"/>
  <c r="I401" i="23" s="1"/>
  <c r="I400" i="23" s="1"/>
  <c r="H404" i="23"/>
  <c r="H403" i="23" s="1"/>
  <c r="H402" i="23" s="1"/>
  <c r="H401" i="23" s="1"/>
  <c r="H400" i="23" s="1"/>
  <c r="N403" i="23"/>
  <c r="N402" i="23" s="1"/>
  <c r="N401" i="23" s="1"/>
  <c r="N400" i="23" s="1"/>
  <c r="K373" i="23"/>
  <c r="H395" i="23"/>
  <c r="H394" i="23" s="1"/>
  <c r="H393" i="23" s="1"/>
  <c r="H392" i="23" s="1"/>
  <c r="H391" i="23" s="1"/>
  <c r="U395" i="23"/>
  <c r="U394" i="23" s="1"/>
  <c r="U393" i="23" s="1"/>
  <c r="U392" i="23" s="1"/>
  <c r="U391" i="23" s="1"/>
  <c r="N395" i="23"/>
  <c r="N394" i="23" s="1"/>
  <c r="N393" i="23" s="1"/>
  <c r="N392" i="23" s="1"/>
  <c r="N391" i="23" s="1"/>
  <c r="J394" i="23"/>
  <c r="J393" i="23" s="1"/>
  <c r="I394" i="23"/>
  <c r="I393" i="23" s="1"/>
  <c r="J391" i="23"/>
  <c r="J387" i="23" s="1"/>
  <c r="I391" i="23"/>
  <c r="I387" i="23" s="1"/>
  <c r="H388" i="23"/>
  <c r="U386" i="23"/>
  <c r="N386" i="23"/>
  <c r="H386" i="23"/>
  <c r="U384" i="23"/>
  <c r="U383" i="23" s="1"/>
  <c r="N384" i="23"/>
  <c r="N383" i="23" s="1"/>
  <c r="J384" i="23"/>
  <c r="I384" i="23"/>
  <c r="H384" i="23"/>
  <c r="H383" i="23" s="1"/>
  <c r="J376" i="23"/>
  <c r="J375" i="23" s="1"/>
  <c r="J374" i="23" s="1"/>
  <c r="J373" i="23" s="1"/>
  <c r="I376" i="23"/>
  <c r="I375" i="23" s="1"/>
  <c r="I374" i="23" s="1"/>
  <c r="I373" i="23" s="1"/>
  <c r="I372" i="23" s="1"/>
  <c r="H376" i="23"/>
  <c r="U376" i="23"/>
  <c r="N376" i="23"/>
  <c r="U375" i="23"/>
  <c r="U374" i="23" s="1"/>
  <c r="U373" i="23" s="1"/>
  <c r="U368" i="23"/>
  <c r="N368" i="23"/>
  <c r="J368" i="23"/>
  <c r="J364" i="23" s="1"/>
  <c r="I368" i="23"/>
  <c r="I364" i="23" s="1"/>
  <c r="H368" i="23"/>
  <c r="U365" i="23"/>
  <c r="N365" i="23"/>
  <c r="H365" i="23"/>
  <c r="U362" i="23"/>
  <c r="U361" i="23" s="1"/>
  <c r="N362" i="23"/>
  <c r="N361" i="23" s="1"/>
  <c r="J362" i="23"/>
  <c r="J361" i="23" s="1"/>
  <c r="I362" i="23"/>
  <c r="I361" i="23" s="1"/>
  <c r="H362" i="23"/>
  <c r="H361" i="23" s="1"/>
  <c r="H355" i="23"/>
  <c r="H351" i="23" s="1"/>
  <c r="H350" i="23" s="1"/>
  <c r="H352" i="23"/>
  <c r="H346" i="23"/>
  <c r="H345" i="23" s="1"/>
  <c r="H340" i="23"/>
  <c r="H339" i="23" s="1"/>
  <c r="H338" i="23" s="1"/>
  <c r="N335" i="23"/>
  <c r="N334" i="23" s="1"/>
  <c r="N328" i="23" s="1"/>
  <c r="U335" i="23"/>
  <c r="U334" i="23" s="1"/>
  <c r="U328" i="23" s="1"/>
  <c r="H335" i="23"/>
  <c r="H334" i="23" s="1"/>
  <c r="H332" i="23"/>
  <c r="H330" i="23" s="1"/>
  <c r="H329" i="23" s="1"/>
  <c r="U330" i="23"/>
  <c r="U329" i="23" s="1"/>
  <c r="N330" i="23"/>
  <c r="N329" i="23" s="1"/>
  <c r="H314" i="23"/>
  <c r="H313" i="23" s="1"/>
  <c r="H312" i="23" s="1"/>
  <c r="U311" i="23"/>
  <c r="U310" i="23" s="1"/>
  <c r="N311" i="23"/>
  <c r="N310" i="23" s="1"/>
  <c r="H311" i="23"/>
  <c r="H291" i="23" s="1"/>
  <c r="J310" i="23"/>
  <c r="I310" i="23"/>
  <c r="U306" i="23"/>
  <c r="N306" i="23"/>
  <c r="J306" i="23"/>
  <c r="I306" i="23"/>
  <c r="H306" i="23"/>
  <c r="U303" i="23"/>
  <c r="N303" i="23"/>
  <c r="J303" i="23"/>
  <c r="I303" i="23"/>
  <c r="H303" i="23"/>
  <c r="U301" i="23"/>
  <c r="N301" i="23"/>
  <c r="J301" i="23"/>
  <c r="I301" i="23"/>
  <c r="H301" i="23"/>
  <c r="U297" i="23"/>
  <c r="U296" i="23" s="1"/>
  <c r="N297" i="23"/>
  <c r="J297" i="23"/>
  <c r="J296" i="23" s="1"/>
  <c r="J295" i="23" s="1"/>
  <c r="I297" i="23"/>
  <c r="I296" i="23" s="1"/>
  <c r="I295" i="23" s="1"/>
  <c r="H297" i="23"/>
  <c r="H296" i="23" s="1"/>
  <c r="J291" i="23"/>
  <c r="I291" i="23"/>
  <c r="H288" i="23"/>
  <c r="U288" i="23"/>
  <c r="N288" i="23"/>
  <c r="J288" i="23"/>
  <c r="I288" i="23"/>
  <c r="K286" i="23"/>
  <c r="U283" i="23"/>
  <c r="N283" i="23"/>
  <c r="H283" i="23"/>
  <c r="H282" i="23" s="1"/>
  <c r="H281" i="23" s="1"/>
  <c r="H280" i="23" s="1"/>
  <c r="H275" i="23"/>
  <c r="H274" i="23"/>
  <c r="H273" i="23" s="1"/>
  <c r="H272" i="23" s="1"/>
  <c r="H271" i="23"/>
  <c r="H270" i="23" s="1"/>
  <c r="H269" i="23" s="1"/>
  <c r="H268" i="23" s="1"/>
  <c r="H267" i="23" s="1"/>
  <c r="J270" i="23"/>
  <c r="J269" i="23" s="1"/>
  <c r="J268" i="23" s="1"/>
  <c r="J267" i="23" s="1"/>
  <c r="I270" i="23"/>
  <c r="I269" i="23" s="1"/>
  <c r="I268" i="23" s="1"/>
  <c r="I267" i="23" s="1"/>
  <c r="H261" i="23"/>
  <c r="U259" i="23"/>
  <c r="U256" i="23" s="1"/>
  <c r="U255" i="23" s="1"/>
  <c r="N259" i="23"/>
  <c r="N256" i="23" s="1"/>
  <c r="N255" i="23" s="1"/>
  <c r="J259" i="23"/>
  <c r="I259" i="23"/>
  <c r="I256" i="23" s="1"/>
  <c r="I255" i="23" s="1"/>
  <c r="I254" i="23" s="1"/>
  <c r="H259" i="23"/>
  <c r="H258" i="23"/>
  <c r="H254" i="23" s="1"/>
  <c r="J256" i="23"/>
  <c r="J255" i="23" s="1"/>
  <c r="J254" i="23" s="1"/>
  <c r="H256" i="23"/>
  <c r="H255" i="23" s="1"/>
  <c r="K255" i="23"/>
  <c r="H251" i="23"/>
  <c r="U251" i="23"/>
  <c r="U248" i="23"/>
  <c r="N248" i="23"/>
  <c r="N247" i="23" s="1"/>
  <c r="J248" i="23"/>
  <c r="J247" i="23" s="1"/>
  <c r="J246" i="23" s="1"/>
  <c r="I248" i="23"/>
  <c r="I247" i="23" s="1"/>
  <c r="I246" i="23" s="1"/>
  <c r="K246" i="23"/>
  <c r="U242" i="23"/>
  <c r="N242" i="23"/>
  <c r="J242" i="23"/>
  <c r="I242" i="23"/>
  <c r="H242" i="23"/>
  <c r="H240" i="23"/>
  <c r="U238" i="23"/>
  <c r="N238" i="23"/>
  <c r="J238" i="23"/>
  <c r="I238" i="23"/>
  <c r="H238" i="23"/>
  <c r="U236" i="23"/>
  <c r="N236" i="23"/>
  <c r="J236" i="23"/>
  <c r="I236" i="23"/>
  <c r="H236" i="23"/>
  <c r="H231" i="23"/>
  <c r="H230" i="23" s="1"/>
  <c r="H229" i="23" s="1"/>
  <c r="H227" i="23"/>
  <c r="H226" i="23" s="1"/>
  <c r="H225" i="23" s="1"/>
  <c r="U218" i="23"/>
  <c r="N218" i="23"/>
  <c r="J218" i="23"/>
  <c r="I218" i="23"/>
  <c r="H218" i="23"/>
  <c r="J215" i="23"/>
  <c r="I215" i="23"/>
  <c r="H215" i="23"/>
  <c r="U212" i="23"/>
  <c r="U211" i="23" s="1"/>
  <c r="U210" i="23" s="1"/>
  <c r="U209" i="23" s="1"/>
  <c r="N212" i="23"/>
  <c r="N211" i="23" s="1"/>
  <c r="N210" i="23" s="1"/>
  <c r="N209" i="23" s="1"/>
  <c r="H212" i="23"/>
  <c r="J212" i="23"/>
  <c r="I212" i="23"/>
  <c r="K211" i="23"/>
  <c r="U206" i="23"/>
  <c r="U205" i="23" s="1"/>
  <c r="U204" i="23" s="1"/>
  <c r="N206" i="23"/>
  <c r="N205" i="23" s="1"/>
  <c r="N204" i="23" s="1"/>
  <c r="J206" i="23"/>
  <c r="J205" i="23" s="1"/>
  <c r="J204" i="23" s="1"/>
  <c r="I206" i="23"/>
  <c r="I205" i="23" s="1"/>
  <c r="I204" i="23" s="1"/>
  <c r="H206" i="23"/>
  <c r="H205" i="23" s="1"/>
  <c r="H204" i="23" s="1"/>
  <c r="K204" i="23"/>
  <c r="U201" i="23"/>
  <c r="U200" i="23" s="1"/>
  <c r="U199" i="23" s="1"/>
  <c r="U198" i="23" s="1"/>
  <c r="N201" i="23"/>
  <c r="N200" i="23" s="1"/>
  <c r="N199" i="23" s="1"/>
  <c r="N198" i="23" s="1"/>
  <c r="J201" i="23"/>
  <c r="J200" i="23" s="1"/>
  <c r="J199" i="23" s="1"/>
  <c r="J198" i="23" s="1"/>
  <c r="I201" i="23"/>
  <c r="I200" i="23" s="1"/>
  <c r="I199" i="23" s="1"/>
  <c r="I198" i="23" s="1"/>
  <c r="H201" i="23"/>
  <c r="H200" i="23" s="1"/>
  <c r="H199" i="23" s="1"/>
  <c r="H198" i="23" s="1"/>
  <c r="U196" i="23"/>
  <c r="N196" i="23"/>
  <c r="J196" i="23"/>
  <c r="I196" i="23"/>
  <c r="H196" i="23"/>
  <c r="U194" i="23"/>
  <c r="N194" i="23"/>
  <c r="J194" i="23"/>
  <c r="I194" i="23"/>
  <c r="H194" i="23"/>
  <c r="U192" i="23"/>
  <c r="N192" i="23"/>
  <c r="J192" i="23"/>
  <c r="I192" i="23"/>
  <c r="H192" i="23"/>
  <c r="U189" i="23"/>
  <c r="U188" i="23" s="1"/>
  <c r="N189" i="23"/>
  <c r="N188" i="23" s="1"/>
  <c r="J189" i="23"/>
  <c r="J188" i="23" s="1"/>
  <c r="I189" i="23"/>
  <c r="I188" i="23" s="1"/>
  <c r="H189" i="23"/>
  <c r="H188" i="23" s="1"/>
  <c r="H183" i="23"/>
  <c r="U183" i="23"/>
  <c r="N183" i="23"/>
  <c r="J183" i="23"/>
  <c r="I183" i="23"/>
  <c r="U181" i="23"/>
  <c r="U180" i="23" s="1"/>
  <c r="U179" i="23" s="1"/>
  <c r="N181" i="23"/>
  <c r="J181" i="23"/>
  <c r="I181" i="23"/>
  <c r="H181" i="23"/>
  <c r="U176" i="23"/>
  <c r="J176" i="23"/>
  <c r="I176" i="23"/>
  <c r="H173" i="23"/>
  <c r="U173" i="23"/>
  <c r="U169" i="23" s="1"/>
  <c r="U168" i="23" s="1"/>
  <c r="N173" i="23"/>
  <c r="N169" i="23" s="1"/>
  <c r="N168" i="23" s="1"/>
  <c r="J173" i="23"/>
  <c r="I173" i="23"/>
  <c r="H170" i="23"/>
  <c r="J170" i="23"/>
  <c r="I170" i="23"/>
  <c r="K168" i="23"/>
  <c r="H161" i="23"/>
  <c r="H160" i="23" s="1"/>
  <c r="H159" i="23" s="1"/>
  <c r="U161" i="23"/>
  <c r="U160" i="23" s="1"/>
  <c r="U159" i="23" s="1"/>
  <c r="U157" i="23" s="1"/>
  <c r="N161" i="23"/>
  <c r="N160" i="23" s="1"/>
  <c r="N159" i="23" s="1"/>
  <c r="N157" i="23" s="1"/>
  <c r="K161" i="23"/>
  <c r="J161" i="23"/>
  <c r="J160" i="23" s="1"/>
  <c r="I161" i="23"/>
  <c r="I160" i="23" s="1"/>
  <c r="J157" i="23"/>
  <c r="I157" i="23"/>
  <c r="H155" i="23"/>
  <c r="H154" i="23" s="1"/>
  <c r="H153" i="23" s="1"/>
  <c r="H152" i="23" s="1"/>
  <c r="H149" i="23"/>
  <c r="H148" i="23" s="1"/>
  <c r="H147" i="23" s="1"/>
  <c r="U149" i="23"/>
  <c r="U148" i="23" s="1"/>
  <c r="U147" i="23" s="1"/>
  <c r="N149" i="23"/>
  <c r="N148" i="23" s="1"/>
  <c r="N147" i="23" s="1"/>
  <c r="J149" i="23"/>
  <c r="I149" i="23"/>
  <c r="H143" i="23"/>
  <c r="H142" i="23" s="1"/>
  <c r="U143" i="23"/>
  <c r="U142" i="23" s="1"/>
  <c r="N143" i="23"/>
  <c r="N142" i="23" s="1"/>
  <c r="J143" i="23"/>
  <c r="J142" i="23" s="1"/>
  <c r="I143" i="23"/>
  <c r="I142" i="23" s="1"/>
  <c r="U140" i="23"/>
  <c r="N140" i="23"/>
  <c r="J140" i="23"/>
  <c r="I140" i="23"/>
  <c r="H140" i="23"/>
  <c r="U138" i="23"/>
  <c r="N138" i="23"/>
  <c r="J138" i="23"/>
  <c r="I138" i="23"/>
  <c r="H135" i="23"/>
  <c r="U135" i="23"/>
  <c r="N135" i="23"/>
  <c r="J135" i="23"/>
  <c r="I135" i="23"/>
  <c r="U132" i="23"/>
  <c r="N132" i="23"/>
  <c r="N131" i="23" s="1"/>
  <c r="K132" i="23"/>
  <c r="U125" i="23"/>
  <c r="U124" i="23" s="1"/>
  <c r="U123" i="23" s="1"/>
  <c r="U122" i="23" s="1"/>
  <c r="U121" i="23" s="1"/>
  <c r="U120" i="23" s="1"/>
  <c r="N125" i="23"/>
  <c r="N124" i="23" s="1"/>
  <c r="N123" i="23" s="1"/>
  <c r="N122" i="23" s="1"/>
  <c r="N121" i="23" s="1"/>
  <c r="N120" i="23" s="1"/>
  <c r="J125" i="23"/>
  <c r="J124" i="23" s="1"/>
  <c r="J123" i="23" s="1"/>
  <c r="J122" i="23" s="1"/>
  <c r="J121" i="23" s="1"/>
  <c r="J120" i="23" s="1"/>
  <c r="I125" i="23"/>
  <c r="I124" i="23" s="1"/>
  <c r="I123" i="23" s="1"/>
  <c r="I122" i="23" s="1"/>
  <c r="I121" i="23" s="1"/>
  <c r="I120" i="23" s="1"/>
  <c r="H125" i="23"/>
  <c r="H124" i="23" s="1"/>
  <c r="H123" i="23" s="1"/>
  <c r="H122" i="23" s="1"/>
  <c r="H121" i="23" s="1"/>
  <c r="H120" i="23" s="1"/>
  <c r="U117" i="23"/>
  <c r="U112" i="23" s="1"/>
  <c r="U111" i="23" s="1"/>
  <c r="U110" i="23" s="1"/>
  <c r="N117" i="23"/>
  <c r="N112" i="23" s="1"/>
  <c r="N111" i="23" s="1"/>
  <c r="N110" i="23" s="1"/>
  <c r="J117" i="23"/>
  <c r="J112" i="23" s="1"/>
  <c r="J111" i="23" s="1"/>
  <c r="J110" i="23" s="1"/>
  <c r="I117" i="23"/>
  <c r="H117" i="23"/>
  <c r="U115" i="23"/>
  <c r="N115" i="23"/>
  <c r="J115" i="23"/>
  <c r="I115" i="23"/>
  <c r="H115" i="23"/>
  <c r="U113" i="23"/>
  <c r="N113" i="23"/>
  <c r="J113" i="23"/>
  <c r="I113" i="23"/>
  <c r="H113" i="23"/>
  <c r="H112" i="23" s="1"/>
  <c r="H111" i="23" s="1"/>
  <c r="H110" i="23" s="1"/>
  <c r="I112" i="23"/>
  <c r="I111" i="23" s="1"/>
  <c r="I110" i="23" s="1"/>
  <c r="H104" i="23"/>
  <c r="H103" i="23" s="1"/>
  <c r="H102" i="23" s="1"/>
  <c r="H101" i="23" s="1"/>
  <c r="U104" i="23"/>
  <c r="U103" i="23" s="1"/>
  <c r="U102" i="23" s="1"/>
  <c r="U101" i="23" s="1"/>
  <c r="N104" i="23"/>
  <c r="N103" i="23" s="1"/>
  <c r="N102" i="23" s="1"/>
  <c r="N101" i="23" s="1"/>
  <c r="J104" i="23"/>
  <c r="J103" i="23" s="1"/>
  <c r="J102" i="23" s="1"/>
  <c r="J101" i="23" s="1"/>
  <c r="I104" i="23"/>
  <c r="I103" i="23" s="1"/>
  <c r="I102" i="23" s="1"/>
  <c r="I101" i="23" s="1"/>
  <c r="U97" i="23"/>
  <c r="U96" i="23" s="1"/>
  <c r="U95" i="23" s="1"/>
  <c r="U94" i="23" s="1"/>
  <c r="U93" i="23" s="1"/>
  <c r="N97" i="23"/>
  <c r="J97" i="23"/>
  <c r="J96" i="23" s="1"/>
  <c r="J95" i="23" s="1"/>
  <c r="J94" i="23" s="1"/>
  <c r="J93" i="23" s="1"/>
  <c r="I97" i="23"/>
  <c r="I96" i="23" s="1"/>
  <c r="I95" i="23" s="1"/>
  <c r="I94" i="23" s="1"/>
  <c r="I93" i="23" s="1"/>
  <c r="H97" i="23"/>
  <c r="H96" i="23" s="1"/>
  <c r="H95" i="23" s="1"/>
  <c r="H94" i="23" s="1"/>
  <c r="H93" i="23" s="1"/>
  <c r="N96" i="23"/>
  <c r="N95" i="23" s="1"/>
  <c r="N94" i="23" s="1"/>
  <c r="N93" i="23" s="1"/>
  <c r="U90" i="23"/>
  <c r="U89" i="23" s="1"/>
  <c r="U88" i="23" s="1"/>
  <c r="U87" i="23" s="1"/>
  <c r="U86" i="23" s="1"/>
  <c r="N90" i="23"/>
  <c r="N89" i="23" s="1"/>
  <c r="N88" i="23" s="1"/>
  <c r="N87" i="23" s="1"/>
  <c r="N86" i="23" s="1"/>
  <c r="H90" i="23"/>
  <c r="H89" i="23" s="1"/>
  <c r="H88" i="23" s="1"/>
  <c r="H87" i="23" s="1"/>
  <c r="H86" i="23" s="1"/>
  <c r="H83" i="23"/>
  <c r="H82" i="23" s="1"/>
  <c r="H81" i="23" s="1"/>
  <c r="H80" i="23" s="1"/>
  <c r="H79" i="23" s="1"/>
  <c r="K78" i="23"/>
  <c r="K77" i="23" s="1"/>
  <c r="U76" i="23"/>
  <c r="U75" i="23" s="1"/>
  <c r="U74" i="23" s="1"/>
  <c r="N76" i="23"/>
  <c r="N75" i="23" s="1"/>
  <c r="N74" i="23" s="1"/>
  <c r="J76" i="23"/>
  <c r="J75" i="23" s="1"/>
  <c r="J74" i="23" s="1"/>
  <c r="I76" i="23"/>
  <c r="I75" i="23" s="1"/>
  <c r="I74" i="23" s="1"/>
  <c r="H76" i="23"/>
  <c r="H75" i="23" s="1"/>
  <c r="H74" i="23" s="1"/>
  <c r="U72" i="23"/>
  <c r="N72" i="23"/>
  <c r="J72" i="23"/>
  <c r="I72" i="23"/>
  <c r="H72" i="23"/>
  <c r="J69" i="23"/>
  <c r="I69" i="23"/>
  <c r="H69" i="23"/>
  <c r="J66" i="23"/>
  <c r="I66" i="23"/>
  <c r="H66" i="23"/>
  <c r="K63" i="23"/>
  <c r="K61" i="23"/>
  <c r="H59" i="23"/>
  <c r="U59" i="23"/>
  <c r="N59" i="23"/>
  <c r="J59" i="23"/>
  <c r="I59" i="23"/>
  <c r="L55" i="23"/>
  <c r="U51" i="23"/>
  <c r="U50" i="23" s="1"/>
  <c r="U49" i="23" s="1"/>
  <c r="U48" i="23" s="1"/>
  <c r="N51" i="23"/>
  <c r="N50" i="23" s="1"/>
  <c r="N49" i="23" s="1"/>
  <c r="N48" i="23" s="1"/>
  <c r="J51" i="23"/>
  <c r="J50" i="23" s="1"/>
  <c r="J49" i="23" s="1"/>
  <c r="J48" i="23" s="1"/>
  <c r="J47" i="23" s="1"/>
  <c r="I51" i="23"/>
  <c r="I50" i="23" s="1"/>
  <c r="I49" i="23" s="1"/>
  <c r="I48" i="23" s="1"/>
  <c r="I47" i="23" s="1"/>
  <c r="H51" i="23"/>
  <c r="H50" i="23" s="1"/>
  <c r="H49" i="23" s="1"/>
  <c r="H48" i="23" s="1"/>
  <c r="J45" i="23"/>
  <c r="J44" i="23" s="1"/>
  <c r="J43" i="23" s="1"/>
  <c r="I45" i="23"/>
  <c r="I44" i="23" s="1"/>
  <c r="I43" i="23" s="1"/>
  <c r="H45" i="23"/>
  <c r="H44" i="23" s="1"/>
  <c r="H43" i="23" s="1"/>
  <c r="J26" i="23"/>
  <c r="J25" i="23" s="1"/>
  <c r="J24" i="23" s="1"/>
  <c r="J23" i="23" s="1"/>
  <c r="J22" i="23" s="1"/>
  <c r="I26" i="23"/>
  <c r="I25" i="23" s="1"/>
  <c r="I24" i="23" s="1"/>
  <c r="I23" i="23" s="1"/>
  <c r="I22" i="23" s="1"/>
  <c r="I12" i="23"/>
  <c r="P727" i="22"/>
  <c r="P726" i="22" s="1"/>
  <c r="O727" i="22"/>
  <c r="O726" i="22" s="1"/>
  <c r="J727" i="22"/>
  <c r="J726" i="22" s="1"/>
  <c r="R726" i="22"/>
  <c r="Q726" i="22"/>
  <c r="N726" i="22"/>
  <c r="P725" i="22"/>
  <c r="P724" i="22" s="1"/>
  <c r="O725" i="22"/>
  <c r="O724" i="22" s="1"/>
  <c r="J725" i="22"/>
  <c r="J724" i="22" s="1"/>
  <c r="R724" i="22"/>
  <c r="Q724" i="22"/>
  <c r="N724" i="22"/>
  <c r="M723" i="22"/>
  <c r="L723" i="22"/>
  <c r="R721" i="22"/>
  <c r="R719" i="22" s="1"/>
  <c r="Q721" i="22"/>
  <c r="Q719" i="22" s="1"/>
  <c r="P721" i="22"/>
  <c r="P719" i="22" s="1"/>
  <c r="O721" i="22"/>
  <c r="O719" i="22" s="1"/>
  <c r="N721" i="22"/>
  <c r="J721" i="22"/>
  <c r="J719" i="22" s="1"/>
  <c r="R706" i="22"/>
  <c r="R705" i="22" s="1"/>
  <c r="Q706" i="22"/>
  <c r="Q705" i="22" s="1"/>
  <c r="N706" i="22"/>
  <c r="N705" i="22" s="1"/>
  <c r="R703" i="22"/>
  <c r="R702" i="22" s="1"/>
  <c r="Q703" i="22"/>
  <c r="Q702" i="22" s="1"/>
  <c r="N703" i="22"/>
  <c r="N702" i="22" s="1"/>
  <c r="M703" i="22"/>
  <c r="M702" i="22" s="1"/>
  <c r="N700" i="22"/>
  <c r="N699" i="22" s="1"/>
  <c r="J698" i="22"/>
  <c r="R697" i="22"/>
  <c r="Q697" i="22"/>
  <c r="N697" i="22"/>
  <c r="N696" i="22" s="1"/>
  <c r="J697" i="22"/>
  <c r="J695" i="22"/>
  <c r="J694" i="22" s="1"/>
  <c r="R694" i="22"/>
  <c r="Q694" i="22"/>
  <c r="N694" i="22"/>
  <c r="N693" i="22" s="1"/>
  <c r="R692" i="22"/>
  <c r="M692" i="22"/>
  <c r="L692" i="22"/>
  <c r="N690" i="22"/>
  <c r="N689" i="22" s="1"/>
  <c r="J688" i="22"/>
  <c r="R687" i="22"/>
  <c r="R686" i="22" s="1"/>
  <c r="Q687" i="22"/>
  <c r="Q686" i="22" s="1"/>
  <c r="N687" i="22"/>
  <c r="N686" i="22" s="1"/>
  <c r="J685" i="22"/>
  <c r="J684" i="22" s="1"/>
  <c r="R684" i="22"/>
  <c r="Q684" i="22"/>
  <c r="P684" i="22"/>
  <c r="O684" i="22"/>
  <c r="N684" i="22"/>
  <c r="J683" i="22"/>
  <c r="J682" i="22" s="1"/>
  <c r="R682" i="22"/>
  <c r="Q682" i="22"/>
  <c r="P682" i="22"/>
  <c r="O682" i="22"/>
  <c r="N682" i="22"/>
  <c r="R680" i="22"/>
  <c r="R679" i="22" s="1"/>
  <c r="R678" i="22" s="1"/>
  <c r="Q680" i="22"/>
  <c r="Q679" i="22" s="1"/>
  <c r="Q678" i="22" s="1"/>
  <c r="N680" i="22"/>
  <c r="N679" i="22" s="1"/>
  <c r="N678" i="22" s="1"/>
  <c r="R674" i="22"/>
  <c r="R673" i="22" s="1"/>
  <c r="Q674" i="22"/>
  <c r="Q673" i="22" s="1"/>
  <c r="P674" i="22"/>
  <c r="P673" i="22" s="1"/>
  <c r="O674" i="22"/>
  <c r="O673" i="22" s="1"/>
  <c r="N674" i="22"/>
  <c r="N673" i="22" s="1"/>
  <c r="M674" i="22"/>
  <c r="M673" i="22" s="1"/>
  <c r="L674" i="22"/>
  <c r="L673" i="22" s="1"/>
  <c r="J674" i="22"/>
  <c r="J673" i="22" s="1"/>
  <c r="M670" i="22"/>
  <c r="L670" i="22"/>
  <c r="R668" i="22"/>
  <c r="R667" i="22" s="1"/>
  <c r="Q668" i="22"/>
  <c r="P668" i="22"/>
  <c r="P667" i="22" s="1"/>
  <c r="O668" i="22"/>
  <c r="O667" i="22" s="1"/>
  <c r="N668" i="22"/>
  <c r="N667" i="22" s="1"/>
  <c r="Q667" i="22"/>
  <c r="M667" i="22"/>
  <c r="L667" i="22"/>
  <c r="R665" i="22"/>
  <c r="R664" i="22" s="1"/>
  <c r="Q665" i="22"/>
  <c r="Q664" i="22" s="1"/>
  <c r="N665" i="22"/>
  <c r="N664" i="22" s="1"/>
  <c r="J663" i="22"/>
  <c r="J662" i="22" s="1"/>
  <c r="J661" i="22" s="1"/>
  <c r="R662" i="22"/>
  <c r="R661" i="22" s="1"/>
  <c r="Q662" i="22"/>
  <c r="Q661" i="22" s="1"/>
  <c r="P662" i="22"/>
  <c r="P661" i="22" s="1"/>
  <c r="O662" i="22"/>
  <c r="O661" i="22" s="1"/>
  <c r="N662" i="22"/>
  <c r="N661" i="22" s="1"/>
  <c r="R659" i="22"/>
  <c r="R658" i="22" s="1"/>
  <c r="Q659" i="22"/>
  <c r="Q658" i="22" s="1"/>
  <c r="P659" i="22"/>
  <c r="P658" i="22" s="1"/>
  <c r="O659" i="22"/>
  <c r="O658" i="22" s="1"/>
  <c r="N659" i="22"/>
  <c r="N658" i="22" s="1"/>
  <c r="J659" i="22"/>
  <c r="J658" i="22" s="1"/>
  <c r="R656" i="22"/>
  <c r="R655" i="22" s="1"/>
  <c r="Q656" i="22"/>
  <c r="Q655" i="22" s="1"/>
  <c r="P656" i="22"/>
  <c r="P655" i="22" s="1"/>
  <c r="O656" i="22"/>
  <c r="O655" i="22" s="1"/>
  <c r="N656" i="22"/>
  <c r="N655" i="22" s="1"/>
  <c r="J656" i="22"/>
  <c r="J655" i="22" s="1"/>
  <c r="R653" i="22"/>
  <c r="Q653" i="22"/>
  <c r="P653" i="22"/>
  <c r="O653" i="22"/>
  <c r="N653" i="22"/>
  <c r="M653" i="22"/>
  <c r="L653" i="22"/>
  <c r="K653" i="22"/>
  <c r="J653" i="22"/>
  <c r="J649" i="22" s="1"/>
  <c r="R651" i="22"/>
  <c r="Q651" i="22"/>
  <c r="P651" i="22"/>
  <c r="O651" i="22"/>
  <c r="J633" i="22"/>
  <c r="J632" i="22" s="1"/>
  <c r="J628" i="22" s="1"/>
  <c r="J627" i="22" s="1"/>
  <c r="R632" i="22"/>
  <c r="R628" i="22" s="1"/>
  <c r="R627" i="22" s="1"/>
  <c r="Q632" i="22"/>
  <c r="Q628" i="22" s="1"/>
  <c r="Q627" i="22" s="1"/>
  <c r="P632" i="22"/>
  <c r="P628" i="22" s="1"/>
  <c r="P627" i="22" s="1"/>
  <c r="O632" i="22"/>
  <c r="O628" i="22" s="1"/>
  <c r="O627" i="22" s="1"/>
  <c r="M628" i="22"/>
  <c r="M627" i="22" s="1"/>
  <c r="L628" i="22"/>
  <c r="L627" i="22" s="1"/>
  <c r="R625" i="22"/>
  <c r="R623" i="22" s="1"/>
  <c r="Q625" i="22"/>
  <c r="Q623" i="22" s="1"/>
  <c r="P625" i="22"/>
  <c r="P623" i="22" s="1"/>
  <c r="O625" i="22"/>
  <c r="O623" i="22" s="1"/>
  <c r="J625" i="22"/>
  <c r="J623" i="22" s="1"/>
  <c r="M623" i="22"/>
  <c r="L623" i="22"/>
  <c r="R621" i="22"/>
  <c r="R620" i="22" s="1"/>
  <c r="Q621" i="22"/>
  <c r="Q620" i="22" s="1"/>
  <c r="N621" i="22"/>
  <c r="N620" i="22" s="1"/>
  <c r="N618" i="22"/>
  <c r="R614" i="22"/>
  <c r="R612" i="22" s="1"/>
  <c r="Q614" i="22"/>
  <c r="Q612" i="22" s="1"/>
  <c r="N614" i="22"/>
  <c r="R606" i="22"/>
  <c r="R605" i="22" s="1"/>
  <c r="Q606" i="22"/>
  <c r="Q605" i="22" s="1"/>
  <c r="P606" i="22"/>
  <c r="P605" i="22" s="1"/>
  <c r="O606" i="22"/>
  <c r="O605" i="22" s="1"/>
  <c r="N606" i="22"/>
  <c r="N605" i="22" s="1"/>
  <c r="J606" i="22"/>
  <c r="J605" i="22" s="1"/>
  <c r="M605" i="22"/>
  <c r="L605" i="22"/>
  <c r="R603" i="22"/>
  <c r="R602" i="22" s="1"/>
  <c r="Q603" i="22"/>
  <c r="Q602" i="22" s="1"/>
  <c r="P603" i="22"/>
  <c r="P602" i="22" s="1"/>
  <c r="O603" i="22"/>
  <c r="O602" i="22" s="1"/>
  <c r="N603" i="22"/>
  <c r="N602" i="22" s="1"/>
  <c r="J603" i="22"/>
  <c r="J602" i="22" s="1"/>
  <c r="M602" i="22"/>
  <c r="L602" i="22"/>
  <c r="R596" i="22"/>
  <c r="Q596" i="22"/>
  <c r="P596" i="22"/>
  <c r="O596" i="22"/>
  <c r="N596" i="22"/>
  <c r="J596" i="22"/>
  <c r="J592" i="22"/>
  <c r="J591" i="22" s="1"/>
  <c r="J589" i="22" s="1"/>
  <c r="R591" i="22"/>
  <c r="R589" i="22" s="1"/>
  <c r="Q591" i="22"/>
  <c r="Q589" i="22" s="1"/>
  <c r="P591" i="22"/>
  <c r="P589" i="22" s="1"/>
  <c r="O591" i="22"/>
  <c r="O589" i="22" s="1"/>
  <c r="N591" i="22"/>
  <c r="M589" i="22"/>
  <c r="L589" i="22"/>
  <c r="N586" i="22"/>
  <c r="N585" i="22" s="1"/>
  <c r="R583" i="22"/>
  <c r="R581" i="22" s="1"/>
  <c r="Q583" i="22"/>
  <c r="Q581" i="22" s="1"/>
  <c r="P583" i="22"/>
  <c r="P581" i="22" s="1"/>
  <c r="O583" i="22"/>
  <c r="O581" i="22" s="1"/>
  <c r="N583" i="22"/>
  <c r="M583" i="22"/>
  <c r="L583" i="22"/>
  <c r="K583" i="22"/>
  <c r="J583" i="22"/>
  <c r="J581" i="22" s="1"/>
  <c r="R575" i="22"/>
  <c r="R580" i="22" s="1"/>
  <c r="R579" i="22" s="1"/>
  <c r="Q575" i="22"/>
  <c r="Q580" i="22" s="1"/>
  <c r="Q579" i="22" s="1"/>
  <c r="P575" i="22"/>
  <c r="P580" i="22" s="1"/>
  <c r="P579" i="22" s="1"/>
  <c r="O575" i="22"/>
  <c r="O580" i="22" s="1"/>
  <c r="O579" i="22" s="1"/>
  <c r="N573" i="22"/>
  <c r="J574" i="22"/>
  <c r="J573" i="22" s="1"/>
  <c r="R573" i="22"/>
  <c r="Q573" i="22"/>
  <c r="P573" i="22"/>
  <c r="O573" i="22"/>
  <c r="N571" i="22"/>
  <c r="R568" i="22"/>
  <c r="Q568" i="22"/>
  <c r="P568" i="22"/>
  <c r="O568" i="22"/>
  <c r="N568" i="22"/>
  <c r="J568" i="22"/>
  <c r="R566" i="22"/>
  <c r="Q566" i="22"/>
  <c r="P566" i="22"/>
  <c r="P564" i="22" s="1"/>
  <c r="O566" i="22"/>
  <c r="O564" i="22" s="1"/>
  <c r="J566" i="22"/>
  <c r="J564" i="22" s="1"/>
  <c r="M564" i="22"/>
  <c r="M561" i="22" s="1"/>
  <c r="L564" i="22"/>
  <c r="L561" i="22" s="1"/>
  <c r="R563" i="22"/>
  <c r="R562" i="22" s="1"/>
  <c r="R561" i="22" s="1"/>
  <c r="Q563" i="22"/>
  <c r="Q562" i="22" s="1"/>
  <c r="Q561" i="22" s="1"/>
  <c r="P563" i="22"/>
  <c r="P562" i="22" s="1"/>
  <c r="P561" i="22" s="1"/>
  <c r="O563" i="22"/>
  <c r="O562" i="22" s="1"/>
  <c r="O561" i="22" s="1"/>
  <c r="J560" i="22"/>
  <c r="J559" i="22" s="1"/>
  <c r="J557" i="22" s="1"/>
  <c r="J556" i="22" s="1"/>
  <c r="J555" i="22" s="1"/>
  <c r="R559" i="22"/>
  <c r="R557" i="22" s="1"/>
  <c r="R556" i="22" s="1"/>
  <c r="R555" i="22" s="1"/>
  <c r="Q559" i="22"/>
  <c r="Q557" i="22" s="1"/>
  <c r="Q556" i="22" s="1"/>
  <c r="Q555" i="22" s="1"/>
  <c r="P559" i="22"/>
  <c r="P557" i="22" s="1"/>
  <c r="P556" i="22" s="1"/>
  <c r="P555" i="22" s="1"/>
  <c r="O559" i="22"/>
  <c r="O557" i="22" s="1"/>
  <c r="O556" i="22" s="1"/>
  <c r="O555" i="22" s="1"/>
  <c r="N559" i="22"/>
  <c r="M557" i="22"/>
  <c r="L557" i="22"/>
  <c r="R554" i="22"/>
  <c r="R553" i="22" s="1"/>
  <c r="R552" i="22" s="1"/>
  <c r="R551" i="22" s="1"/>
  <c r="R550" i="22" s="1"/>
  <c r="Q554" i="22"/>
  <c r="Q553" i="22" s="1"/>
  <c r="Q552" i="22" s="1"/>
  <c r="Q551" i="22" s="1"/>
  <c r="Q550" i="22" s="1"/>
  <c r="N554" i="22"/>
  <c r="N553" i="22" s="1"/>
  <c r="N552" i="22" s="1"/>
  <c r="N551" i="22" s="1"/>
  <c r="N550" i="22" s="1"/>
  <c r="P553" i="22"/>
  <c r="P552" i="22" s="1"/>
  <c r="P551" i="22" s="1"/>
  <c r="P550" i="22" s="1"/>
  <c r="P470" i="22" s="1"/>
  <c r="O553" i="22"/>
  <c r="O552" i="22" s="1"/>
  <c r="O551" i="22" s="1"/>
  <c r="O550" i="22" s="1"/>
  <c r="O470" i="22" s="1"/>
  <c r="O477" i="22" s="1"/>
  <c r="R548" i="22"/>
  <c r="R547" i="22" s="1"/>
  <c r="R546" i="22" s="1"/>
  <c r="R545" i="22" s="1"/>
  <c r="Q548" i="22"/>
  <c r="Q547" i="22" s="1"/>
  <c r="Q546" i="22" s="1"/>
  <c r="Q545" i="22" s="1"/>
  <c r="P548" i="22"/>
  <c r="P547" i="22" s="1"/>
  <c r="P546" i="22" s="1"/>
  <c r="P545" i="22" s="1"/>
  <c r="O548" i="22"/>
  <c r="O547" i="22" s="1"/>
  <c r="O546" i="22" s="1"/>
  <c r="O545" i="22" s="1"/>
  <c r="N548" i="22"/>
  <c r="N547" i="22" s="1"/>
  <c r="N546" i="22" s="1"/>
  <c r="N545" i="22" s="1"/>
  <c r="J548" i="22"/>
  <c r="J547" i="22" s="1"/>
  <c r="J546" i="22" s="1"/>
  <c r="J545" i="22" s="1"/>
  <c r="M547" i="22"/>
  <c r="M546" i="22" s="1"/>
  <c r="M545" i="22" s="1"/>
  <c r="L547" i="22"/>
  <c r="L546" i="22" s="1"/>
  <c r="L545" i="22" s="1"/>
  <c r="J544" i="22"/>
  <c r="J543" i="22" s="1"/>
  <c r="R543" i="22"/>
  <c r="Q543" i="22"/>
  <c r="P543" i="22"/>
  <c r="O543" i="22"/>
  <c r="M541" i="22"/>
  <c r="L541" i="22"/>
  <c r="J541" i="22"/>
  <c r="R540" i="22"/>
  <c r="Q540" i="22"/>
  <c r="P540" i="22"/>
  <c r="O540" i="22"/>
  <c r="N540" i="22"/>
  <c r="M540" i="22"/>
  <c r="M539" i="22" s="1"/>
  <c r="L540" i="22"/>
  <c r="L539" i="22" s="1"/>
  <c r="J540" i="22"/>
  <c r="P537" i="22"/>
  <c r="O537" i="22"/>
  <c r="P535" i="22"/>
  <c r="O535" i="22"/>
  <c r="J535" i="22"/>
  <c r="R532" i="22"/>
  <c r="R531" i="22" s="1"/>
  <c r="Q532" i="22"/>
  <c r="Q531" i="22" s="1"/>
  <c r="P532" i="22"/>
  <c r="P531" i="22" s="1"/>
  <c r="O532" i="22"/>
  <c r="O531" i="22" s="1"/>
  <c r="N532" i="22"/>
  <c r="N531" i="22" s="1"/>
  <c r="J532" i="22"/>
  <c r="J531" i="22" s="1"/>
  <c r="M531" i="22"/>
  <c r="L531" i="22"/>
  <c r="R529" i="22"/>
  <c r="R527" i="22" s="1"/>
  <c r="Q529" i="22"/>
  <c r="Q527" i="22" s="1"/>
  <c r="P529" i="22"/>
  <c r="P527" i="22" s="1"/>
  <c r="O529" i="22"/>
  <c r="O527" i="22" s="1"/>
  <c r="N529" i="22"/>
  <c r="N527" i="22" s="1"/>
  <c r="J529" i="22"/>
  <c r="J527" i="22" s="1"/>
  <c r="M527" i="22"/>
  <c r="L527" i="22"/>
  <c r="R525" i="22"/>
  <c r="R524" i="22" s="1"/>
  <c r="Q525" i="22"/>
  <c r="Q524" i="22" s="1"/>
  <c r="P525" i="22"/>
  <c r="P524" i="22" s="1"/>
  <c r="O525" i="22"/>
  <c r="O524" i="22" s="1"/>
  <c r="N525" i="22"/>
  <c r="N524" i="22" s="1"/>
  <c r="J525" i="22"/>
  <c r="J524" i="22" s="1"/>
  <c r="M524" i="22"/>
  <c r="L524" i="22"/>
  <c r="R522" i="22"/>
  <c r="R521" i="22" s="1"/>
  <c r="R520" i="22" s="1"/>
  <c r="R519" i="22" s="1"/>
  <c r="Q522" i="22"/>
  <c r="Q521" i="22" s="1"/>
  <c r="Q520" i="22" s="1"/>
  <c r="Q519" i="22" s="1"/>
  <c r="P522" i="22"/>
  <c r="P521" i="22" s="1"/>
  <c r="P520" i="22" s="1"/>
  <c r="P519" i="22" s="1"/>
  <c r="O522" i="22"/>
  <c r="O521" i="22" s="1"/>
  <c r="O520" i="22" s="1"/>
  <c r="O519" i="22" s="1"/>
  <c r="N522" i="22"/>
  <c r="N521" i="22" s="1"/>
  <c r="N520" i="22" s="1"/>
  <c r="N519" i="22" s="1"/>
  <c r="J522" i="22"/>
  <c r="J521" i="22" s="1"/>
  <c r="J520" i="22" s="1"/>
  <c r="J519" i="22" s="1"/>
  <c r="M521" i="22"/>
  <c r="L521" i="22"/>
  <c r="R517" i="22"/>
  <c r="R516" i="22" s="1"/>
  <c r="Q517" i="22"/>
  <c r="Q516" i="22" s="1"/>
  <c r="P517" i="22"/>
  <c r="P516" i="22" s="1"/>
  <c r="O517" i="22"/>
  <c r="O516" i="22" s="1"/>
  <c r="N517" i="22"/>
  <c r="N516" i="22" s="1"/>
  <c r="J517" i="22"/>
  <c r="J516" i="22" s="1"/>
  <c r="R510" i="22"/>
  <c r="R508" i="22" s="1"/>
  <c r="Q510" i="22"/>
  <c r="Q508" i="22" s="1"/>
  <c r="P510" i="22"/>
  <c r="P508" i="22" s="1"/>
  <c r="O510" i="22"/>
  <c r="O508" i="22" s="1"/>
  <c r="N510" i="22"/>
  <c r="J510" i="22"/>
  <c r="J508" i="22" s="1"/>
  <c r="R506" i="22"/>
  <c r="R504" i="22" s="1"/>
  <c r="Q506" i="22"/>
  <c r="Q504" i="22" s="1"/>
  <c r="P506" i="22"/>
  <c r="P504" i="22" s="1"/>
  <c r="O506" i="22"/>
  <c r="O504" i="22" s="1"/>
  <c r="N506" i="22"/>
  <c r="J506" i="22"/>
  <c r="J504" i="22" s="1"/>
  <c r="R503" i="22"/>
  <c r="Q503" i="22"/>
  <c r="P503" i="22"/>
  <c r="O503" i="22"/>
  <c r="M503" i="22"/>
  <c r="L503" i="22"/>
  <c r="J503" i="22"/>
  <c r="L501" i="22"/>
  <c r="M501" i="22" s="1"/>
  <c r="N493" i="22"/>
  <c r="N503" i="22"/>
  <c r="R491" i="22"/>
  <c r="Q491" i="22"/>
  <c r="P491" i="22"/>
  <c r="O491" i="22"/>
  <c r="J491" i="22"/>
  <c r="J488" i="22"/>
  <c r="J487" i="22" s="1"/>
  <c r="R487" i="22"/>
  <c r="Q487" i="22"/>
  <c r="P487" i="22"/>
  <c r="O487" i="22"/>
  <c r="N487" i="22"/>
  <c r="R486" i="22"/>
  <c r="Q486" i="22"/>
  <c r="P486" i="22"/>
  <c r="O486" i="22"/>
  <c r="N486" i="22"/>
  <c r="N485" i="22" s="1"/>
  <c r="M486" i="22"/>
  <c r="L486" i="22"/>
  <c r="J484" i="22"/>
  <c r="J482" i="22"/>
  <c r="R481" i="22"/>
  <c r="Q481" i="22"/>
  <c r="P481" i="22"/>
  <c r="O481" i="22"/>
  <c r="M481" i="22"/>
  <c r="M478" i="22" s="1"/>
  <c r="L481" i="22"/>
  <c r="L478" i="22" s="1"/>
  <c r="R479" i="22"/>
  <c r="Q479" i="22"/>
  <c r="R478" i="22"/>
  <c r="Q478" i="22"/>
  <c r="R477" i="22"/>
  <c r="Q477" i="22"/>
  <c r="R475" i="22"/>
  <c r="R473" i="22" s="1"/>
  <c r="R472" i="22" s="1"/>
  <c r="R471" i="22" s="1"/>
  <c r="Q475" i="22"/>
  <c r="Q473" i="22" s="1"/>
  <c r="Q472" i="22" s="1"/>
  <c r="Q471" i="22" s="1"/>
  <c r="N475" i="22"/>
  <c r="N453" i="22"/>
  <c r="N452" i="22" s="1"/>
  <c r="N451" i="22" s="1"/>
  <c r="N450" i="22" s="1"/>
  <c r="N446" i="22"/>
  <c r="N445" i="22" s="1"/>
  <c r="N444" i="22" s="1"/>
  <c r="N443" i="22" s="1"/>
  <c r="N442" i="22" s="1"/>
  <c r="R435" i="22"/>
  <c r="R434" i="22" s="1"/>
  <c r="R433" i="22" s="1"/>
  <c r="R432" i="22" s="1"/>
  <c r="Q435" i="22"/>
  <c r="Q434" i="22" s="1"/>
  <c r="Q433" i="22" s="1"/>
  <c r="Q432" i="22" s="1"/>
  <c r="P435" i="22"/>
  <c r="P434" i="22" s="1"/>
  <c r="P433" i="22" s="1"/>
  <c r="P432" i="22" s="1"/>
  <c r="O435" i="22"/>
  <c r="O434" i="22" s="1"/>
  <c r="O433" i="22" s="1"/>
  <c r="O432" i="22" s="1"/>
  <c r="N435" i="22"/>
  <c r="N434" i="22" s="1"/>
  <c r="N433" i="22" s="1"/>
  <c r="N432" i="22" s="1"/>
  <c r="J435" i="22"/>
  <c r="J434" i="22" s="1"/>
  <c r="J433" i="22" s="1"/>
  <c r="J432" i="22" s="1"/>
  <c r="M434" i="22"/>
  <c r="M432" i="22" s="1"/>
  <c r="L434" i="22"/>
  <c r="L432" i="22" s="1"/>
  <c r="R428" i="22"/>
  <c r="R427" i="22" s="1"/>
  <c r="R426" i="22" s="1"/>
  <c r="R425" i="22" s="1"/>
  <c r="R424" i="22" s="1"/>
  <c r="Q428" i="22"/>
  <c r="Q427" i="22" s="1"/>
  <c r="Q426" i="22" s="1"/>
  <c r="Q425" i="22" s="1"/>
  <c r="Q424" i="22" s="1"/>
  <c r="N427" i="22"/>
  <c r="N426" i="22" s="1"/>
  <c r="N425" i="22" s="1"/>
  <c r="N424" i="22" s="1"/>
  <c r="N418" i="22" s="1"/>
  <c r="R422" i="22"/>
  <c r="R421" i="22" s="1"/>
  <c r="R420" i="22" s="1"/>
  <c r="R419" i="22" s="1"/>
  <c r="Q422" i="22"/>
  <c r="Q421" i="22" s="1"/>
  <c r="Q420" i="22" s="1"/>
  <c r="Q419" i="22" s="1"/>
  <c r="N390" i="22"/>
  <c r="N389" i="22" s="1"/>
  <c r="N388" i="22" s="1"/>
  <c r="N387" i="22" s="1"/>
  <c r="N386" i="22" s="1"/>
  <c r="N384" i="22"/>
  <c r="N383" i="22" s="1"/>
  <c r="N382" i="22" s="1"/>
  <c r="N381" i="22" s="1"/>
  <c r="N380" i="22" s="1"/>
  <c r="N378" i="22"/>
  <c r="N377" i="22" s="1"/>
  <c r="N376" i="22" s="1"/>
  <c r="N375" i="22" s="1"/>
  <c r="N374" i="22" s="1"/>
  <c r="N373" i="22"/>
  <c r="N366" i="22"/>
  <c r="N365" i="22" s="1"/>
  <c r="Q366" i="22"/>
  <c r="P366" i="22"/>
  <c r="O366" i="22"/>
  <c r="R366" i="22"/>
  <c r="N363" i="22"/>
  <c r="R363" i="22"/>
  <c r="R360" i="22" s="1"/>
  <c r="Q363" i="22"/>
  <c r="Q360" i="22" s="1"/>
  <c r="P363" i="22"/>
  <c r="P360" i="22" s="1"/>
  <c r="O363" i="22"/>
  <c r="O360" i="22" s="1"/>
  <c r="N361" i="22"/>
  <c r="R354" i="22"/>
  <c r="Q354" i="22"/>
  <c r="N354" i="22"/>
  <c r="N353" i="22" s="1"/>
  <c r="R350" i="22"/>
  <c r="Q350" i="22"/>
  <c r="P350" i="22"/>
  <c r="P348" i="22" s="1"/>
  <c r="O350" i="22"/>
  <c r="O348" i="22" s="1"/>
  <c r="N350" i="22"/>
  <c r="J350" i="22"/>
  <c r="J348" i="22" s="1"/>
  <c r="M348" i="22"/>
  <c r="L348" i="22"/>
  <c r="N344" i="22"/>
  <c r="R344" i="22"/>
  <c r="Q344" i="22"/>
  <c r="P344" i="22"/>
  <c r="O344" i="22"/>
  <c r="M344" i="22"/>
  <c r="L344" i="22"/>
  <c r="J344" i="22"/>
  <c r="R341" i="22"/>
  <c r="R340" i="22" s="1"/>
  <c r="R338" i="22" s="1"/>
  <c r="N340" i="22"/>
  <c r="R333" i="22"/>
  <c r="R331" i="22" s="1"/>
  <c r="R329" i="22" s="1"/>
  <c r="R328" i="22" s="1"/>
  <c r="N331" i="22"/>
  <c r="N329" i="22" s="1"/>
  <c r="N328" i="22" s="1"/>
  <c r="Q331" i="22"/>
  <c r="Q329" i="22" s="1"/>
  <c r="Q328" i="22" s="1"/>
  <c r="Q327" i="22" s="1"/>
  <c r="P331" i="22"/>
  <c r="P329" i="22" s="1"/>
  <c r="P328" i="22" s="1"/>
  <c r="P327" i="22" s="1"/>
  <c r="O331" i="22"/>
  <c r="O329" i="22" s="1"/>
  <c r="O328" i="22" s="1"/>
  <c r="O327" i="22" s="1"/>
  <c r="J331" i="22"/>
  <c r="J329" i="22" s="1"/>
  <c r="J328" i="22" s="1"/>
  <c r="J327" i="22" s="1"/>
  <c r="M329" i="22"/>
  <c r="M327" i="22" s="1"/>
  <c r="L329" i="22"/>
  <c r="L327" i="22" s="1"/>
  <c r="R325" i="22"/>
  <c r="R323" i="22" s="1"/>
  <c r="R319" i="22" s="1"/>
  <c r="Q325" i="22"/>
  <c r="Q323" i="22" s="1"/>
  <c r="Q319" i="22" s="1"/>
  <c r="P325" i="22"/>
  <c r="P323" i="22" s="1"/>
  <c r="P319" i="22" s="1"/>
  <c r="O325" i="22"/>
  <c r="O323" i="22" s="1"/>
  <c r="O319" i="22" s="1"/>
  <c r="N325" i="22"/>
  <c r="J325" i="22"/>
  <c r="J323" i="22" s="1"/>
  <c r="J319" i="22" s="1"/>
  <c r="J318" i="22" s="1"/>
  <c r="R321" i="22"/>
  <c r="R320" i="22" s="1"/>
  <c r="Q321" i="22"/>
  <c r="Q320" i="22" s="1"/>
  <c r="P321" i="22"/>
  <c r="P320" i="22" s="1"/>
  <c r="O321" i="22"/>
  <c r="O320" i="22" s="1"/>
  <c r="N321" i="22"/>
  <c r="N320" i="22" s="1"/>
  <c r="M319" i="22"/>
  <c r="M318" i="22" s="1"/>
  <c r="L319" i="22"/>
  <c r="L318" i="22" s="1"/>
  <c r="R318" i="22"/>
  <c r="Q318" i="22"/>
  <c r="P318" i="22"/>
  <c r="O318" i="22"/>
  <c r="R316" i="22"/>
  <c r="R314" i="22" s="1"/>
  <c r="Q316" i="22"/>
  <c r="Q314" i="22" s="1"/>
  <c r="P316" i="22"/>
  <c r="P314" i="22" s="1"/>
  <c r="O316" i="22"/>
  <c r="O314" i="22" s="1"/>
  <c r="N316" i="22"/>
  <c r="J316" i="22"/>
  <c r="J314" i="22" s="1"/>
  <c r="R312" i="22"/>
  <c r="R310" i="22" s="1"/>
  <c r="Q312" i="22"/>
  <c r="Q310" i="22" s="1"/>
  <c r="P312" i="22"/>
  <c r="P310" i="22" s="1"/>
  <c r="O312" i="22"/>
  <c r="O310" i="22" s="1"/>
  <c r="N312" i="22"/>
  <c r="J312" i="22"/>
  <c r="J310" i="22" s="1"/>
  <c r="L309" i="22"/>
  <c r="R307" i="22"/>
  <c r="R305" i="22" s="1"/>
  <c r="Q307" i="22"/>
  <c r="Q305" i="22" s="1"/>
  <c r="P307" i="22"/>
  <c r="P305" i="22" s="1"/>
  <c r="O307" i="22"/>
  <c r="O305" i="22" s="1"/>
  <c r="N307" i="22"/>
  <c r="L307" i="22"/>
  <c r="L301" i="22" s="1"/>
  <c r="L299" i="22" s="1"/>
  <c r="J307" i="22"/>
  <c r="J305" i="22" s="1"/>
  <c r="R303" i="22"/>
  <c r="R301" i="22" s="1"/>
  <c r="Q303" i="22"/>
  <c r="Q301" i="22" s="1"/>
  <c r="P303" i="22"/>
  <c r="P301" i="22" s="1"/>
  <c r="O303" i="22"/>
  <c r="O301" i="22" s="1"/>
  <c r="J303" i="22"/>
  <c r="J301" i="22" s="1"/>
  <c r="M301" i="22"/>
  <c r="M299" i="22" s="1"/>
  <c r="R300" i="22"/>
  <c r="R299" i="22" s="1"/>
  <c r="Q300" i="22"/>
  <c r="Q299" i="22" s="1"/>
  <c r="P300" i="22"/>
  <c r="P299" i="22" s="1"/>
  <c r="O300" i="22"/>
  <c r="O299" i="22" s="1"/>
  <c r="J300" i="22"/>
  <c r="J299" i="22" s="1"/>
  <c r="R296" i="22"/>
  <c r="R293" i="22" s="1"/>
  <c r="R292" i="22" s="1"/>
  <c r="R291" i="22" s="1"/>
  <c r="Q296" i="22"/>
  <c r="Q293" i="22" s="1"/>
  <c r="Q292" i="22" s="1"/>
  <c r="Q291" i="22" s="1"/>
  <c r="P296" i="22"/>
  <c r="P293" i="22" s="1"/>
  <c r="P292" i="22" s="1"/>
  <c r="P291" i="22" s="1"/>
  <c r="O296" i="22"/>
  <c r="O293" i="22" s="1"/>
  <c r="O292" i="22" s="1"/>
  <c r="O291" i="22" s="1"/>
  <c r="N296" i="22"/>
  <c r="N295" i="22" s="1"/>
  <c r="M293" i="22"/>
  <c r="M291" i="22" s="1"/>
  <c r="L293" i="22"/>
  <c r="L291" i="22" s="1"/>
  <c r="J293" i="22"/>
  <c r="J291" i="22" s="1"/>
  <c r="J292" i="22" s="1"/>
  <c r="R289" i="22"/>
  <c r="R287" i="22" s="1"/>
  <c r="R286" i="22" s="1"/>
  <c r="Q289" i="22"/>
  <c r="Q287" i="22" s="1"/>
  <c r="Q286" i="22" s="1"/>
  <c r="P289" i="22"/>
  <c r="P287" i="22" s="1"/>
  <c r="O289" i="22"/>
  <c r="O287" i="22" s="1"/>
  <c r="O286" i="22" s="1"/>
  <c r="N289" i="22"/>
  <c r="J289" i="22"/>
  <c r="J287" i="22" s="1"/>
  <c r="J281" i="22" s="1"/>
  <c r="M287" i="22"/>
  <c r="L287" i="22"/>
  <c r="R284" i="22"/>
  <c r="R282" i="22" s="1"/>
  <c r="R281" i="22" s="1"/>
  <c r="Q284" i="22"/>
  <c r="Q282" i="22" s="1"/>
  <c r="Q281" i="22" s="1"/>
  <c r="P284" i="22"/>
  <c r="P282" i="22" s="1"/>
  <c r="O284" i="22"/>
  <c r="O282" i="22" s="1"/>
  <c r="N284" i="22"/>
  <c r="R279" i="22"/>
  <c r="R278" i="22" s="1"/>
  <c r="R277" i="22" s="1"/>
  <c r="Q279" i="22"/>
  <c r="Q278" i="22" s="1"/>
  <c r="Q277" i="22" s="1"/>
  <c r="P279" i="22"/>
  <c r="O279" i="22"/>
  <c r="O278" i="22" s="1"/>
  <c r="O277" i="22" s="1"/>
  <c r="N279" i="22"/>
  <c r="N278" i="22" s="1"/>
  <c r="N277" i="22" s="1"/>
  <c r="J279" i="22"/>
  <c r="J278" i="22" s="1"/>
  <c r="P278" i="22"/>
  <c r="P277" i="22" s="1"/>
  <c r="M278" i="22"/>
  <c r="L278" i="22"/>
  <c r="R272" i="22"/>
  <c r="R270" i="22" s="1"/>
  <c r="R269" i="22" s="1"/>
  <c r="Q272" i="22"/>
  <c r="Q270" i="22" s="1"/>
  <c r="Q268" i="22" s="1"/>
  <c r="Q263" i="22" s="1"/>
  <c r="P272" i="22"/>
  <c r="P270" i="22" s="1"/>
  <c r="P268" i="22" s="1"/>
  <c r="P263" i="22" s="1"/>
  <c r="O272" i="22"/>
  <c r="O270" i="22" s="1"/>
  <c r="O269" i="22" s="1"/>
  <c r="N272" i="22"/>
  <c r="J272" i="22"/>
  <c r="J270" i="22" s="1"/>
  <c r="M270" i="22"/>
  <c r="M268" i="22" s="1"/>
  <c r="M263" i="22" s="1"/>
  <c r="L270" i="22"/>
  <c r="L268" i="22" s="1"/>
  <c r="L263" i="22" s="1"/>
  <c r="R266" i="22"/>
  <c r="R264" i="22" s="1"/>
  <c r="Q266" i="22"/>
  <c r="Q264" i="22" s="1"/>
  <c r="N266" i="22"/>
  <c r="M262" i="22"/>
  <c r="R261" i="22"/>
  <c r="Q261" i="22"/>
  <c r="P261" i="22"/>
  <c r="O261" i="22"/>
  <c r="N261" i="22"/>
  <c r="N260" i="22" s="1"/>
  <c r="J261" i="22"/>
  <c r="R258" i="22"/>
  <c r="Q258" i="22"/>
  <c r="P258" i="22"/>
  <c r="O258" i="22"/>
  <c r="N258" i="22"/>
  <c r="N257" i="22" s="1"/>
  <c r="L258" i="22"/>
  <c r="L262" i="22" s="1"/>
  <c r="J258" i="22"/>
  <c r="R255" i="22"/>
  <c r="Q255" i="22"/>
  <c r="P255" i="22"/>
  <c r="O255" i="22"/>
  <c r="N255" i="22"/>
  <c r="N254" i="22" s="1"/>
  <c r="J255" i="22"/>
  <c r="M253" i="22"/>
  <c r="M251" i="22" s="1"/>
  <c r="M241" i="22" s="1"/>
  <c r="R240" i="22"/>
  <c r="R239" i="22" s="1"/>
  <c r="R237" i="22" s="1"/>
  <c r="Q240" i="22"/>
  <c r="Q239" i="22" s="1"/>
  <c r="Q237" i="22" s="1"/>
  <c r="P239" i="22"/>
  <c r="P237" i="22" s="1"/>
  <c r="P232" i="22" s="1"/>
  <c r="P229" i="22" s="1"/>
  <c r="O239" i="22"/>
  <c r="O237" i="22" s="1"/>
  <c r="O232" i="22" s="1"/>
  <c r="O229" i="22" s="1"/>
  <c r="N239" i="22"/>
  <c r="J239" i="22"/>
  <c r="J237" i="22" s="1"/>
  <c r="M237" i="22"/>
  <c r="M229" i="22" s="1"/>
  <c r="L237" i="22"/>
  <c r="L229" i="22" s="1"/>
  <c r="R234" i="22"/>
  <c r="R233" i="22" s="1"/>
  <c r="Q234" i="22"/>
  <c r="Q233" i="22" s="1"/>
  <c r="N234" i="22"/>
  <c r="N233" i="22" s="1"/>
  <c r="R221" i="22"/>
  <c r="R218" i="22" s="1"/>
  <c r="R216" i="22" s="1"/>
  <c r="Q221" i="22"/>
  <c r="Q219" i="22" s="1"/>
  <c r="P221" i="22"/>
  <c r="P219" i="22" s="1"/>
  <c r="O221" i="22"/>
  <c r="O219" i="22" s="1"/>
  <c r="N221" i="22"/>
  <c r="J221" i="22"/>
  <c r="J219" i="22" s="1"/>
  <c r="P218" i="22"/>
  <c r="P216" i="22" s="1"/>
  <c r="M218" i="22"/>
  <c r="M216" i="22" s="1"/>
  <c r="L218" i="22"/>
  <c r="L216" i="22" s="1"/>
  <c r="R209" i="22"/>
  <c r="R206" i="22" s="1"/>
  <c r="R205" i="22" s="1"/>
  <c r="Q209" i="22"/>
  <c r="Q206" i="22" s="1"/>
  <c r="Q205" i="22" s="1"/>
  <c r="P209" i="22"/>
  <c r="P206" i="22" s="1"/>
  <c r="P205" i="22" s="1"/>
  <c r="O209" i="22"/>
  <c r="O206" i="22" s="1"/>
  <c r="O205" i="22" s="1"/>
  <c r="N209" i="22"/>
  <c r="J209" i="22"/>
  <c r="J206" i="22" s="1"/>
  <c r="J205" i="22" s="1"/>
  <c r="R207" i="22"/>
  <c r="Q207" i="22"/>
  <c r="P207" i="22"/>
  <c r="O207" i="22"/>
  <c r="J207" i="22"/>
  <c r="L206" i="22"/>
  <c r="L205" i="22" s="1"/>
  <c r="M205" i="22"/>
  <c r="R202" i="22"/>
  <c r="R201" i="22" s="1"/>
  <c r="R200" i="22" s="1"/>
  <c r="Q202" i="22"/>
  <c r="Q201" i="22" s="1"/>
  <c r="Q200" i="22" s="1"/>
  <c r="P202" i="22"/>
  <c r="P201" i="22" s="1"/>
  <c r="P200" i="22" s="1"/>
  <c r="O202" i="22"/>
  <c r="O201" i="22" s="1"/>
  <c r="O200" i="22" s="1"/>
  <c r="N202" i="22"/>
  <c r="N201" i="22" s="1"/>
  <c r="N200" i="22" s="1"/>
  <c r="J202" i="22"/>
  <c r="J201" i="22" s="1"/>
  <c r="J200" i="22" s="1"/>
  <c r="M201" i="22"/>
  <c r="M200" i="22" s="1"/>
  <c r="L201" i="22"/>
  <c r="L200" i="22" s="1"/>
  <c r="R189" i="22"/>
  <c r="R188" i="22" s="1"/>
  <c r="Q189" i="22"/>
  <c r="Q188" i="22" s="1"/>
  <c r="P189" i="22"/>
  <c r="P188" i="22" s="1"/>
  <c r="O189" i="22"/>
  <c r="N189" i="22"/>
  <c r="N188" i="22" s="1"/>
  <c r="L189" i="22"/>
  <c r="L188" i="22" s="1"/>
  <c r="J189" i="22"/>
  <c r="J188" i="22" s="1"/>
  <c r="O188" i="22"/>
  <c r="M188" i="22"/>
  <c r="R185" i="22"/>
  <c r="R184" i="22" s="1"/>
  <c r="Q185" i="22"/>
  <c r="Q184" i="22" s="1"/>
  <c r="P185" i="22"/>
  <c r="P184" i="22" s="1"/>
  <c r="O185" i="22"/>
  <c r="O184" i="22" s="1"/>
  <c r="N185" i="22"/>
  <c r="N184" i="22" s="1"/>
  <c r="M185" i="22"/>
  <c r="M184" i="22" s="1"/>
  <c r="L185" i="22"/>
  <c r="L184" i="22" s="1"/>
  <c r="J185" i="22"/>
  <c r="J184" i="22" s="1"/>
  <c r="R177" i="22"/>
  <c r="R176" i="22" s="1"/>
  <c r="Q177" i="22"/>
  <c r="Q176" i="22" s="1"/>
  <c r="P177" i="22"/>
  <c r="P176" i="22" s="1"/>
  <c r="O177" i="22"/>
  <c r="O176" i="22" s="1"/>
  <c r="N177" i="22"/>
  <c r="N176" i="22" s="1"/>
  <c r="M177" i="22"/>
  <c r="M176" i="22" s="1"/>
  <c r="L177" i="22"/>
  <c r="L176" i="22" s="1"/>
  <c r="J177" i="22"/>
  <c r="J176" i="22" s="1"/>
  <c r="R174" i="22"/>
  <c r="Q174" i="22"/>
  <c r="P174" i="22"/>
  <c r="P173" i="22" s="1"/>
  <c r="O174" i="22"/>
  <c r="O173" i="22" s="1"/>
  <c r="N174" i="22"/>
  <c r="N173" i="22" s="1"/>
  <c r="M174" i="22"/>
  <c r="M173" i="22" s="1"/>
  <c r="L174" i="22"/>
  <c r="L173" i="22" s="1"/>
  <c r="J174" i="22"/>
  <c r="J173" i="22" s="1"/>
  <c r="R173" i="22"/>
  <c r="Q173" i="22"/>
  <c r="R169" i="22"/>
  <c r="Q169" i="22"/>
  <c r="P169" i="22"/>
  <c r="P168" i="22" s="1"/>
  <c r="P167" i="22" s="1"/>
  <c r="P166" i="22" s="1"/>
  <c r="O169" i="22"/>
  <c r="O168" i="22" s="1"/>
  <c r="O167" i="22" s="1"/>
  <c r="O166" i="22" s="1"/>
  <c r="N169" i="22"/>
  <c r="N168" i="22" s="1"/>
  <c r="N167" i="22" s="1"/>
  <c r="N166" i="22" s="1"/>
  <c r="M169" i="22"/>
  <c r="M168" i="22" s="1"/>
  <c r="M167" i="22" s="1"/>
  <c r="M166" i="22" s="1"/>
  <c r="L169" i="22"/>
  <c r="L168" i="22" s="1"/>
  <c r="L167" i="22" s="1"/>
  <c r="L166" i="22" s="1"/>
  <c r="J169" i="22"/>
  <c r="J168" i="22" s="1"/>
  <c r="J167" i="22" s="1"/>
  <c r="J166" i="22" s="1"/>
  <c r="R168" i="22"/>
  <c r="R167" i="22" s="1"/>
  <c r="R166" i="22" s="1"/>
  <c r="Q168" i="22"/>
  <c r="Q167" i="22" s="1"/>
  <c r="Q166" i="22" s="1"/>
  <c r="R164" i="22"/>
  <c r="R162" i="22" s="1"/>
  <c r="R161" i="22" s="1"/>
  <c r="R160" i="22" s="1"/>
  <c r="R159" i="22" s="1"/>
  <c r="Q164" i="22"/>
  <c r="Q162" i="22" s="1"/>
  <c r="Q161" i="22" s="1"/>
  <c r="Q160" i="22" s="1"/>
  <c r="Q159" i="22" s="1"/>
  <c r="P164" i="22"/>
  <c r="P162" i="22" s="1"/>
  <c r="P161" i="22" s="1"/>
  <c r="P160" i="22" s="1"/>
  <c r="P159" i="22" s="1"/>
  <c r="O164" i="22"/>
  <c r="N164" i="22"/>
  <c r="L164" i="22"/>
  <c r="L162" i="22" s="1"/>
  <c r="L161" i="22" s="1"/>
  <c r="L160" i="22" s="1"/>
  <c r="L159" i="22" s="1"/>
  <c r="J164" i="22"/>
  <c r="J162" i="22" s="1"/>
  <c r="J161" i="22" s="1"/>
  <c r="J160" i="22" s="1"/>
  <c r="J159" i="22" s="1"/>
  <c r="O162" i="22"/>
  <c r="O161" i="22" s="1"/>
  <c r="O160" i="22" s="1"/>
  <c r="O159" i="22" s="1"/>
  <c r="N162" i="22"/>
  <c r="N161" i="22" s="1"/>
  <c r="N160" i="22" s="1"/>
  <c r="N159" i="22" s="1"/>
  <c r="M162" i="22"/>
  <c r="M161" i="22" s="1"/>
  <c r="M160" i="22" s="1"/>
  <c r="M159" i="22" s="1"/>
  <c r="R156" i="22"/>
  <c r="Q156" i="22"/>
  <c r="Q153" i="22" s="1"/>
  <c r="Q152" i="22" s="1"/>
  <c r="Q151" i="22" s="1"/>
  <c r="Q150" i="22" s="1"/>
  <c r="P156" i="22"/>
  <c r="P153" i="22" s="1"/>
  <c r="P152" i="22" s="1"/>
  <c r="P151" i="22" s="1"/>
  <c r="P150" i="22" s="1"/>
  <c r="O156" i="22"/>
  <c r="O153" i="22" s="1"/>
  <c r="O152" i="22" s="1"/>
  <c r="O151" i="22" s="1"/>
  <c r="O150" i="22" s="1"/>
  <c r="N156" i="22"/>
  <c r="N153" i="22" s="1"/>
  <c r="N152" i="22" s="1"/>
  <c r="N151" i="22" s="1"/>
  <c r="N150" i="22" s="1"/>
  <c r="M156" i="22"/>
  <c r="M153" i="22" s="1"/>
  <c r="M152" i="22" s="1"/>
  <c r="M151" i="22" s="1"/>
  <c r="M150" i="22" s="1"/>
  <c r="L156" i="22"/>
  <c r="L153" i="22" s="1"/>
  <c r="L152" i="22" s="1"/>
  <c r="L151" i="22" s="1"/>
  <c r="L150" i="22" s="1"/>
  <c r="J156" i="22"/>
  <c r="J153" i="22" s="1"/>
  <c r="J152" i="22" s="1"/>
  <c r="J151" i="22" s="1"/>
  <c r="J150" i="22" s="1"/>
  <c r="R153" i="22"/>
  <c r="R152" i="22" s="1"/>
  <c r="R151" i="22" s="1"/>
  <c r="R150" i="22" s="1"/>
  <c r="R148" i="22"/>
  <c r="Q148" i="22"/>
  <c r="Q147" i="22" s="1"/>
  <c r="Q146" i="22" s="1"/>
  <c r="Q145" i="22" s="1"/>
  <c r="P148" i="22"/>
  <c r="P147" i="22" s="1"/>
  <c r="P146" i="22" s="1"/>
  <c r="P145" i="22" s="1"/>
  <c r="O148" i="22"/>
  <c r="O147" i="22" s="1"/>
  <c r="O146" i="22" s="1"/>
  <c r="O145" i="22" s="1"/>
  <c r="N148" i="22"/>
  <c r="N147" i="22" s="1"/>
  <c r="N146" i="22" s="1"/>
  <c r="N145" i="22" s="1"/>
  <c r="M148" i="22"/>
  <c r="M147" i="22" s="1"/>
  <c r="M146" i="22" s="1"/>
  <c r="M145" i="22" s="1"/>
  <c r="L148" i="22"/>
  <c r="L147" i="22" s="1"/>
  <c r="L146" i="22" s="1"/>
  <c r="L145" i="22" s="1"/>
  <c r="J148" i="22"/>
  <c r="J147" i="22" s="1"/>
  <c r="J146" i="22" s="1"/>
  <c r="J145" i="22" s="1"/>
  <c r="R147" i="22"/>
  <c r="R146" i="22" s="1"/>
  <c r="R145" i="22" s="1"/>
  <c r="R144" i="22"/>
  <c r="R143" i="22" s="1"/>
  <c r="Q144" i="22"/>
  <c r="Q143" i="22" s="1"/>
  <c r="P144" i="22"/>
  <c r="P143" i="22" s="1"/>
  <c r="O144" i="22"/>
  <c r="O143" i="22" s="1"/>
  <c r="N144" i="22"/>
  <c r="N143" i="22" s="1"/>
  <c r="J144" i="22"/>
  <c r="J143" i="22" s="1"/>
  <c r="M143" i="22"/>
  <c r="L143" i="22"/>
  <c r="R142" i="22"/>
  <c r="R141" i="22" s="1"/>
  <c r="Q142" i="22"/>
  <c r="Q141" i="22" s="1"/>
  <c r="P142" i="22"/>
  <c r="P141" i="22" s="1"/>
  <c r="O142" i="22"/>
  <c r="O141" i="22" s="1"/>
  <c r="N142" i="22"/>
  <c r="N141" i="22" s="1"/>
  <c r="J142" i="22"/>
  <c r="J141" i="22" s="1"/>
  <c r="M141" i="22"/>
  <c r="L141" i="22"/>
  <c r="R138" i="22"/>
  <c r="Q138" i="22"/>
  <c r="P138" i="22"/>
  <c r="P137" i="22" s="1"/>
  <c r="O138" i="22"/>
  <c r="O137" i="22" s="1"/>
  <c r="N138" i="22"/>
  <c r="N137" i="22" s="1"/>
  <c r="M138" i="22"/>
  <c r="M137" i="22" s="1"/>
  <c r="L138" i="22"/>
  <c r="L137" i="22" s="1"/>
  <c r="J138" i="22"/>
  <c r="J137" i="22" s="1"/>
  <c r="R137" i="22"/>
  <c r="Q137" i="22"/>
  <c r="R132" i="22"/>
  <c r="Q132" i="22"/>
  <c r="P132" i="22"/>
  <c r="P131" i="22" s="1"/>
  <c r="O132" i="22"/>
  <c r="O131" i="22" s="1"/>
  <c r="N132" i="22"/>
  <c r="N131" i="22" s="1"/>
  <c r="M132" i="22"/>
  <c r="M131" i="22" s="1"/>
  <c r="L132" i="22"/>
  <c r="J132" i="22"/>
  <c r="J131" i="22" s="1"/>
  <c r="R131" i="22"/>
  <c r="Q131" i="22"/>
  <c r="L131" i="22"/>
  <c r="R125" i="22"/>
  <c r="R124" i="22" s="1"/>
  <c r="Q125" i="22"/>
  <c r="Q124" i="22" s="1"/>
  <c r="P125" i="22"/>
  <c r="P124" i="22" s="1"/>
  <c r="O125" i="22"/>
  <c r="O124" i="22" s="1"/>
  <c r="N125" i="22"/>
  <c r="N124" i="22" s="1"/>
  <c r="M125" i="22"/>
  <c r="M124" i="22" s="1"/>
  <c r="L125" i="22"/>
  <c r="L124" i="22" s="1"/>
  <c r="J125" i="22"/>
  <c r="J124" i="22" s="1"/>
  <c r="R121" i="22"/>
  <c r="Q121" i="22"/>
  <c r="P121" i="22"/>
  <c r="O121" i="22"/>
  <c r="N121" i="22"/>
  <c r="M121" i="22"/>
  <c r="L121" i="22"/>
  <c r="J121" i="22"/>
  <c r="R119" i="22"/>
  <c r="R118" i="22" s="1"/>
  <c r="R112" i="22" s="1"/>
  <c r="Q119" i="22"/>
  <c r="Q118" i="22" s="1"/>
  <c r="Q112" i="22" s="1"/>
  <c r="P119" i="22"/>
  <c r="O119" i="22"/>
  <c r="N119" i="22"/>
  <c r="N118" i="22" s="1"/>
  <c r="N112" i="22" s="1"/>
  <c r="M119" i="22"/>
  <c r="M118" i="22" s="1"/>
  <c r="M112" i="22" s="1"/>
  <c r="L119" i="22"/>
  <c r="L118" i="22" s="1"/>
  <c r="L112" i="22" s="1"/>
  <c r="J119" i="22"/>
  <c r="J118" i="22" s="1"/>
  <c r="J112" i="22" s="1"/>
  <c r="R109" i="22"/>
  <c r="Q109" i="22"/>
  <c r="P109" i="22"/>
  <c r="O109" i="22"/>
  <c r="N109" i="22"/>
  <c r="M109" i="22"/>
  <c r="L109" i="22"/>
  <c r="J109" i="22"/>
  <c r="R107" i="22"/>
  <c r="Q107" i="22"/>
  <c r="P107" i="22"/>
  <c r="O107" i="22"/>
  <c r="N107" i="22"/>
  <c r="M107" i="22"/>
  <c r="L107" i="22"/>
  <c r="J107" i="22"/>
  <c r="R105" i="22"/>
  <c r="R104" i="22" s="1"/>
  <c r="Q105" i="22"/>
  <c r="P105" i="22"/>
  <c r="O105" i="22"/>
  <c r="N105" i="22"/>
  <c r="N104" i="22" s="1"/>
  <c r="M105" i="22"/>
  <c r="L105" i="22"/>
  <c r="L104" i="22" s="1"/>
  <c r="J105" i="22"/>
  <c r="J104" i="22" s="1"/>
  <c r="Q104" i="22"/>
  <c r="R102" i="22"/>
  <c r="Q102" i="22"/>
  <c r="Q100" i="22" s="1"/>
  <c r="P102" i="22"/>
  <c r="P100" i="22" s="1"/>
  <c r="O102" i="22"/>
  <c r="O100" i="22" s="1"/>
  <c r="N102" i="22"/>
  <c r="N100" i="22" s="1"/>
  <c r="M102" i="22"/>
  <c r="M100" i="22" s="1"/>
  <c r="L102" i="22"/>
  <c r="L100" i="22" s="1"/>
  <c r="J102" i="22"/>
  <c r="J100" i="22" s="1"/>
  <c r="R100" i="22"/>
  <c r="R97" i="22"/>
  <c r="R96" i="22" s="1"/>
  <c r="Q97" i="22"/>
  <c r="Q96" i="22" s="1"/>
  <c r="P97" i="22"/>
  <c r="P96" i="22" s="1"/>
  <c r="O97" i="22"/>
  <c r="O96" i="22" s="1"/>
  <c r="N97" i="22"/>
  <c r="N96" i="22" s="1"/>
  <c r="M97" i="22"/>
  <c r="M96" i="22" s="1"/>
  <c r="L97" i="22"/>
  <c r="L96" i="22" s="1"/>
  <c r="J97" i="22"/>
  <c r="J96" i="22" s="1"/>
  <c r="R94" i="22"/>
  <c r="R93" i="22" s="1"/>
  <c r="R92" i="22" s="1"/>
  <c r="Q94" i="22"/>
  <c r="Q93" i="22" s="1"/>
  <c r="Q92" i="22" s="1"/>
  <c r="P94" i="22"/>
  <c r="P93" i="22" s="1"/>
  <c r="P92" i="22" s="1"/>
  <c r="O94" i="22"/>
  <c r="O93" i="22" s="1"/>
  <c r="O92" i="22" s="1"/>
  <c r="N94" i="22"/>
  <c r="N93" i="22" s="1"/>
  <c r="N92" i="22" s="1"/>
  <c r="L94" i="22"/>
  <c r="L93" i="22" s="1"/>
  <c r="L92" i="22" s="1"/>
  <c r="J94" i="22"/>
  <c r="J93" i="22" s="1"/>
  <c r="J92" i="22" s="1"/>
  <c r="M93" i="22"/>
  <c r="M92" i="22" s="1"/>
  <c r="R84" i="22"/>
  <c r="R83" i="22" s="1"/>
  <c r="Q84" i="22"/>
  <c r="Q83" i="22" s="1"/>
  <c r="P84" i="22"/>
  <c r="P83" i="22" s="1"/>
  <c r="O84" i="22"/>
  <c r="O83" i="22" s="1"/>
  <c r="N84" i="22"/>
  <c r="N83" i="22" s="1"/>
  <c r="M84" i="22"/>
  <c r="M83" i="22" s="1"/>
  <c r="L84" i="22"/>
  <c r="L83" i="22" s="1"/>
  <c r="J84" i="22"/>
  <c r="J83" i="22" s="1"/>
  <c r="R81" i="22"/>
  <c r="Q81" i="22"/>
  <c r="P81" i="22"/>
  <c r="O81" i="22"/>
  <c r="N81" i="22"/>
  <c r="M81" i="22"/>
  <c r="L81" i="22"/>
  <c r="J81" i="22"/>
  <c r="R79" i="22"/>
  <c r="Q79" i="22"/>
  <c r="Q78" i="22" s="1"/>
  <c r="P79" i="22"/>
  <c r="O79" i="22"/>
  <c r="O78" i="22" s="1"/>
  <c r="N79" i="22"/>
  <c r="N78" i="22" s="1"/>
  <c r="M79" i="22"/>
  <c r="M78" i="22" s="1"/>
  <c r="L79" i="22"/>
  <c r="L78" i="22" s="1"/>
  <c r="J79" i="22"/>
  <c r="J78" i="22" s="1"/>
  <c r="R78" i="22"/>
  <c r="R72" i="22"/>
  <c r="R71" i="22" s="1"/>
  <c r="R70" i="22" s="1"/>
  <c r="Q72" i="22"/>
  <c r="P72" i="22"/>
  <c r="O72" i="22"/>
  <c r="O71" i="22" s="1"/>
  <c r="O70" i="22" s="1"/>
  <c r="N72" i="22"/>
  <c r="N71" i="22" s="1"/>
  <c r="N70" i="22" s="1"/>
  <c r="M72" i="22"/>
  <c r="M71" i="22" s="1"/>
  <c r="M70" i="22" s="1"/>
  <c r="L72" i="22"/>
  <c r="L71" i="22" s="1"/>
  <c r="L70" i="22" s="1"/>
  <c r="J72" i="22"/>
  <c r="J71" i="22" s="1"/>
  <c r="J70" i="22" s="1"/>
  <c r="Q71" i="22"/>
  <c r="Q70" i="22" s="1"/>
  <c r="P71" i="22"/>
  <c r="P70" i="22" s="1"/>
  <c r="R67" i="22"/>
  <c r="R66" i="22" s="1"/>
  <c r="R65" i="22" s="1"/>
  <c r="Q67" i="22"/>
  <c r="Q66" i="22" s="1"/>
  <c r="Q65" i="22" s="1"/>
  <c r="P67" i="22"/>
  <c r="P66" i="22" s="1"/>
  <c r="P65" i="22" s="1"/>
  <c r="O67" i="22"/>
  <c r="O66" i="22" s="1"/>
  <c r="O65" i="22" s="1"/>
  <c r="N67" i="22"/>
  <c r="N66" i="22" s="1"/>
  <c r="N65" i="22" s="1"/>
  <c r="M67" i="22"/>
  <c r="M66" i="22" s="1"/>
  <c r="M65" i="22" s="1"/>
  <c r="L67" i="22"/>
  <c r="L66" i="22" s="1"/>
  <c r="L65" i="22" s="1"/>
  <c r="J67" i="22"/>
  <c r="J66" i="22" s="1"/>
  <c r="J65" i="22" s="1"/>
  <c r="R63" i="22"/>
  <c r="R62" i="22" s="1"/>
  <c r="R61" i="22" s="1"/>
  <c r="Q63" i="22"/>
  <c r="Q62" i="22" s="1"/>
  <c r="Q61" i="22" s="1"/>
  <c r="P63" i="22"/>
  <c r="P62" i="22" s="1"/>
  <c r="P61" i="22" s="1"/>
  <c r="O63" i="22"/>
  <c r="O62" i="22" s="1"/>
  <c r="O61" i="22" s="1"/>
  <c r="N63" i="22"/>
  <c r="N62" i="22" s="1"/>
  <c r="N61" i="22" s="1"/>
  <c r="M63" i="22"/>
  <c r="M62" i="22" s="1"/>
  <c r="M61" i="22" s="1"/>
  <c r="L63" i="22"/>
  <c r="L62" i="22" s="1"/>
  <c r="L61" i="22" s="1"/>
  <c r="J63" i="22"/>
  <c r="J62" i="22" s="1"/>
  <c r="J61" i="22" s="1"/>
  <c r="R56" i="22"/>
  <c r="R55" i="22" s="1"/>
  <c r="R54" i="22" s="1"/>
  <c r="Q56" i="22"/>
  <c r="Q55" i="22" s="1"/>
  <c r="Q54" i="22" s="1"/>
  <c r="P56" i="22"/>
  <c r="P55" i="22" s="1"/>
  <c r="P54" i="22" s="1"/>
  <c r="O56" i="22"/>
  <c r="O55" i="22" s="1"/>
  <c r="O54" i="22" s="1"/>
  <c r="N56" i="22"/>
  <c r="N55" i="22" s="1"/>
  <c r="N54" i="22" s="1"/>
  <c r="M56" i="22"/>
  <c r="M55" i="22" s="1"/>
  <c r="M54" i="22" s="1"/>
  <c r="L56" i="22"/>
  <c r="L55" i="22" s="1"/>
  <c r="L54" i="22" s="1"/>
  <c r="J56" i="22"/>
  <c r="J55" i="22" s="1"/>
  <c r="J54" i="22" s="1"/>
  <c r="R52" i="22"/>
  <c r="R51" i="22" s="1"/>
  <c r="Q52" i="22"/>
  <c r="Q51" i="22" s="1"/>
  <c r="P52" i="22"/>
  <c r="P51" i="22" s="1"/>
  <c r="O52" i="22"/>
  <c r="O51" i="22" s="1"/>
  <c r="N52" i="22"/>
  <c r="N51" i="22" s="1"/>
  <c r="M52" i="22"/>
  <c r="M51" i="22" s="1"/>
  <c r="L52" i="22"/>
  <c r="L51" i="22" s="1"/>
  <c r="J52" i="22"/>
  <c r="J51" i="22" s="1"/>
  <c r="R48" i="22"/>
  <c r="Q48" i="22"/>
  <c r="P48" i="22"/>
  <c r="O48" i="22"/>
  <c r="N48" i="22"/>
  <c r="M48" i="22"/>
  <c r="L48" i="22"/>
  <c r="J48" i="22"/>
  <c r="R45" i="22"/>
  <c r="Q45" i="22"/>
  <c r="P45" i="22"/>
  <c r="O45" i="22"/>
  <c r="N45" i="22"/>
  <c r="M45" i="22"/>
  <c r="L45" i="22"/>
  <c r="J45" i="22"/>
  <c r="R43" i="22"/>
  <c r="Q43" i="22"/>
  <c r="P43" i="22"/>
  <c r="O43" i="22"/>
  <c r="N43" i="22"/>
  <c r="M43" i="22"/>
  <c r="L43" i="22"/>
  <c r="J43" i="22"/>
  <c r="L42" i="22"/>
  <c r="M42" i="22" s="1"/>
  <c r="M41" i="22" s="1"/>
  <c r="R41" i="22"/>
  <c r="Q41" i="22"/>
  <c r="P41" i="22"/>
  <c r="O41" i="22"/>
  <c r="N41" i="22"/>
  <c r="J41" i="22"/>
  <c r="L40" i="22"/>
  <c r="M40" i="22" s="1"/>
  <c r="L39" i="22"/>
  <c r="R38" i="22"/>
  <c r="Q38" i="22"/>
  <c r="P38" i="22"/>
  <c r="O38" i="22"/>
  <c r="N38" i="22"/>
  <c r="J38" i="22"/>
  <c r="L35" i="22"/>
  <c r="M35" i="22" s="1"/>
  <c r="L34" i="22"/>
  <c r="R33" i="22"/>
  <c r="R32" i="22" s="1"/>
  <c r="R31" i="22" s="1"/>
  <c r="Q33" i="22"/>
  <c r="Q32" i="22" s="1"/>
  <c r="Q31" i="22" s="1"/>
  <c r="P33" i="22"/>
  <c r="P32" i="22" s="1"/>
  <c r="P31" i="22" s="1"/>
  <c r="O33" i="22"/>
  <c r="O32" i="22" s="1"/>
  <c r="O31" i="22" s="1"/>
  <c r="N33" i="22"/>
  <c r="N32" i="22" s="1"/>
  <c r="N31" i="22" s="1"/>
  <c r="J33" i="22"/>
  <c r="J32" i="22" s="1"/>
  <c r="J31" i="22" s="1"/>
  <c r="N518" i="21"/>
  <c r="N517" i="21" s="1"/>
  <c r="N310" i="22" l="1"/>
  <c r="N311" i="22"/>
  <c r="O118" i="22"/>
  <c r="O112" i="22" s="1"/>
  <c r="Y194" i="22"/>
  <c r="H169" i="23"/>
  <c r="H168" i="23" s="1"/>
  <c r="P118" i="22"/>
  <c r="P112" i="22" s="1"/>
  <c r="N338" i="22"/>
  <c r="N339" i="22"/>
  <c r="M104" i="22"/>
  <c r="M99" i="22" s="1"/>
  <c r="L123" i="22"/>
  <c r="O104" i="22"/>
  <c r="J99" i="22"/>
  <c r="M342" i="22"/>
  <c r="P78" i="22"/>
  <c r="P77" i="22" s="1"/>
  <c r="P76" i="22" s="1"/>
  <c r="P75" i="22" s="1"/>
  <c r="N77" i="22"/>
  <c r="N76" i="22" s="1"/>
  <c r="N75" i="22" s="1"/>
  <c r="J123" i="22"/>
  <c r="O123" i="22"/>
  <c r="O681" i="22"/>
  <c r="M123" i="22"/>
  <c r="Q123" i="22"/>
  <c r="N123" i="22"/>
  <c r="R123" i="22"/>
  <c r="P681" i="22"/>
  <c r="J269" i="22"/>
  <c r="J268" i="22"/>
  <c r="J263" i="22" s="1"/>
  <c r="P123" i="22"/>
  <c r="L99" i="22"/>
  <c r="N342" i="22"/>
  <c r="H466" i="23"/>
  <c r="H465" i="23" s="1"/>
  <c r="H464" i="23" s="1"/>
  <c r="H463" i="23" s="1"/>
  <c r="H462" i="23" s="1"/>
  <c r="L77" i="22"/>
  <c r="L76" i="22" s="1"/>
  <c r="L75" i="22" s="1"/>
  <c r="M181" i="22"/>
  <c r="M179" i="22" s="1"/>
  <c r="R649" i="22"/>
  <c r="L33" i="22"/>
  <c r="L32" i="22" s="1"/>
  <c r="L31" i="22" s="1"/>
  <c r="J172" i="22"/>
  <c r="O649" i="22"/>
  <c r="N314" i="22"/>
  <c r="N315" i="22"/>
  <c r="N348" i="22"/>
  <c r="N349" i="22"/>
  <c r="P539" i="22"/>
  <c r="Q77" i="22"/>
  <c r="Q76" i="22" s="1"/>
  <c r="Q75" i="22" s="1"/>
  <c r="R77" i="22"/>
  <c r="R76" i="22" s="1"/>
  <c r="R75" i="22" s="1"/>
  <c r="L140" i="22"/>
  <c r="L136" i="22" s="1"/>
  <c r="J140" i="22"/>
  <c r="J136" i="22" s="1"/>
  <c r="M197" i="22"/>
  <c r="N218" i="22"/>
  <c r="N216" i="22" s="1"/>
  <c r="N220" i="22"/>
  <c r="N237" i="22"/>
  <c r="N232" i="22" s="1"/>
  <c r="N238" i="22"/>
  <c r="N623" i="22"/>
  <c r="N624" i="22"/>
  <c r="N535" i="22"/>
  <c r="N536" i="22"/>
  <c r="N323" i="22"/>
  <c r="N324" i="22"/>
  <c r="N473" i="22"/>
  <c r="N472" i="22" s="1"/>
  <c r="N471" i="22" s="1"/>
  <c r="N474" i="22"/>
  <c r="N504" i="22"/>
  <c r="N505" i="22"/>
  <c r="N508" i="22"/>
  <c r="N509" i="22"/>
  <c r="N570" i="22"/>
  <c r="N581" i="22"/>
  <c r="N582" i="22"/>
  <c r="N649" i="22"/>
  <c r="N650" i="22"/>
  <c r="N264" i="22"/>
  <c r="N252" i="22" s="1"/>
  <c r="N241" i="22" s="1"/>
  <c r="N265" i="22"/>
  <c r="N282" i="22"/>
  <c r="N281" i="22" s="1"/>
  <c r="N276" i="22" s="1"/>
  <c r="N283" i="22"/>
  <c r="N616" i="22"/>
  <c r="N617" i="22"/>
  <c r="N646" i="22"/>
  <c r="M77" i="22"/>
  <c r="M76" i="22" s="1"/>
  <c r="M75" i="22" s="1"/>
  <c r="N207" i="22"/>
  <c r="N206" i="22" s="1"/>
  <c r="N205" i="22" s="1"/>
  <c r="N197" i="22" s="1"/>
  <c r="N208" i="22"/>
  <c r="N270" i="22"/>
  <c r="N269" i="22" s="1"/>
  <c r="N268" i="22" s="1"/>
  <c r="N263" i="22" s="1"/>
  <c r="N271" i="22"/>
  <c r="N293" i="22"/>
  <c r="N292" i="22" s="1"/>
  <c r="N291" i="22" s="1"/>
  <c r="N330" i="22"/>
  <c r="N589" i="22"/>
  <c r="N590" i="22"/>
  <c r="N719" i="22"/>
  <c r="N720" i="22"/>
  <c r="N612" i="22"/>
  <c r="N613" i="22"/>
  <c r="N539" i="22"/>
  <c r="N542" i="22"/>
  <c r="N301" i="22"/>
  <c r="N302" i="22"/>
  <c r="N305" i="22"/>
  <c r="N306" i="22"/>
  <c r="U466" i="23"/>
  <c r="U465" i="23" s="1"/>
  <c r="U464" i="23" s="1"/>
  <c r="U463" i="23" s="1"/>
  <c r="U462" i="23" s="1"/>
  <c r="R470" i="22"/>
  <c r="R469" i="22" s="1"/>
  <c r="M470" i="22"/>
  <c r="N557" i="22"/>
  <c r="N556" i="22" s="1"/>
  <c r="N555" i="22" s="1"/>
  <c r="N558" i="22"/>
  <c r="L470" i="22"/>
  <c r="N287" i="22"/>
  <c r="N288" i="22"/>
  <c r="P172" i="22"/>
  <c r="O172" i="22"/>
  <c r="P91" i="22"/>
  <c r="P90" i="22" s="1"/>
  <c r="M172" i="22"/>
  <c r="O91" i="22"/>
  <c r="O90" i="22" s="1"/>
  <c r="U408" i="23"/>
  <c r="U407" i="23" s="1"/>
  <c r="U399" i="23" s="1"/>
  <c r="J148" i="23"/>
  <c r="J147" i="23" s="1"/>
  <c r="I211" i="23"/>
  <c r="I210" i="23" s="1"/>
  <c r="I209" i="23" s="1"/>
  <c r="I203" i="23" s="1"/>
  <c r="N291" i="23"/>
  <c r="N287" i="23" s="1"/>
  <c r="N286" i="23" s="1"/>
  <c r="N285" i="23" s="1"/>
  <c r="J211" i="23"/>
  <c r="J210" i="23" s="1"/>
  <c r="J209" i="23" s="1"/>
  <c r="J203" i="23" s="1"/>
  <c r="U291" i="23"/>
  <c r="U287" i="23" s="1"/>
  <c r="U286" i="23" s="1"/>
  <c r="U285" i="23" s="1"/>
  <c r="H310" i="23"/>
  <c r="I148" i="23"/>
  <c r="I147" i="23" s="1"/>
  <c r="I245" i="23"/>
  <c r="J235" i="23"/>
  <c r="J234" i="23" s="1"/>
  <c r="J233" i="23" s="1"/>
  <c r="J223" i="23" s="1"/>
  <c r="U295" i="23"/>
  <c r="N58" i="23"/>
  <c r="N57" i="23" s="1"/>
  <c r="N56" i="23" s="1"/>
  <c r="N55" i="23" s="1"/>
  <c r="N54" i="23" s="1"/>
  <c r="I386" i="23"/>
  <c r="I305" i="23"/>
  <c r="H295" i="23"/>
  <c r="H300" i="23"/>
  <c r="U300" i="23"/>
  <c r="U372" i="23"/>
  <c r="U371" i="23" s="1"/>
  <c r="J134" i="23"/>
  <c r="J133" i="23" s="1"/>
  <c r="I100" i="23"/>
  <c r="U191" i="23"/>
  <c r="U187" i="23" s="1"/>
  <c r="U186" i="23" s="1"/>
  <c r="N300" i="23"/>
  <c r="H305" i="23"/>
  <c r="U305" i="23"/>
  <c r="J399" i="23"/>
  <c r="H433" i="23"/>
  <c r="H429" i="23" s="1"/>
  <c r="H428" i="23" s="1"/>
  <c r="H427" i="23" s="1"/>
  <c r="H418" i="23" s="1"/>
  <c r="J433" i="23"/>
  <c r="J429" i="23" s="1"/>
  <c r="U433" i="23"/>
  <c r="U429" i="23" s="1"/>
  <c r="U428" i="23" s="1"/>
  <c r="U427" i="23" s="1"/>
  <c r="U418" i="23" s="1"/>
  <c r="I134" i="23"/>
  <c r="I133" i="23" s="1"/>
  <c r="H134" i="23"/>
  <c r="H133" i="23" s="1"/>
  <c r="J58" i="23"/>
  <c r="J57" i="23" s="1"/>
  <c r="J56" i="23" s="1"/>
  <c r="J55" i="23" s="1"/>
  <c r="U167" i="23"/>
  <c r="J287" i="23"/>
  <c r="J286" i="23" s="1"/>
  <c r="H328" i="23"/>
  <c r="H364" i="23"/>
  <c r="H360" i="23" s="1"/>
  <c r="H359" i="23" s="1"/>
  <c r="H358" i="23" s="1"/>
  <c r="H357" i="23" s="1"/>
  <c r="J386" i="23"/>
  <c r="I433" i="23"/>
  <c r="I429" i="23" s="1"/>
  <c r="N433" i="23"/>
  <c r="N429" i="23" s="1"/>
  <c r="N428" i="23" s="1"/>
  <c r="N427" i="23" s="1"/>
  <c r="N418" i="23" s="1"/>
  <c r="N477" i="23"/>
  <c r="N476" i="23" s="1"/>
  <c r="N475" i="23" s="1"/>
  <c r="H408" i="23"/>
  <c r="H407" i="23" s="1"/>
  <c r="H399" i="23" s="1"/>
  <c r="H349" i="23"/>
  <c r="H211" i="23"/>
  <c r="H210" i="23" s="1"/>
  <c r="H209" i="23" s="1"/>
  <c r="H203" i="23" s="1"/>
  <c r="N203" i="23"/>
  <c r="N165" i="23" s="1"/>
  <c r="N158" i="23"/>
  <c r="H58" i="23"/>
  <c r="H57" i="23" s="1"/>
  <c r="H56" i="23" s="1"/>
  <c r="H55" i="23" s="1"/>
  <c r="J482" i="23"/>
  <c r="J481" i="23" s="1"/>
  <c r="J477" i="23" s="1"/>
  <c r="J476" i="23" s="1"/>
  <c r="J475" i="23" s="1"/>
  <c r="J461" i="23" s="1"/>
  <c r="J460" i="23" s="1"/>
  <c r="I438" i="23"/>
  <c r="I180" i="23"/>
  <c r="I179" i="23" s="1"/>
  <c r="J169" i="23"/>
  <c r="J168" i="23" s="1"/>
  <c r="N130" i="23"/>
  <c r="Q99" i="22"/>
  <c r="L172" i="22"/>
  <c r="O343" i="22"/>
  <c r="O342" i="22" s="1"/>
  <c r="L575" i="22"/>
  <c r="Q649" i="22"/>
  <c r="J692" i="22"/>
  <c r="R723" i="22"/>
  <c r="O723" i="22"/>
  <c r="U58" i="23"/>
  <c r="U57" i="23" s="1"/>
  <c r="U56" i="23" s="1"/>
  <c r="U55" i="23" s="1"/>
  <c r="U54" i="23" s="1"/>
  <c r="K55" i="23"/>
  <c r="M55" i="23" s="1"/>
  <c r="I58" i="23"/>
  <c r="I57" i="23" s="1"/>
  <c r="I56" i="23" s="1"/>
  <c r="I55" i="23" s="1"/>
  <c r="H132" i="23"/>
  <c r="H131" i="23" s="1"/>
  <c r="U134" i="23"/>
  <c r="U133" i="23" s="1"/>
  <c r="N134" i="23"/>
  <c r="N133" i="23" s="1"/>
  <c r="H191" i="23"/>
  <c r="H187" i="23" s="1"/>
  <c r="H186" i="23" s="1"/>
  <c r="I235" i="23"/>
  <c r="I234" i="23" s="1"/>
  <c r="I233" i="23" s="1"/>
  <c r="I223" i="23" s="1"/>
  <c r="H248" i="23"/>
  <c r="H247" i="23" s="1"/>
  <c r="H246" i="23" s="1"/>
  <c r="H245" i="23"/>
  <c r="I287" i="23"/>
  <c r="I286" i="23" s="1"/>
  <c r="H287" i="23"/>
  <c r="H286" i="23" s="1"/>
  <c r="N296" i="23"/>
  <c r="N295" i="23"/>
  <c r="J372" i="23"/>
  <c r="R99" i="22"/>
  <c r="N99" i="22"/>
  <c r="R172" i="22"/>
  <c r="H100" i="23"/>
  <c r="H180" i="23"/>
  <c r="H179" i="23" s="1"/>
  <c r="J360" i="23"/>
  <c r="J359" i="23" s="1"/>
  <c r="J358" i="23" s="1"/>
  <c r="J357" i="23" s="1"/>
  <c r="N364" i="23"/>
  <c r="N360" i="23" s="1"/>
  <c r="N359" i="23" s="1"/>
  <c r="N358" i="23" s="1"/>
  <c r="N357" i="23" s="1"/>
  <c r="N388" i="23"/>
  <c r="N375" i="23"/>
  <c r="N374" i="23" s="1"/>
  <c r="N373" i="23" s="1"/>
  <c r="N372" i="23" s="1"/>
  <c r="N371" i="23" s="1"/>
  <c r="I169" i="23"/>
  <c r="I168" i="23" s="1"/>
  <c r="N180" i="23"/>
  <c r="N179" i="23" s="1"/>
  <c r="N167" i="23" s="1"/>
  <c r="J180" i="23"/>
  <c r="J179" i="23" s="1"/>
  <c r="N191" i="23"/>
  <c r="N187" i="23" s="1"/>
  <c r="N186" i="23" s="1"/>
  <c r="H235" i="23"/>
  <c r="H234" i="23" s="1"/>
  <c r="H233" i="23" s="1"/>
  <c r="U235" i="23"/>
  <c r="U234" i="23" s="1"/>
  <c r="U233" i="23" s="1"/>
  <c r="U223" i="23" s="1"/>
  <c r="N235" i="23"/>
  <c r="N234" i="23" s="1"/>
  <c r="N233" i="23" s="1"/>
  <c r="N223" i="23" s="1"/>
  <c r="J245" i="23"/>
  <c r="U247" i="23"/>
  <c r="U246" i="23" s="1"/>
  <c r="U245" i="23" s="1"/>
  <c r="J300" i="23"/>
  <c r="I300" i="23"/>
  <c r="N305" i="23"/>
  <c r="J305" i="23"/>
  <c r="I360" i="23"/>
  <c r="I359" i="23" s="1"/>
  <c r="I358" i="23" s="1"/>
  <c r="I357" i="23" s="1"/>
  <c r="U364" i="23"/>
  <c r="U360" i="23" s="1"/>
  <c r="U359" i="23" s="1"/>
  <c r="U358" i="23" s="1"/>
  <c r="U357" i="23" s="1"/>
  <c r="N408" i="23"/>
  <c r="N407" i="23" s="1"/>
  <c r="N399" i="23" s="1"/>
  <c r="J438" i="23"/>
  <c r="N466" i="23"/>
  <c r="N465" i="23" s="1"/>
  <c r="N464" i="23" s="1"/>
  <c r="N463" i="23" s="1"/>
  <c r="N462" i="23" s="1"/>
  <c r="K489" i="23"/>
  <c r="L489" i="23" s="1"/>
  <c r="Q172" i="22"/>
  <c r="N172" i="22"/>
  <c r="P37" i="22"/>
  <c r="P36" i="22" s="1"/>
  <c r="P27" i="22" s="1"/>
  <c r="L253" i="22"/>
  <c r="L251" i="22" s="1"/>
  <c r="L241" i="22" s="1"/>
  <c r="O253" i="22"/>
  <c r="O251" i="22" s="1"/>
  <c r="O241" i="22" s="1"/>
  <c r="M298" i="22"/>
  <c r="L342" i="22"/>
  <c r="Q692" i="22"/>
  <c r="Q564" i="22"/>
  <c r="O181" i="22"/>
  <c r="O179" i="22" s="1"/>
  <c r="J253" i="22"/>
  <c r="J252" i="22" s="1"/>
  <c r="Q253" i="22"/>
  <c r="Q252" i="22" s="1"/>
  <c r="Q251" i="22" s="1"/>
  <c r="Q241" i="22" s="1"/>
  <c r="M276" i="22"/>
  <c r="M275" i="22" s="1"/>
  <c r="M575" i="22"/>
  <c r="O77" i="22"/>
  <c r="O76" i="22" s="1"/>
  <c r="O75" i="22" s="1"/>
  <c r="J77" i="22"/>
  <c r="J76" i="22" s="1"/>
  <c r="J75" i="22" s="1"/>
  <c r="P104" i="22"/>
  <c r="P99" i="22" s="1"/>
  <c r="L181" i="22"/>
  <c r="L179" i="22" s="1"/>
  <c r="P298" i="22"/>
  <c r="O478" i="22"/>
  <c r="O479" i="22" s="1"/>
  <c r="R564" i="22"/>
  <c r="N681" i="22"/>
  <c r="Q91" i="22"/>
  <c r="Q90" i="22" s="1"/>
  <c r="O99" i="22"/>
  <c r="Q37" i="22"/>
  <c r="Q36" i="22" s="1"/>
  <c r="Q27" i="22" s="1"/>
  <c r="J37" i="22"/>
  <c r="J36" i="22" s="1"/>
  <c r="J27" i="22" s="1"/>
  <c r="O37" i="22"/>
  <c r="O36" i="22" s="1"/>
  <c r="O27" i="22" s="1"/>
  <c r="O218" i="22"/>
  <c r="O216" i="22" s="1"/>
  <c r="O298" i="22"/>
  <c r="Q418" i="22"/>
  <c r="P478" i="22"/>
  <c r="P479" i="22" s="1"/>
  <c r="Q723" i="22"/>
  <c r="P723" i="22"/>
  <c r="J158" i="22"/>
  <c r="J197" i="22"/>
  <c r="N140" i="22"/>
  <c r="N136" i="22" s="1"/>
  <c r="Q218" i="22"/>
  <c r="Q216" i="22" s="1"/>
  <c r="Q298" i="22"/>
  <c r="P343" i="22"/>
  <c r="P342" i="22" s="1"/>
  <c r="Q348" i="22"/>
  <c r="Q343" i="22" s="1"/>
  <c r="Q342" i="22" s="1"/>
  <c r="O539" i="22"/>
  <c r="N219" i="22"/>
  <c r="M228" i="22"/>
  <c r="P253" i="22"/>
  <c r="P252" i="22" s="1"/>
  <c r="R298" i="22"/>
  <c r="J563" i="22"/>
  <c r="J561" i="22" s="1"/>
  <c r="J181" i="22"/>
  <c r="J539" i="22"/>
  <c r="J723" i="22"/>
  <c r="P140" i="22"/>
  <c r="P136" i="22" s="1"/>
  <c r="L298" i="22"/>
  <c r="O359" i="22"/>
  <c r="O358" i="22" s="1"/>
  <c r="Q470" i="22"/>
  <c r="Q469" i="22" s="1"/>
  <c r="Q539" i="22"/>
  <c r="P649" i="22"/>
  <c r="N37" i="22"/>
  <c r="N36" i="22" s="1"/>
  <c r="N27" i="22" s="1"/>
  <c r="Q140" i="22"/>
  <c r="Q136" i="22" s="1"/>
  <c r="M140" i="22"/>
  <c r="M136" i="22" s="1"/>
  <c r="R253" i="22"/>
  <c r="R252" i="22" s="1"/>
  <c r="R251" i="22" s="1"/>
  <c r="R241" i="22" s="1"/>
  <c r="P359" i="22"/>
  <c r="P358" i="22" s="1"/>
  <c r="O469" i="22"/>
  <c r="J481" i="22"/>
  <c r="R539" i="22"/>
  <c r="J91" i="22"/>
  <c r="J90" i="22" s="1"/>
  <c r="R140" i="22"/>
  <c r="R136" i="22" s="1"/>
  <c r="P181" i="22"/>
  <c r="P179" i="22" s="1"/>
  <c r="R219" i="22"/>
  <c r="Q232" i="22"/>
  <c r="Q229" i="22" s="1"/>
  <c r="J298" i="22"/>
  <c r="J343" i="22"/>
  <c r="J342" i="22" s="1"/>
  <c r="Q359" i="22"/>
  <c r="Q358" i="22" s="1"/>
  <c r="J681" i="22"/>
  <c r="J575" i="22" s="1"/>
  <c r="J580" i="22" s="1"/>
  <c r="J579" i="22" s="1"/>
  <c r="Q681" i="22"/>
  <c r="R681" i="22"/>
  <c r="N723" i="22"/>
  <c r="M34" i="22"/>
  <c r="M33" i="22" s="1"/>
  <c r="M32" i="22" s="1"/>
  <c r="M31" i="22" s="1"/>
  <c r="O140" i="22"/>
  <c r="O136" i="22" s="1"/>
  <c r="R327" i="22"/>
  <c r="R348" i="22"/>
  <c r="R343" i="22" s="1"/>
  <c r="R342" i="22" s="1"/>
  <c r="R359" i="22"/>
  <c r="R358" i="22" s="1"/>
  <c r="Q158" i="22"/>
  <c r="Q276" i="22"/>
  <c r="Q275" i="22" s="1"/>
  <c r="N91" i="22"/>
  <c r="N90" i="22" s="1"/>
  <c r="P158" i="22"/>
  <c r="N158" i="22"/>
  <c r="O158" i="22"/>
  <c r="R197" i="22"/>
  <c r="R158" i="22"/>
  <c r="R276" i="22"/>
  <c r="R275" i="22" s="1"/>
  <c r="P281" i="22"/>
  <c r="P276" i="22" s="1"/>
  <c r="P275" i="22" s="1"/>
  <c r="P269" i="22"/>
  <c r="P286" i="22"/>
  <c r="R91" i="22"/>
  <c r="R90" i="22" s="1"/>
  <c r="P197" i="22"/>
  <c r="M91" i="22"/>
  <c r="M90" i="22" s="1"/>
  <c r="O197" i="22"/>
  <c r="Q197" i="22"/>
  <c r="L91" i="22"/>
  <c r="L90" i="22" s="1"/>
  <c r="L158" i="22"/>
  <c r="Q181" i="22"/>
  <c r="Q180" i="22" s="1"/>
  <c r="M158" i="22"/>
  <c r="N181" i="22"/>
  <c r="N179" i="22" s="1"/>
  <c r="R181" i="22"/>
  <c r="R180" i="22" s="1"/>
  <c r="L197" i="22"/>
  <c r="O268" i="22"/>
  <c r="O263" i="22" s="1"/>
  <c r="N298" i="22"/>
  <c r="N359" i="22"/>
  <c r="N358" i="22" s="1"/>
  <c r="J21" i="23"/>
  <c r="J100" i="23"/>
  <c r="I21" i="23"/>
  <c r="K21" i="23"/>
  <c r="K18" i="23" s="1"/>
  <c r="U158" i="23"/>
  <c r="U203" i="23"/>
  <c r="U165" i="23" s="1"/>
  <c r="H224" i="23"/>
  <c r="J191" i="23"/>
  <c r="J187" i="23" s="1"/>
  <c r="J186" i="23" s="1"/>
  <c r="I191" i="23"/>
  <c r="I187" i="23" s="1"/>
  <c r="I186" i="23" s="1"/>
  <c r="I399" i="23"/>
  <c r="U130" i="23"/>
  <c r="U131" i="23"/>
  <c r="H157" i="23"/>
  <c r="H158" i="23"/>
  <c r="H344" i="23"/>
  <c r="H343" i="23"/>
  <c r="H375" i="23"/>
  <c r="H374" i="23" s="1"/>
  <c r="H373" i="23" s="1"/>
  <c r="H372" i="23" s="1"/>
  <c r="H371" i="23" s="1"/>
  <c r="I482" i="23"/>
  <c r="I481" i="23" s="1"/>
  <c r="I477" i="23" s="1"/>
  <c r="I476" i="23" s="1"/>
  <c r="I475" i="23" s="1"/>
  <c r="I461" i="23" s="1"/>
  <c r="I460" i="23" s="1"/>
  <c r="U482" i="23"/>
  <c r="U481" i="23" s="1"/>
  <c r="U477" i="23" s="1"/>
  <c r="U476" i="23" s="1"/>
  <c r="U475" i="23" s="1"/>
  <c r="H482" i="23"/>
  <c r="H481" i="23" s="1"/>
  <c r="H477" i="23" s="1"/>
  <c r="H476" i="23" s="1"/>
  <c r="H475" i="23" s="1"/>
  <c r="M39" i="22"/>
  <c r="M38" i="22" s="1"/>
  <c r="M37" i="22" s="1"/>
  <c r="M36" i="22" s="1"/>
  <c r="L38" i="22"/>
  <c r="R37" i="22"/>
  <c r="R36" i="22" s="1"/>
  <c r="R27" i="22" s="1"/>
  <c r="J232" i="22"/>
  <c r="J229" i="22"/>
  <c r="L41" i="22"/>
  <c r="Q269" i="22"/>
  <c r="L276" i="22"/>
  <c r="L275" i="22" s="1"/>
  <c r="J218" i="22"/>
  <c r="J216" i="22" s="1"/>
  <c r="R232" i="22"/>
  <c r="R229" i="22" s="1"/>
  <c r="R268" i="22"/>
  <c r="R263" i="22" s="1"/>
  <c r="O281" i="22"/>
  <c r="O276" i="22" s="1"/>
  <c r="O275" i="22" s="1"/>
  <c r="J277" i="22"/>
  <c r="J276" i="22" s="1"/>
  <c r="J275" i="22" s="1"/>
  <c r="N449" i="22"/>
  <c r="N448" i="22" s="1"/>
  <c r="P477" i="22"/>
  <c r="P469" i="22"/>
  <c r="R418" i="22"/>
  <c r="N566" i="22"/>
  <c r="N565" i="22" s="1"/>
  <c r="J486" i="22"/>
  <c r="M180" i="22" l="1"/>
  <c r="M111" i="22"/>
  <c r="J89" i="22"/>
  <c r="J111" i="22"/>
  <c r="N275" i="22"/>
  <c r="H461" i="23"/>
  <c r="H460" i="23" s="1"/>
  <c r="U461" i="23"/>
  <c r="U460" i="23" s="1"/>
  <c r="Q111" i="22"/>
  <c r="N111" i="22"/>
  <c r="L111" i="22"/>
  <c r="R111" i="22"/>
  <c r="P111" i="22"/>
  <c r="O111" i="22"/>
  <c r="O252" i="22"/>
  <c r="L89" i="22"/>
  <c r="M89" i="22"/>
  <c r="N89" i="22"/>
  <c r="N26" i="22" s="1"/>
  <c r="N17" i="22" s="1"/>
  <c r="N477" i="22"/>
  <c r="N470" i="22" s="1"/>
  <c r="N469" i="22" s="1"/>
  <c r="Q89" i="22"/>
  <c r="O89" i="22"/>
  <c r="M196" i="22"/>
  <c r="I132" i="23"/>
  <c r="I131" i="23" s="1"/>
  <c r="I130" i="23" s="1"/>
  <c r="J251" i="22"/>
  <c r="J241" i="22" s="1"/>
  <c r="R89" i="22"/>
  <c r="P89" i="22"/>
  <c r="M469" i="22"/>
  <c r="L469" i="22"/>
  <c r="L180" i="22"/>
  <c r="N180" i="22"/>
  <c r="O180" i="22"/>
  <c r="I167" i="23"/>
  <c r="I166" i="23" s="1"/>
  <c r="I165" i="23" s="1"/>
  <c r="U21" i="23"/>
  <c r="U19" i="23" s="1"/>
  <c r="N222" i="23"/>
  <c r="N53" i="23" s="1"/>
  <c r="J132" i="23"/>
  <c r="J131" i="23" s="1"/>
  <c r="J130" i="23" s="1"/>
  <c r="H223" i="23"/>
  <c r="I428" i="23"/>
  <c r="I427" i="23" s="1"/>
  <c r="I418" i="23" s="1"/>
  <c r="N299" i="23"/>
  <c r="N294" i="23" s="1"/>
  <c r="I299" i="23"/>
  <c r="I294" i="23" s="1"/>
  <c r="I285" i="23" s="1"/>
  <c r="I222" i="23" s="1"/>
  <c r="U299" i="23"/>
  <c r="U294" i="23" s="1"/>
  <c r="J299" i="23"/>
  <c r="J294" i="23" s="1"/>
  <c r="J285" i="23" s="1"/>
  <c r="J167" i="23"/>
  <c r="J166" i="23" s="1"/>
  <c r="J165" i="23" s="1"/>
  <c r="I54" i="23"/>
  <c r="H167" i="23"/>
  <c r="H299" i="23"/>
  <c r="H294" i="23" s="1"/>
  <c r="H285" i="23"/>
  <c r="N461" i="23"/>
  <c r="N460" i="23" s="1"/>
  <c r="J54" i="23"/>
  <c r="J222" i="23"/>
  <c r="H21" i="23"/>
  <c r="H19" i="23" s="1"/>
  <c r="H54" i="23"/>
  <c r="H130" i="23"/>
  <c r="J428" i="23"/>
  <c r="J427" i="23" s="1"/>
  <c r="J418" i="23" s="1"/>
  <c r="U222" i="23"/>
  <c r="J478" i="22"/>
  <c r="J479" i="22" s="1"/>
  <c r="P180" i="22"/>
  <c r="P251" i="22"/>
  <c r="P241" i="22" s="1"/>
  <c r="L228" i="22"/>
  <c r="L196" i="22" s="1"/>
  <c r="M27" i="22"/>
  <c r="Q228" i="22"/>
  <c r="Q196" i="22" s="1"/>
  <c r="Q195" i="22" s="1"/>
  <c r="J179" i="22"/>
  <c r="J180" i="22"/>
  <c r="Q179" i="22"/>
  <c r="O228" i="22"/>
  <c r="O196" i="22" s="1"/>
  <c r="O195" i="22" s="1"/>
  <c r="R179" i="22"/>
  <c r="N228" i="22"/>
  <c r="N196" i="22" s="1"/>
  <c r="J19" i="23"/>
  <c r="V172" i="23"/>
  <c r="H165" i="23"/>
  <c r="N21" i="23"/>
  <c r="I19" i="23"/>
  <c r="R228" i="22"/>
  <c r="R196" i="22" s="1"/>
  <c r="R195" i="22" s="1"/>
  <c r="L37" i="22"/>
  <c r="L36" i="22" s="1"/>
  <c r="L27" i="22" s="1"/>
  <c r="J228" i="22" l="1"/>
  <c r="J196" i="22" s="1"/>
  <c r="J26" i="22"/>
  <c r="J17" i="22" s="1"/>
  <c r="O26" i="22"/>
  <c r="O17" i="22" s="1"/>
  <c r="M26" i="22"/>
  <c r="M18" i="22" s="1"/>
  <c r="P26" i="22"/>
  <c r="P17" i="22" s="1"/>
  <c r="L26" i="22"/>
  <c r="L18" i="22" s="1"/>
  <c r="R26" i="22"/>
  <c r="R17" i="22" s="1"/>
  <c r="J470" i="22"/>
  <c r="J477" i="22" s="1"/>
  <c r="Q26" i="22"/>
  <c r="Q17" i="22" s="1"/>
  <c r="M195" i="22"/>
  <c r="J20" i="23"/>
  <c r="L195" i="22"/>
  <c r="U20" i="23"/>
  <c r="U18" i="23" s="1"/>
  <c r="H222" i="23"/>
  <c r="H20" i="23" s="1"/>
  <c r="H18" i="23" s="1"/>
  <c r="M18" i="23" s="1"/>
  <c r="I53" i="23"/>
  <c r="I18" i="23" s="1"/>
  <c r="I20" i="23"/>
  <c r="J53" i="23"/>
  <c r="J18" i="23" s="1"/>
  <c r="U53" i="23"/>
  <c r="P228" i="22"/>
  <c r="P196" i="22" s="1"/>
  <c r="P195" i="22" s="1"/>
  <c r="N195" i="22"/>
  <c r="X194" i="22" s="1"/>
  <c r="N20" i="23"/>
  <c r="N18" i="23" s="1"/>
  <c r="N19" i="23"/>
  <c r="J469" i="22" l="1"/>
  <c r="J195" i="22" s="1"/>
  <c r="H53" i="23"/>
  <c r="P586" i="21"/>
  <c r="P585" i="21" s="1"/>
  <c r="O586" i="21"/>
  <c r="O585" i="21" s="1"/>
  <c r="J586" i="21"/>
  <c r="R585" i="21"/>
  <c r="Q585" i="21"/>
  <c r="N585" i="21"/>
  <c r="J585" i="21"/>
  <c r="P584" i="21"/>
  <c r="P583" i="21" s="1"/>
  <c r="O584" i="21"/>
  <c r="O583" i="21" s="1"/>
  <c r="J584" i="21"/>
  <c r="J583" i="21" s="1"/>
  <c r="R583" i="21"/>
  <c r="Q583" i="21"/>
  <c r="N583" i="21"/>
  <c r="M582" i="21"/>
  <c r="L582" i="21"/>
  <c r="R580" i="21"/>
  <c r="R579" i="21" s="1"/>
  <c r="Q580" i="21"/>
  <c r="Q579" i="21" s="1"/>
  <c r="P580" i="21"/>
  <c r="P579" i="21" s="1"/>
  <c r="O580" i="21"/>
  <c r="O579" i="21" s="1"/>
  <c r="N580" i="21"/>
  <c r="N579" i="21" s="1"/>
  <c r="J580" i="21"/>
  <c r="J579" i="21" s="1"/>
  <c r="R577" i="21"/>
  <c r="R576" i="21" s="1"/>
  <c r="Q577" i="21"/>
  <c r="Q576" i="21" s="1"/>
  <c r="N577" i="21"/>
  <c r="N576" i="21" s="1"/>
  <c r="R574" i="21"/>
  <c r="R573" i="21" s="1"/>
  <c r="Q574" i="21"/>
  <c r="Q573" i="21" s="1"/>
  <c r="N574" i="21"/>
  <c r="M574" i="21"/>
  <c r="M573" i="21" s="1"/>
  <c r="N573" i="21"/>
  <c r="N571" i="21"/>
  <c r="N570" i="21" s="1"/>
  <c r="J569" i="21"/>
  <c r="R568" i="21"/>
  <c r="Q568" i="21"/>
  <c r="N568" i="21"/>
  <c r="J568" i="21"/>
  <c r="J567" i="21"/>
  <c r="R566" i="21"/>
  <c r="Q566" i="21"/>
  <c r="N566" i="21"/>
  <c r="J566" i="21"/>
  <c r="R565" i="21"/>
  <c r="M565" i="21"/>
  <c r="L565" i="21"/>
  <c r="N564" i="21"/>
  <c r="N563" i="21" s="1"/>
  <c r="N562" i="21" s="1"/>
  <c r="J561" i="21"/>
  <c r="R560" i="21"/>
  <c r="R559" i="21" s="1"/>
  <c r="Q560" i="21"/>
  <c r="Q559" i="21" s="1"/>
  <c r="N560" i="21"/>
  <c r="N559" i="21" s="1"/>
  <c r="J558" i="21"/>
  <c r="J557" i="21" s="1"/>
  <c r="R557" i="21"/>
  <c r="Q557" i="21"/>
  <c r="P557" i="21"/>
  <c r="O557" i="21"/>
  <c r="N557" i="21"/>
  <c r="J556" i="21"/>
  <c r="J555" i="21" s="1"/>
  <c r="R555" i="21"/>
  <c r="Q555" i="21"/>
  <c r="P555" i="21"/>
  <c r="O555" i="21"/>
  <c r="N555" i="21"/>
  <c r="R553" i="21"/>
  <c r="R552" i="21" s="1"/>
  <c r="R551" i="21" s="1"/>
  <c r="Q553" i="21"/>
  <c r="Q552" i="21" s="1"/>
  <c r="Q551" i="21" s="1"/>
  <c r="N553" i="21"/>
  <c r="N552" i="21" s="1"/>
  <c r="N551" i="21" s="1"/>
  <c r="R547" i="21"/>
  <c r="Q547" i="21"/>
  <c r="P547" i="21"/>
  <c r="O547" i="21"/>
  <c r="N547" i="21"/>
  <c r="M547" i="21"/>
  <c r="L547" i="21"/>
  <c r="J547" i="21"/>
  <c r="R546" i="21"/>
  <c r="Q546" i="21"/>
  <c r="P546" i="21"/>
  <c r="O546" i="21"/>
  <c r="N546" i="21"/>
  <c r="M546" i="21"/>
  <c r="L546" i="21"/>
  <c r="J546" i="21"/>
  <c r="M543" i="21"/>
  <c r="L543" i="21"/>
  <c r="R541" i="21"/>
  <c r="R540" i="21" s="1"/>
  <c r="Q541" i="21"/>
  <c r="Q540" i="21" s="1"/>
  <c r="P541" i="21"/>
  <c r="P540" i="21" s="1"/>
  <c r="O541" i="21"/>
  <c r="O540" i="21" s="1"/>
  <c r="N541" i="21"/>
  <c r="N540" i="21" s="1"/>
  <c r="M540" i="21"/>
  <c r="L540" i="21"/>
  <c r="R538" i="21"/>
  <c r="R537" i="21" s="1"/>
  <c r="Q538" i="21"/>
  <c r="Q537" i="21" s="1"/>
  <c r="N538" i="21"/>
  <c r="N537" i="21" s="1"/>
  <c r="J536" i="21"/>
  <c r="J535" i="21" s="1"/>
  <c r="J534" i="21" s="1"/>
  <c r="R535" i="21"/>
  <c r="R534" i="21" s="1"/>
  <c r="Q535" i="21"/>
  <c r="Q534" i="21" s="1"/>
  <c r="P535" i="21"/>
  <c r="P534" i="21" s="1"/>
  <c r="O535" i="21"/>
  <c r="O534" i="21" s="1"/>
  <c r="N535" i="21"/>
  <c r="N534" i="21" s="1"/>
  <c r="AC532" i="21"/>
  <c r="R532" i="21"/>
  <c r="R531" i="21" s="1"/>
  <c r="Q532" i="21"/>
  <c r="Q531" i="21" s="1"/>
  <c r="P532" i="21"/>
  <c r="P531" i="21" s="1"/>
  <c r="O532" i="21"/>
  <c r="O531" i="21" s="1"/>
  <c r="N532" i="21"/>
  <c r="N531" i="21" s="1"/>
  <c r="J532" i="21"/>
  <c r="J531" i="21" s="1"/>
  <c r="R529" i="21"/>
  <c r="R528" i="21" s="1"/>
  <c r="Q529" i="21"/>
  <c r="Q528" i="21" s="1"/>
  <c r="P529" i="21"/>
  <c r="P528" i="21" s="1"/>
  <c r="O529" i="21"/>
  <c r="O528" i="21" s="1"/>
  <c r="N529" i="21"/>
  <c r="N528" i="21" s="1"/>
  <c r="J529" i="21"/>
  <c r="J528" i="21" s="1"/>
  <c r="R526" i="21"/>
  <c r="Q526" i="21"/>
  <c r="P526" i="21"/>
  <c r="O526" i="21"/>
  <c r="N526" i="21"/>
  <c r="M526" i="21"/>
  <c r="L526" i="21"/>
  <c r="K526" i="21"/>
  <c r="J526" i="21"/>
  <c r="J523" i="21" s="1"/>
  <c r="N525" i="21"/>
  <c r="N524" i="21" s="1"/>
  <c r="R524" i="21"/>
  <c r="Q524" i="21"/>
  <c r="P524" i="21"/>
  <c r="O524" i="21"/>
  <c r="N522" i="21"/>
  <c r="N521" i="21" s="1"/>
  <c r="N520" i="21" s="1"/>
  <c r="J516" i="21"/>
  <c r="J515" i="21" s="1"/>
  <c r="J512" i="21" s="1"/>
  <c r="J511" i="21" s="1"/>
  <c r="R515" i="21"/>
  <c r="R512" i="21" s="1"/>
  <c r="R511" i="21" s="1"/>
  <c r="Q515" i="21"/>
  <c r="Q512" i="21" s="1"/>
  <c r="Q511" i="21" s="1"/>
  <c r="P515" i="21"/>
  <c r="P512" i="21" s="1"/>
  <c r="P511" i="21" s="1"/>
  <c r="O515" i="21"/>
  <c r="O512" i="21" s="1"/>
  <c r="O511" i="21" s="1"/>
  <c r="N515" i="21"/>
  <c r="N512" i="21" s="1"/>
  <c r="N511" i="21" s="1"/>
  <c r="M512" i="21"/>
  <c r="M511" i="21" s="1"/>
  <c r="L512" i="21"/>
  <c r="L511" i="21" s="1"/>
  <c r="N510" i="21"/>
  <c r="N509" i="21" s="1"/>
  <c r="N508" i="21" s="1"/>
  <c r="R509" i="21"/>
  <c r="R508" i="21" s="1"/>
  <c r="Q509" i="21"/>
  <c r="P509" i="21"/>
  <c r="P508" i="21" s="1"/>
  <c r="O509" i="21"/>
  <c r="O508" i="21" s="1"/>
  <c r="J509" i="21"/>
  <c r="J508" i="21" s="1"/>
  <c r="Q508" i="21"/>
  <c r="M508" i="21"/>
  <c r="L508" i="21"/>
  <c r="R506" i="21"/>
  <c r="R505" i="21" s="1"/>
  <c r="Q506" i="21"/>
  <c r="Q505" i="21" s="1"/>
  <c r="N506" i="21"/>
  <c r="N505" i="21" s="1"/>
  <c r="N503" i="21"/>
  <c r="N502" i="21" s="1"/>
  <c r="N501" i="21"/>
  <c r="N500" i="21" s="1"/>
  <c r="N499" i="21" s="1"/>
  <c r="R500" i="21"/>
  <c r="R499" i="21" s="1"/>
  <c r="Q500" i="21"/>
  <c r="Q499" i="21" s="1"/>
  <c r="R497" i="21"/>
  <c r="R496" i="21" s="1"/>
  <c r="Q497" i="21"/>
  <c r="Q496" i="21" s="1"/>
  <c r="P497" i="21"/>
  <c r="P496" i="21" s="1"/>
  <c r="O497" i="21"/>
  <c r="O496" i="21" s="1"/>
  <c r="N497" i="21"/>
  <c r="N496" i="21" s="1"/>
  <c r="J497" i="21"/>
  <c r="J496" i="21" s="1"/>
  <c r="M496" i="21"/>
  <c r="L496" i="21"/>
  <c r="R494" i="21"/>
  <c r="R493" i="21" s="1"/>
  <c r="Q494" i="21"/>
  <c r="Q493" i="21" s="1"/>
  <c r="P494" i="21"/>
  <c r="O494" i="21"/>
  <c r="O493" i="21" s="1"/>
  <c r="N494" i="21"/>
  <c r="N493" i="21" s="1"/>
  <c r="J494" i="21"/>
  <c r="J493" i="21" s="1"/>
  <c r="P493" i="21"/>
  <c r="M493" i="21"/>
  <c r="L493" i="21"/>
  <c r="R487" i="21"/>
  <c r="Q487" i="21"/>
  <c r="P487" i="21"/>
  <c r="O487" i="21"/>
  <c r="N487" i="21"/>
  <c r="J487" i="21"/>
  <c r="N483" i="21"/>
  <c r="N482" i="21" s="1"/>
  <c r="N481" i="21" s="1"/>
  <c r="J483" i="21"/>
  <c r="J482" i="21" s="1"/>
  <c r="J481" i="21" s="1"/>
  <c r="R482" i="21"/>
  <c r="R481" i="21" s="1"/>
  <c r="Q482" i="21"/>
  <c r="Q481" i="21" s="1"/>
  <c r="P482" i="21"/>
  <c r="P481" i="21" s="1"/>
  <c r="O482" i="21"/>
  <c r="O481" i="21" s="1"/>
  <c r="M481" i="21"/>
  <c r="L481" i="21"/>
  <c r="N479" i="21"/>
  <c r="N478" i="21" s="1"/>
  <c r="N477" i="21"/>
  <c r="R476" i="21"/>
  <c r="R475" i="21" s="1"/>
  <c r="Q476" i="21"/>
  <c r="Q475" i="21" s="1"/>
  <c r="P476" i="21"/>
  <c r="P475" i="21" s="1"/>
  <c r="O476" i="21"/>
  <c r="O475" i="21" s="1"/>
  <c r="M476" i="21"/>
  <c r="L476" i="21"/>
  <c r="K476" i="21"/>
  <c r="J476" i="21"/>
  <c r="J475" i="21" s="1"/>
  <c r="R469" i="21"/>
  <c r="R474" i="21" s="1"/>
  <c r="R473" i="21" s="1"/>
  <c r="Q469" i="21"/>
  <c r="Q474" i="21" s="1"/>
  <c r="Q473" i="21" s="1"/>
  <c r="P469" i="21"/>
  <c r="P474" i="21" s="1"/>
  <c r="P473" i="21" s="1"/>
  <c r="O469" i="21"/>
  <c r="O474" i="21" s="1"/>
  <c r="O473" i="21" s="1"/>
  <c r="N468" i="21"/>
  <c r="N467" i="21" s="1"/>
  <c r="J468" i="21"/>
  <c r="J459" i="21" s="1"/>
  <c r="J457" i="21" s="1"/>
  <c r="R467" i="21"/>
  <c r="Q467" i="21"/>
  <c r="P467" i="21"/>
  <c r="O467" i="21"/>
  <c r="N466" i="21"/>
  <c r="N465" i="21" s="1"/>
  <c r="R463" i="21"/>
  <c r="Q463" i="21"/>
  <c r="P463" i="21"/>
  <c r="O463" i="21"/>
  <c r="N463" i="21"/>
  <c r="J463" i="21"/>
  <c r="N462" i="21"/>
  <c r="N461" i="21" s="1"/>
  <c r="R461" i="21"/>
  <c r="R460" i="21" s="1"/>
  <c r="Q461" i="21"/>
  <c r="Q460" i="21" s="1"/>
  <c r="P461" i="21"/>
  <c r="P460" i="21" s="1"/>
  <c r="O461" i="21"/>
  <c r="O460" i="21" s="1"/>
  <c r="J461" i="21"/>
  <c r="J460" i="21" s="1"/>
  <c r="M460" i="21"/>
  <c r="M457" i="21" s="1"/>
  <c r="L460" i="21"/>
  <c r="L457" i="21" s="1"/>
  <c r="R459" i="21"/>
  <c r="R458" i="21" s="1"/>
  <c r="R457" i="21" s="1"/>
  <c r="Q459" i="21"/>
  <c r="Q458" i="21" s="1"/>
  <c r="Q457" i="21" s="1"/>
  <c r="P459" i="21"/>
  <c r="P458" i="21" s="1"/>
  <c r="P457" i="21" s="1"/>
  <c r="O459" i="21"/>
  <c r="O458" i="21" s="1"/>
  <c r="O457" i="21" s="1"/>
  <c r="J456" i="21"/>
  <c r="J455" i="21" s="1"/>
  <c r="J454" i="21" s="1"/>
  <c r="J453" i="21" s="1"/>
  <c r="J452" i="21" s="1"/>
  <c r="R455" i="21"/>
  <c r="R454" i="21" s="1"/>
  <c r="R453" i="21" s="1"/>
  <c r="R452" i="21" s="1"/>
  <c r="Q455" i="21"/>
  <c r="Q454" i="21" s="1"/>
  <c r="Q453" i="21" s="1"/>
  <c r="Q452" i="21" s="1"/>
  <c r="P455" i="21"/>
  <c r="P454" i="21" s="1"/>
  <c r="P453" i="21" s="1"/>
  <c r="P452" i="21" s="1"/>
  <c r="O455" i="21"/>
  <c r="O454" i="21" s="1"/>
  <c r="O453" i="21" s="1"/>
  <c r="O452" i="21" s="1"/>
  <c r="N455" i="21"/>
  <c r="N454" i="21" s="1"/>
  <c r="N453" i="21" s="1"/>
  <c r="N452" i="21" s="1"/>
  <c r="M454" i="21"/>
  <c r="L454" i="21"/>
  <c r="R451" i="21"/>
  <c r="R450" i="21" s="1"/>
  <c r="R449" i="21" s="1"/>
  <c r="R448" i="21" s="1"/>
  <c r="R447" i="21" s="1"/>
  <c r="Q451" i="21"/>
  <c r="Q450" i="21" s="1"/>
  <c r="Q449" i="21" s="1"/>
  <c r="Q448" i="21" s="1"/>
  <c r="Q447" i="21" s="1"/>
  <c r="N451" i="21"/>
  <c r="N450" i="21" s="1"/>
  <c r="N449" i="21" s="1"/>
  <c r="N448" i="21" s="1"/>
  <c r="N447" i="21" s="1"/>
  <c r="P450" i="21"/>
  <c r="P449" i="21" s="1"/>
  <c r="P448" i="21" s="1"/>
  <c r="P447" i="21" s="1"/>
  <c r="P379" i="21" s="1"/>
  <c r="O450" i="21"/>
  <c r="O449" i="21" s="1"/>
  <c r="O448" i="21" s="1"/>
  <c r="O447" i="21" s="1"/>
  <c r="R445" i="21"/>
  <c r="R444" i="21" s="1"/>
  <c r="R443" i="21" s="1"/>
  <c r="R442" i="21" s="1"/>
  <c r="Q445" i="21"/>
  <c r="Q444" i="21" s="1"/>
  <c r="Q443" i="21" s="1"/>
  <c r="Q442" i="21" s="1"/>
  <c r="P445" i="21"/>
  <c r="P444" i="21" s="1"/>
  <c r="P443" i="21" s="1"/>
  <c r="P442" i="21" s="1"/>
  <c r="O445" i="21"/>
  <c r="O444" i="21" s="1"/>
  <c r="O443" i="21" s="1"/>
  <c r="O442" i="21" s="1"/>
  <c r="N445" i="21"/>
  <c r="N444" i="21" s="1"/>
  <c r="N443" i="21" s="1"/>
  <c r="N442" i="21" s="1"/>
  <c r="J445" i="21"/>
  <c r="J444" i="21" s="1"/>
  <c r="J443" i="21" s="1"/>
  <c r="J442" i="21" s="1"/>
  <c r="M444" i="21"/>
  <c r="M443" i="21" s="1"/>
  <c r="M442" i="21" s="1"/>
  <c r="L444" i="21"/>
  <c r="L443" i="21" s="1"/>
  <c r="L442" i="21" s="1"/>
  <c r="N441" i="21"/>
  <c r="N440" i="21" s="1"/>
  <c r="J441" i="21"/>
  <c r="J440" i="21" s="1"/>
  <c r="R440" i="21"/>
  <c r="Q440" i="21"/>
  <c r="P440" i="21"/>
  <c r="O440" i="21"/>
  <c r="M439" i="21"/>
  <c r="L439" i="21"/>
  <c r="J439" i="21"/>
  <c r="R438" i="21"/>
  <c r="Q438" i="21"/>
  <c r="P438" i="21"/>
  <c r="O438" i="21"/>
  <c r="N438" i="21"/>
  <c r="M438" i="21"/>
  <c r="M437" i="21" s="1"/>
  <c r="L438" i="21"/>
  <c r="L437" i="21" s="1"/>
  <c r="J438" i="21"/>
  <c r="N436" i="21"/>
  <c r="N435" i="21" s="1"/>
  <c r="P435" i="21"/>
  <c r="O435" i="21"/>
  <c r="P434" i="21"/>
  <c r="O434" i="21"/>
  <c r="J434" i="21"/>
  <c r="R431" i="21"/>
  <c r="R430" i="21" s="1"/>
  <c r="Q431" i="21"/>
  <c r="Q430" i="21" s="1"/>
  <c r="P431" i="21"/>
  <c r="O431" i="21"/>
  <c r="N431" i="21"/>
  <c r="N430" i="21" s="1"/>
  <c r="J431" i="21"/>
  <c r="J430" i="21" s="1"/>
  <c r="P430" i="21"/>
  <c r="O430" i="21"/>
  <c r="M430" i="21"/>
  <c r="L430" i="21"/>
  <c r="R428" i="21"/>
  <c r="R426" i="21" s="1"/>
  <c r="Q428" i="21"/>
  <c r="Q426" i="21" s="1"/>
  <c r="P428" i="21"/>
  <c r="P426" i="21" s="1"/>
  <c r="O428" i="21"/>
  <c r="O426" i="21" s="1"/>
  <c r="N428" i="21"/>
  <c r="N426" i="21" s="1"/>
  <c r="J428" i="21"/>
  <c r="J426" i="21" s="1"/>
  <c r="M426" i="21"/>
  <c r="L426" i="21"/>
  <c r="R424" i="21"/>
  <c r="R423" i="21" s="1"/>
  <c r="Q424" i="21"/>
  <c r="Q423" i="21" s="1"/>
  <c r="P424" i="21"/>
  <c r="O424" i="21"/>
  <c r="O423" i="21" s="1"/>
  <c r="N424" i="21"/>
  <c r="N423" i="21" s="1"/>
  <c r="J424" i="21"/>
  <c r="J423" i="21" s="1"/>
  <c r="P423" i="21"/>
  <c r="M423" i="21"/>
  <c r="L423" i="21"/>
  <c r="R421" i="21"/>
  <c r="R420" i="21" s="1"/>
  <c r="R419" i="21" s="1"/>
  <c r="R418" i="21" s="1"/>
  <c r="Q421" i="21"/>
  <c r="Q420" i="21" s="1"/>
  <c r="Q419" i="21" s="1"/>
  <c r="Q418" i="21" s="1"/>
  <c r="P421" i="21"/>
  <c r="P420" i="21" s="1"/>
  <c r="P419" i="21" s="1"/>
  <c r="P418" i="21" s="1"/>
  <c r="O421" i="21"/>
  <c r="O420" i="21" s="1"/>
  <c r="O419" i="21" s="1"/>
  <c r="O418" i="21" s="1"/>
  <c r="N421" i="21"/>
  <c r="N420" i="21" s="1"/>
  <c r="N419" i="21" s="1"/>
  <c r="N418" i="21" s="1"/>
  <c r="J421" i="21"/>
  <c r="J420" i="21" s="1"/>
  <c r="J419" i="21" s="1"/>
  <c r="J418" i="21" s="1"/>
  <c r="M420" i="21"/>
  <c r="L420" i="21"/>
  <c r="R416" i="21"/>
  <c r="R415" i="21" s="1"/>
  <c r="Q416" i="21"/>
  <c r="Q415" i="21" s="1"/>
  <c r="P416" i="21"/>
  <c r="O416" i="21"/>
  <c r="O415" i="21" s="1"/>
  <c r="N416" i="21"/>
  <c r="N415" i="21" s="1"/>
  <c r="J416" i="21"/>
  <c r="J415" i="21" s="1"/>
  <c r="P415" i="21"/>
  <c r="R411" i="21"/>
  <c r="R410" i="21" s="1"/>
  <c r="Q411" i="21"/>
  <c r="Q410" i="21" s="1"/>
  <c r="P411" i="21"/>
  <c r="P410" i="21" s="1"/>
  <c r="O411" i="21"/>
  <c r="O410" i="21" s="1"/>
  <c r="N411" i="21"/>
  <c r="N410" i="21" s="1"/>
  <c r="J411" i="21"/>
  <c r="J410" i="21" s="1"/>
  <c r="R408" i="21"/>
  <c r="R407" i="21" s="1"/>
  <c r="Q408" i="21"/>
  <c r="Q407" i="21" s="1"/>
  <c r="P408" i="21"/>
  <c r="P407" i="21" s="1"/>
  <c r="O408" i="21"/>
  <c r="O407" i="21" s="1"/>
  <c r="N408" i="21"/>
  <c r="N407" i="21" s="1"/>
  <c r="J408" i="21"/>
  <c r="J407" i="21" s="1"/>
  <c r="R406" i="21"/>
  <c r="Q406" i="21"/>
  <c r="P406" i="21"/>
  <c r="O406" i="21"/>
  <c r="M406" i="21"/>
  <c r="L406" i="21"/>
  <c r="J406" i="21"/>
  <c r="L404" i="21"/>
  <c r="M404" i="21" s="1"/>
  <c r="R401" i="21"/>
  <c r="Q401" i="21"/>
  <c r="N401" i="21"/>
  <c r="N400" i="21"/>
  <c r="N399" i="21" s="1"/>
  <c r="N398" i="21"/>
  <c r="N406" i="21" s="1"/>
  <c r="R397" i="21"/>
  <c r="Q397" i="21"/>
  <c r="P397" i="21"/>
  <c r="O397" i="21"/>
  <c r="J397" i="21"/>
  <c r="N394" i="21"/>
  <c r="N393" i="21" s="1"/>
  <c r="J394" i="21"/>
  <c r="J393" i="21" s="1"/>
  <c r="R393" i="21"/>
  <c r="Q393" i="21"/>
  <c r="P393" i="21"/>
  <c r="O393" i="21"/>
  <c r="R392" i="21"/>
  <c r="Q392" i="21"/>
  <c r="P392" i="21"/>
  <c r="O392" i="21"/>
  <c r="M392" i="21"/>
  <c r="L392" i="21"/>
  <c r="N391" i="21"/>
  <c r="J391" i="21"/>
  <c r="J389" i="21"/>
  <c r="R388" i="21"/>
  <c r="Q388" i="21"/>
  <c r="P388" i="21"/>
  <c r="O388" i="21"/>
  <c r="M388" i="21"/>
  <c r="L388" i="21"/>
  <c r="R387" i="21"/>
  <c r="Q387" i="21"/>
  <c r="R386" i="21"/>
  <c r="Q386" i="21"/>
  <c r="R385" i="21"/>
  <c r="Q385" i="21"/>
  <c r="R383" i="21"/>
  <c r="R382" i="21" s="1"/>
  <c r="R381" i="21" s="1"/>
  <c r="R380" i="21" s="1"/>
  <c r="Q383" i="21"/>
  <c r="Q382" i="21" s="1"/>
  <c r="Q381" i="21" s="1"/>
  <c r="Q380" i="21" s="1"/>
  <c r="N383" i="21"/>
  <c r="N382" i="21" s="1"/>
  <c r="N381" i="21" s="1"/>
  <c r="N380" i="21" s="1"/>
  <c r="O379" i="21"/>
  <c r="O385" i="21" s="1"/>
  <c r="N378" i="21"/>
  <c r="N377" i="21"/>
  <c r="N376" i="21" s="1"/>
  <c r="N375" i="21" s="1"/>
  <c r="N374" i="21" s="1"/>
  <c r="N373" i="21" s="1"/>
  <c r="N370" i="21"/>
  <c r="N369" i="21" s="1"/>
  <c r="N368" i="21" s="1"/>
  <c r="N367" i="21" s="1"/>
  <c r="N366" i="21" s="1"/>
  <c r="N365" i="21" s="1"/>
  <c r="R358" i="21"/>
  <c r="R357" i="21" s="1"/>
  <c r="R356" i="21" s="1"/>
  <c r="R355" i="21" s="1"/>
  <c r="Q358" i="21"/>
  <c r="Q357" i="21" s="1"/>
  <c r="Q356" i="21" s="1"/>
  <c r="Q355" i="21" s="1"/>
  <c r="P358" i="21"/>
  <c r="P357" i="21" s="1"/>
  <c r="P356" i="21" s="1"/>
  <c r="P355" i="21" s="1"/>
  <c r="O358" i="21"/>
  <c r="O357" i="21" s="1"/>
  <c r="O356" i="21" s="1"/>
  <c r="O355" i="21" s="1"/>
  <c r="N358" i="21"/>
  <c r="N357" i="21" s="1"/>
  <c r="N356" i="21" s="1"/>
  <c r="N355" i="21" s="1"/>
  <c r="J358" i="21"/>
  <c r="J357" i="21" s="1"/>
  <c r="J356" i="21" s="1"/>
  <c r="J355" i="21" s="1"/>
  <c r="M357" i="21"/>
  <c r="M355" i="21" s="1"/>
  <c r="L357" i="21"/>
  <c r="L355" i="21" s="1"/>
  <c r="R351" i="21"/>
  <c r="R350" i="21" s="1"/>
  <c r="R349" i="21" s="1"/>
  <c r="R348" i="21" s="1"/>
  <c r="R347" i="21" s="1"/>
  <c r="Q351" i="21"/>
  <c r="Q350" i="21" s="1"/>
  <c r="Q349" i="21" s="1"/>
  <c r="Q348" i="21" s="1"/>
  <c r="Q347" i="21" s="1"/>
  <c r="N351" i="21"/>
  <c r="N350" i="21" s="1"/>
  <c r="N349" i="21" s="1"/>
  <c r="N348" i="21" s="1"/>
  <c r="N347" i="21" s="1"/>
  <c r="N341" i="21" s="1"/>
  <c r="R345" i="21"/>
  <c r="R344" i="21" s="1"/>
  <c r="R343" i="21" s="1"/>
  <c r="R342" i="21" s="1"/>
  <c r="Q345" i="21"/>
  <c r="Q344" i="21" s="1"/>
  <c r="Q343" i="21" s="1"/>
  <c r="Q342" i="21" s="1"/>
  <c r="N339" i="21"/>
  <c r="N338" i="21" s="1"/>
  <c r="N337" i="21" s="1"/>
  <c r="N336" i="21" s="1"/>
  <c r="N335" i="21" s="1"/>
  <c r="N333" i="21"/>
  <c r="N332" i="21" s="1"/>
  <c r="N331" i="21" s="1"/>
  <c r="N330" i="21" s="1"/>
  <c r="N329" i="21" s="1"/>
  <c r="N327" i="21"/>
  <c r="N326" i="21" s="1"/>
  <c r="N325" i="21" s="1"/>
  <c r="N324" i="21" s="1"/>
  <c r="N323" i="21" s="1"/>
  <c r="N322" i="21"/>
  <c r="N321" i="21"/>
  <c r="N320" i="21" s="1"/>
  <c r="N319" i="21" s="1"/>
  <c r="N318" i="21" s="1"/>
  <c r="R320" i="21"/>
  <c r="R319" i="21" s="1"/>
  <c r="Q320" i="21"/>
  <c r="Q319" i="21" s="1"/>
  <c r="P320" i="21"/>
  <c r="P319" i="21" s="1"/>
  <c r="O320" i="21"/>
  <c r="O319" i="21" s="1"/>
  <c r="N317" i="21"/>
  <c r="N316" i="21" s="1"/>
  <c r="R316" i="21"/>
  <c r="R313" i="21" s="1"/>
  <c r="Q316" i="21"/>
  <c r="Q313" i="21" s="1"/>
  <c r="P316" i="21"/>
  <c r="P313" i="21" s="1"/>
  <c r="O316" i="21"/>
  <c r="O313" i="21" s="1"/>
  <c r="N314" i="21"/>
  <c r="R308" i="21"/>
  <c r="Q308" i="21"/>
  <c r="N308" i="21"/>
  <c r="N307" i="21"/>
  <c r="N305" i="21" s="1"/>
  <c r="R305" i="21"/>
  <c r="R304" i="21" s="1"/>
  <c r="Q305" i="21"/>
  <c r="Q304" i="21" s="1"/>
  <c r="P305" i="21"/>
  <c r="P304" i="21" s="1"/>
  <c r="O305" i="21"/>
  <c r="O304" i="21" s="1"/>
  <c r="J305" i="21"/>
  <c r="J304" i="21" s="1"/>
  <c r="M304" i="21"/>
  <c r="L304" i="21"/>
  <c r="N303" i="21"/>
  <c r="N302" i="21" s="1"/>
  <c r="N301" i="21" s="1"/>
  <c r="R302" i="21"/>
  <c r="R301" i="21" s="1"/>
  <c r="Q302" i="21"/>
  <c r="Q301" i="21" s="1"/>
  <c r="P302" i="21"/>
  <c r="P301" i="21" s="1"/>
  <c r="O302" i="21"/>
  <c r="O301" i="21" s="1"/>
  <c r="J302" i="21"/>
  <c r="J301" i="21" s="1"/>
  <c r="M301" i="21"/>
  <c r="L301" i="21"/>
  <c r="R298" i="21"/>
  <c r="R297" i="21" s="1"/>
  <c r="R296" i="21" s="1"/>
  <c r="N298" i="21"/>
  <c r="N297" i="21" s="1"/>
  <c r="N296" i="21" s="1"/>
  <c r="R295" i="21"/>
  <c r="R293" i="21" s="1"/>
  <c r="R292" i="21" s="1"/>
  <c r="R291" i="21" s="1"/>
  <c r="N295" i="21"/>
  <c r="N293" i="21" s="1"/>
  <c r="N292" i="21" s="1"/>
  <c r="Q293" i="21"/>
  <c r="Q292" i="21" s="1"/>
  <c r="Q291" i="21" s="1"/>
  <c r="Q290" i="21" s="1"/>
  <c r="P293" i="21"/>
  <c r="P292" i="21" s="1"/>
  <c r="P291" i="21" s="1"/>
  <c r="P290" i="21" s="1"/>
  <c r="O293" i="21"/>
  <c r="O292" i="21" s="1"/>
  <c r="O291" i="21" s="1"/>
  <c r="O290" i="21" s="1"/>
  <c r="J293" i="21"/>
  <c r="J292" i="21" s="1"/>
  <c r="J291" i="21" s="1"/>
  <c r="J290" i="21" s="1"/>
  <c r="M292" i="21"/>
  <c r="M290" i="21" s="1"/>
  <c r="L292" i="21"/>
  <c r="L290" i="21" s="1"/>
  <c r="N289" i="21"/>
  <c r="N288" i="21" s="1"/>
  <c r="N287" i="21" s="1"/>
  <c r="R288" i="21"/>
  <c r="R287" i="21" s="1"/>
  <c r="R283" i="21" s="1"/>
  <c r="Q288" i="21"/>
  <c r="Q287" i="21" s="1"/>
  <c r="Q283" i="21" s="1"/>
  <c r="P288" i="21"/>
  <c r="P287" i="21" s="1"/>
  <c r="P283" i="21" s="1"/>
  <c r="O288" i="21"/>
  <c r="O287" i="21" s="1"/>
  <c r="O283" i="21" s="1"/>
  <c r="J288" i="21"/>
  <c r="J287" i="21" s="1"/>
  <c r="J283" i="21" s="1"/>
  <c r="J282" i="21" s="1"/>
  <c r="N286" i="21"/>
  <c r="R285" i="21"/>
  <c r="R284" i="21" s="1"/>
  <c r="Q285" i="21"/>
  <c r="Q284" i="21" s="1"/>
  <c r="P285" i="21"/>
  <c r="P284" i="21" s="1"/>
  <c r="O285" i="21"/>
  <c r="O284" i="21" s="1"/>
  <c r="M283" i="21"/>
  <c r="L283" i="21"/>
  <c r="L282" i="21" s="1"/>
  <c r="R282" i="21"/>
  <c r="Q282" i="21"/>
  <c r="P282" i="21"/>
  <c r="O282" i="21"/>
  <c r="M282" i="21"/>
  <c r="R280" i="21"/>
  <c r="R279" i="21" s="1"/>
  <c r="Q280" i="21"/>
  <c r="Q279" i="21" s="1"/>
  <c r="P280" i="21"/>
  <c r="P279" i="21" s="1"/>
  <c r="O280" i="21"/>
  <c r="O279" i="21" s="1"/>
  <c r="N280" i="21"/>
  <c r="N279" i="21" s="1"/>
  <c r="J280" i="21"/>
  <c r="J279" i="21" s="1"/>
  <c r="R277" i="21"/>
  <c r="R276" i="21" s="1"/>
  <c r="Q277" i="21"/>
  <c r="Q276" i="21" s="1"/>
  <c r="P277" i="21"/>
  <c r="P276" i="21" s="1"/>
  <c r="O277" i="21"/>
  <c r="O276" i="21" s="1"/>
  <c r="N277" i="21"/>
  <c r="N276" i="21" s="1"/>
  <c r="J277" i="21"/>
  <c r="J276" i="21" s="1"/>
  <c r="N275" i="21"/>
  <c r="N273" i="21" s="1"/>
  <c r="N272" i="21" s="1"/>
  <c r="L275" i="21"/>
  <c r="R273" i="21"/>
  <c r="R272" i="21" s="1"/>
  <c r="Q273" i="21"/>
  <c r="Q272" i="21" s="1"/>
  <c r="P273" i="21"/>
  <c r="P272" i="21" s="1"/>
  <c r="O273" i="21"/>
  <c r="O272" i="21" s="1"/>
  <c r="L273" i="21"/>
  <c r="L269" i="21" s="1"/>
  <c r="L267" i="21" s="1"/>
  <c r="J273" i="21"/>
  <c r="J272" i="21" s="1"/>
  <c r="N271" i="21"/>
  <c r="N270" i="21" s="1"/>
  <c r="N269" i="21" s="1"/>
  <c r="R270" i="21"/>
  <c r="R269" i="21" s="1"/>
  <c r="Q270" i="21"/>
  <c r="Q269" i="21" s="1"/>
  <c r="P270" i="21"/>
  <c r="P269" i="21" s="1"/>
  <c r="O270" i="21"/>
  <c r="O269" i="21" s="1"/>
  <c r="J270" i="21"/>
  <c r="J269" i="21" s="1"/>
  <c r="M269" i="21"/>
  <c r="M267" i="21" s="1"/>
  <c r="R268" i="21"/>
  <c r="R267" i="21" s="1"/>
  <c r="Q268" i="21"/>
  <c r="Q267" i="21" s="1"/>
  <c r="P268" i="21"/>
  <c r="P267" i="21" s="1"/>
  <c r="P266" i="21" s="1"/>
  <c r="O268" i="21"/>
  <c r="O267" i="21" s="1"/>
  <c r="O266" i="21" s="1"/>
  <c r="J268" i="21"/>
  <c r="J267" i="21" s="1"/>
  <c r="N265" i="21"/>
  <c r="N264" i="21" s="1"/>
  <c r="N262" i="21" s="1"/>
  <c r="N261" i="21" s="1"/>
  <c r="N260" i="21" s="1"/>
  <c r="R264" i="21"/>
  <c r="Q264" i="21"/>
  <c r="Q262" i="21" s="1"/>
  <c r="Q261" i="21" s="1"/>
  <c r="Q260" i="21" s="1"/>
  <c r="P264" i="21"/>
  <c r="P262" i="21" s="1"/>
  <c r="P261" i="21" s="1"/>
  <c r="P260" i="21" s="1"/>
  <c r="O264" i="21"/>
  <c r="O262" i="21" s="1"/>
  <c r="O261" i="21" s="1"/>
  <c r="O260" i="21" s="1"/>
  <c r="R262" i="21"/>
  <c r="R261" i="21" s="1"/>
  <c r="R260" i="21" s="1"/>
  <c r="M262" i="21"/>
  <c r="M260" i="21" s="1"/>
  <c r="L262" i="21"/>
  <c r="L260" i="21" s="1"/>
  <c r="J262" i="21"/>
  <c r="J260" i="21" s="1"/>
  <c r="J261" i="21" s="1"/>
  <c r="N259" i="21"/>
  <c r="N258" i="21" s="1"/>
  <c r="N257" i="21" s="1"/>
  <c r="N256" i="21" s="1"/>
  <c r="R258" i="21"/>
  <c r="R257" i="21" s="1"/>
  <c r="R256" i="21" s="1"/>
  <c r="Q258" i="21"/>
  <c r="Q257" i="21" s="1"/>
  <c r="Q256" i="21" s="1"/>
  <c r="P258" i="21"/>
  <c r="O258" i="21"/>
  <c r="O257" i="21" s="1"/>
  <c r="O256" i="21" s="1"/>
  <c r="J258" i="21"/>
  <c r="J257" i="21" s="1"/>
  <c r="J252" i="21" s="1"/>
  <c r="P257" i="21"/>
  <c r="P256" i="21" s="1"/>
  <c r="M257" i="21"/>
  <c r="L257" i="21"/>
  <c r="N255" i="21"/>
  <c r="N254" i="21" s="1"/>
  <c r="N253" i="21" s="1"/>
  <c r="N252" i="21" s="1"/>
  <c r="R254" i="21"/>
  <c r="R253" i="21" s="1"/>
  <c r="R252" i="21" s="1"/>
  <c r="Q254" i="21"/>
  <c r="Q253" i="21" s="1"/>
  <c r="Q252" i="21" s="1"/>
  <c r="P254" i="21"/>
  <c r="P253" i="21" s="1"/>
  <c r="O254" i="21"/>
  <c r="O253" i="21" s="1"/>
  <c r="R250" i="21"/>
  <c r="R249" i="21" s="1"/>
  <c r="R248" i="21" s="1"/>
  <c r="Q250" i="21"/>
  <c r="Q249" i="21" s="1"/>
  <c r="Q248" i="21" s="1"/>
  <c r="P250" i="21"/>
  <c r="P249" i="21" s="1"/>
  <c r="P248" i="21" s="1"/>
  <c r="O250" i="21"/>
  <c r="O249" i="21" s="1"/>
  <c r="O248" i="21" s="1"/>
  <c r="N250" i="21"/>
  <c r="N249" i="21" s="1"/>
  <c r="N248" i="21" s="1"/>
  <c r="J250" i="21"/>
  <c r="J249" i="21" s="1"/>
  <c r="M249" i="21"/>
  <c r="L249" i="21"/>
  <c r="N245" i="21"/>
  <c r="N243" i="21" s="1"/>
  <c r="N242" i="21" s="1"/>
  <c r="R243" i="21"/>
  <c r="R242" i="21" s="1"/>
  <c r="Q243" i="21"/>
  <c r="Q242" i="21" s="1"/>
  <c r="P243" i="21"/>
  <c r="P242" i="21" s="1"/>
  <c r="O243" i="21"/>
  <c r="O242" i="21" s="1"/>
  <c r="J243" i="21"/>
  <c r="J242" i="21" s="1"/>
  <c r="M242" i="21"/>
  <c r="M240" i="21" s="1"/>
  <c r="M236" i="21" s="1"/>
  <c r="L242" i="21"/>
  <c r="L240" i="21" s="1"/>
  <c r="L236" i="21" s="1"/>
  <c r="R238" i="21"/>
  <c r="R237" i="21" s="1"/>
  <c r="Q238" i="21"/>
  <c r="Q237" i="21" s="1"/>
  <c r="N238" i="21"/>
  <c r="N237" i="21" s="1"/>
  <c r="M235" i="21"/>
  <c r="R234" i="21"/>
  <c r="Q234" i="21"/>
  <c r="P234" i="21"/>
  <c r="O234" i="21"/>
  <c r="N234" i="21"/>
  <c r="J234" i="21"/>
  <c r="N233" i="21"/>
  <c r="N232" i="21" s="1"/>
  <c r="R232" i="21"/>
  <c r="Q232" i="21"/>
  <c r="P232" i="21"/>
  <c r="O232" i="21"/>
  <c r="L232" i="21"/>
  <c r="L235" i="21" s="1"/>
  <c r="J232" i="21"/>
  <c r="N231" i="21"/>
  <c r="N230" i="21" s="1"/>
  <c r="R230" i="21"/>
  <c r="Q230" i="21"/>
  <c r="P230" i="21"/>
  <c r="O230" i="21"/>
  <c r="J230" i="21"/>
  <c r="M229" i="21"/>
  <c r="M227" i="21" s="1"/>
  <c r="M226" i="21" s="1"/>
  <c r="R225" i="21"/>
  <c r="R224" i="21" s="1"/>
  <c r="R223" i="21" s="1"/>
  <c r="Q225" i="21"/>
  <c r="Q224" i="21" s="1"/>
  <c r="Q223" i="21" s="1"/>
  <c r="N225" i="21"/>
  <c r="N224" i="21" s="1"/>
  <c r="N223" i="21" s="1"/>
  <c r="P224" i="21"/>
  <c r="P223" i="21" s="1"/>
  <c r="P219" i="21" s="1"/>
  <c r="P216" i="21" s="1"/>
  <c r="O224" i="21"/>
  <c r="O223" i="21" s="1"/>
  <c r="O219" i="21" s="1"/>
  <c r="O216" i="21" s="1"/>
  <c r="J224" i="21"/>
  <c r="J223" i="21" s="1"/>
  <c r="J216" i="21" s="1"/>
  <c r="M223" i="21"/>
  <c r="M216" i="21" s="1"/>
  <c r="L223" i="21"/>
  <c r="L216" i="21" s="1"/>
  <c r="R221" i="21"/>
  <c r="R220" i="21" s="1"/>
  <c r="Q221" i="21"/>
  <c r="Q220" i="21" s="1"/>
  <c r="N221" i="21"/>
  <c r="N220" i="21" s="1"/>
  <c r="R208" i="21"/>
  <c r="R207" i="21" s="1"/>
  <c r="Q208" i="21"/>
  <c r="Q206" i="21" s="1"/>
  <c r="Q204" i="21" s="1"/>
  <c r="P208" i="21"/>
  <c r="P207" i="21" s="1"/>
  <c r="O208" i="21"/>
  <c r="O207" i="21" s="1"/>
  <c r="N208" i="21"/>
  <c r="N207" i="21" s="1"/>
  <c r="J208" i="21"/>
  <c r="J207" i="21" s="1"/>
  <c r="M206" i="21"/>
  <c r="M204" i="21" s="1"/>
  <c r="L206" i="21"/>
  <c r="L204" i="21" s="1"/>
  <c r="R202" i="21"/>
  <c r="Q202" i="21"/>
  <c r="P202" i="21"/>
  <c r="O202" i="21"/>
  <c r="N202" i="21"/>
  <c r="J202" i="21"/>
  <c r="J200" i="21" s="1"/>
  <c r="J199" i="21" s="1"/>
  <c r="R201" i="21"/>
  <c r="Q201" i="21"/>
  <c r="P201" i="21"/>
  <c r="O201" i="21"/>
  <c r="N201" i="21"/>
  <c r="J201" i="21"/>
  <c r="R200" i="21"/>
  <c r="R199" i="21" s="1"/>
  <c r="Q200" i="21"/>
  <c r="Q199" i="21" s="1"/>
  <c r="P200" i="21"/>
  <c r="P199" i="21" s="1"/>
  <c r="O200" i="21"/>
  <c r="O199" i="21" s="1"/>
  <c r="N200" i="21"/>
  <c r="N199" i="21" s="1"/>
  <c r="L200" i="21"/>
  <c r="L199" i="21" s="1"/>
  <c r="M199" i="21"/>
  <c r="R196" i="21"/>
  <c r="R195" i="21" s="1"/>
  <c r="R194" i="21" s="1"/>
  <c r="Q196" i="21"/>
  <c r="Q195" i="21" s="1"/>
  <c r="Q194" i="21" s="1"/>
  <c r="P196" i="21"/>
  <c r="P195" i="21" s="1"/>
  <c r="P194" i="21" s="1"/>
  <c r="P191" i="21" s="1"/>
  <c r="O196" i="21"/>
  <c r="O195" i="21" s="1"/>
  <c r="O194" i="21" s="1"/>
  <c r="N196" i="21"/>
  <c r="N195" i="21" s="1"/>
  <c r="N194" i="21" s="1"/>
  <c r="J196" i="21"/>
  <c r="J195" i="21" s="1"/>
  <c r="J194" i="21" s="1"/>
  <c r="M195" i="21"/>
  <c r="M194" i="21" s="1"/>
  <c r="L195" i="21"/>
  <c r="L194" i="21" s="1"/>
  <c r="R183" i="21"/>
  <c r="R182" i="21" s="1"/>
  <c r="Q183" i="21"/>
  <c r="Q182" i="21" s="1"/>
  <c r="P183" i="21"/>
  <c r="P182" i="21" s="1"/>
  <c r="O183" i="21"/>
  <c r="O182" i="21" s="1"/>
  <c r="N183" i="21"/>
  <c r="N182" i="21" s="1"/>
  <c r="L183" i="21"/>
  <c r="L182" i="21" s="1"/>
  <c r="J183" i="21"/>
  <c r="J182" i="21" s="1"/>
  <c r="M182" i="21"/>
  <c r="R179" i="21"/>
  <c r="R178" i="21" s="1"/>
  <c r="Q179" i="21"/>
  <c r="Q178" i="21" s="1"/>
  <c r="Q175" i="21" s="1"/>
  <c r="Q174" i="21" s="1"/>
  <c r="P179" i="21"/>
  <c r="O179" i="21"/>
  <c r="O178" i="21" s="1"/>
  <c r="N179" i="21"/>
  <c r="N178" i="21" s="1"/>
  <c r="M179" i="21"/>
  <c r="M178" i="21" s="1"/>
  <c r="L179" i="21"/>
  <c r="J179" i="21"/>
  <c r="J178" i="21" s="1"/>
  <c r="P178" i="21"/>
  <c r="L178" i="21"/>
  <c r="R171" i="21"/>
  <c r="Q171" i="21"/>
  <c r="P171" i="21"/>
  <c r="O171" i="21"/>
  <c r="N171" i="21"/>
  <c r="N170" i="21" s="1"/>
  <c r="M171" i="21"/>
  <c r="L171" i="21"/>
  <c r="L170" i="21" s="1"/>
  <c r="J171" i="21"/>
  <c r="J170" i="21" s="1"/>
  <c r="R170" i="21"/>
  <c r="Q170" i="21"/>
  <c r="P170" i="21"/>
  <c r="O170" i="21"/>
  <c r="M170" i="21"/>
  <c r="R168" i="21"/>
  <c r="Q168" i="21"/>
  <c r="P168" i="21"/>
  <c r="O168" i="21"/>
  <c r="O167" i="21" s="1"/>
  <c r="N168" i="21"/>
  <c r="M168" i="21"/>
  <c r="M167" i="21" s="1"/>
  <c r="M166" i="21" s="1"/>
  <c r="L168" i="21"/>
  <c r="L167" i="21" s="1"/>
  <c r="J168" i="21"/>
  <c r="R167" i="21"/>
  <c r="Q167" i="21"/>
  <c r="Q166" i="21" s="1"/>
  <c r="P167" i="21"/>
  <c r="P166" i="21" s="1"/>
  <c r="N167" i="21"/>
  <c r="J167" i="21"/>
  <c r="R163" i="21"/>
  <c r="Q163" i="21"/>
  <c r="P163" i="21"/>
  <c r="O163" i="21"/>
  <c r="N163" i="21"/>
  <c r="M163" i="21"/>
  <c r="L163" i="21"/>
  <c r="J163" i="21"/>
  <c r="R162" i="21"/>
  <c r="Q162" i="21"/>
  <c r="P162" i="21"/>
  <c r="O162" i="21"/>
  <c r="N162" i="21"/>
  <c r="M162" i="21"/>
  <c r="L162" i="21"/>
  <c r="J162" i="21"/>
  <c r="R161" i="21"/>
  <c r="R160" i="21" s="1"/>
  <c r="Q161" i="21"/>
  <c r="P161" i="21"/>
  <c r="P160" i="21" s="1"/>
  <c r="O161" i="21"/>
  <c r="O160" i="21" s="1"/>
  <c r="N161" i="21"/>
  <c r="N160" i="21" s="1"/>
  <c r="M161" i="21"/>
  <c r="L161" i="21"/>
  <c r="J161" i="21"/>
  <c r="J160" i="21" s="1"/>
  <c r="Q160" i="21"/>
  <c r="M160" i="21"/>
  <c r="L160" i="21"/>
  <c r="R158" i="21"/>
  <c r="R156" i="21" s="1"/>
  <c r="R155" i="21" s="1"/>
  <c r="R154" i="21" s="1"/>
  <c r="R153" i="21" s="1"/>
  <c r="Q158" i="21"/>
  <c r="Q156" i="21" s="1"/>
  <c r="Q155" i="21" s="1"/>
  <c r="Q154" i="21" s="1"/>
  <c r="Q153" i="21" s="1"/>
  <c r="Q152" i="21" s="1"/>
  <c r="P158" i="21"/>
  <c r="P156" i="21" s="1"/>
  <c r="P155" i="21" s="1"/>
  <c r="P154" i="21" s="1"/>
  <c r="P153" i="21" s="1"/>
  <c r="O158" i="21"/>
  <c r="O156" i="21" s="1"/>
  <c r="O155" i="21" s="1"/>
  <c r="O154" i="21" s="1"/>
  <c r="O153" i="21" s="1"/>
  <c r="N158" i="21"/>
  <c r="N156" i="21" s="1"/>
  <c r="N155" i="21" s="1"/>
  <c r="N154" i="21" s="1"/>
  <c r="N153" i="21" s="1"/>
  <c r="L158" i="21"/>
  <c r="L156" i="21" s="1"/>
  <c r="L155" i="21" s="1"/>
  <c r="L154" i="21" s="1"/>
  <c r="L153" i="21" s="1"/>
  <c r="J158" i="21"/>
  <c r="J156" i="21" s="1"/>
  <c r="J155" i="21" s="1"/>
  <c r="J154" i="21" s="1"/>
  <c r="J153" i="21" s="1"/>
  <c r="M156" i="21"/>
  <c r="M155" i="21" s="1"/>
  <c r="M154" i="21" s="1"/>
  <c r="M153" i="21" s="1"/>
  <c r="R150" i="21"/>
  <c r="Q150" i="21"/>
  <c r="P150" i="21"/>
  <c r="O150" i="21"/>
  <c r="N150" i="21"/>
  <c r="M150" i="21"/>
  <c r="L150" i="21"/>
  <c r="J150" i="21"/>
  <c r="R147" i="21"/>
  <c r="Q147" i="21"/>
  <c r="P147" i="21"/>
  <c r="O147" i="21"/>
  <c r="N147" i="21"/>
  <c r="M147" i="21"/>
  <c r="L147" i="21"/>
  <c r="J147" i="21"/>
  <c r="R146" i="21"/>
  <c r="Q146" i="21"/>
  <c r="Q145" i="21" s="1"/>
  <c r="Q144" i="21" s="1"/>
  <c r="P146" i="21"/>
  <c r="P145" i="21" s="1"/>
  <c r="P144" i="21" s="1"/>
  <c r="O146" i="21"/>
  <c r="O145" i="21" s="1"/>
  <c r="O144" i="21" s="1"/>
  <c r="N146" i="21"/>
  <c r="M146" i="21"/>
  <c r="M145" i="21" s="1"/>
  <c r="M144" i="21" s="1"/>
  <c r="L146" i="21"/>
  <c r="L145" i="21" s="1"/>
  <c r="L144" i="21" s="1"/>
  <c r="J146" i="21"/>
  <c r="J145" i="21" s="1"/>
  <c r="J144" i="21" s="1"/>
  <c r="R145" i="21"/>
  <c r="R144" i="21" s="1"/>
  <c r="N145" i="21"/>
  <c r="N144" i="21" s="1"/>
  <c r="R142" i="21"/>
  <c r="R141" i="21" s="1"/>
  <c r="R140" i="21" s="1"/>
  <c r="R139" i="21" s="1"/>
  <c r="Q142" i="21"/>
  <c r="Q141" i="21" s="1"/>
  <c r="Q140" i="21" s="1"/>
  <c r="Q139" i="21" s="1"/>
  <c r="P142" i="21"/>
  <c r="O142" i="21"/>
  <c r="N142" i="21"/>
  <c r="N141" i="21" s="1"/>
  <c r="N140" i="21" s="1"/>
  <c r="N139" i="21" s="1"/>
  <c r="M142" i="21"/>
  <c r="M141" i="21" s="1"/>
  <c r="M140" i="21" s="1"/>
  <c r="M139" i="21" s="1"/>
  <c r="L142" i="21"/>
  <c r="L141" i="21" s="1"/>
  <c r="L140" i="21" s="1"/>
  <c r="L139" i="21" s="1"/>
  <c r="J142" i="21"/>
  <c r="J141" i="21" s="1"/>
  <c r="J140" i="21" s="1"/>
  <c r="J139" i="21" s="1"/>
  <c r="P141" i="21"/>
  <c r="P140" i="21" s="1"/>
  <c r="P139" i="21" s="1"/>
  <c r="O141" i="21"/>
  <c r="O140" i="21" s="1"/>
  <c r="O139" i="21" s="1"/>
  <c r="R138" i="21"/>
  <c r="R137" i="21" s="1"/>
  <c r="Q138" i="21"/>
  <c r="Q137" i="21" s="1"/>
  <c r="P138" i="21"/>
  <c r="P137" i="21" s="1"/>
  <c r="O138" i="21"/>
  <c r="O137" i="21" s="1"/>
  <c r="N138" i="21"/>
  <c r="N137" i="21" s="1"/>
  <c r="J138" i="21"/>
  <c r="J137" i="21" s="1"/>
  <c r="M137" i="21"/>
  <c r="L137" i="21"/>
  <c r="R136" i="21"/>
  <c r="R135" i="21" s="1"/>
  <c r="Q136" i="21"/>
  <c r="Q135" i="21" s="1"/>
  <c r="P136" i="21"/>
  <c r="P135" i="21" s="1"/>
  <c r="O136" i="21"/>
  <c r="O135" i="21" s="1"/>
  <c r="N136" i="21"/>
  <c r="N135" i="21" s="1"/>
  <c r="J136" i="21"/>
  <c r="J135" i="21" s="1"/>
  <c r="M135" i="21"/>
  <c r="L135" i="21"/>
  <c r="L134" i="21" s="1"/>
  <c r="R132" i="21"/>
  <c r="Q132" i="21"/>
  <c r="Q131" i="21" s="1"/>
  <c r="P132" i="21"/>
  <c r="P131" i="21" s="1"/>
  <c r="O132" i="21"/>
  <c r="O131" i="21" s="1"/>
  <c r="N132" i="21"/>
  <c r="N131" i="21" s="1"/>
  <c r="M132" i="21"/>
  <c r="M131" i="21" s="1"/>
  <c r="L132" i="21"/>
  <c r="L131" i="21" s="1"/>
  <c r="J132" i="21"/>
  <c r="J131" i="21" s="1"/>
  <c r="R131" i="21"/>
  <c r="R126" i="21"/>
  <c r="R125" i="21" s="1"/>
  <c r="Q126" i="21"/>
  <c r="Q125" i="21" s="1"/>
  <c r="P126" i="21"/>
  <c r="O126" i="21"/>
  <c r="O125" i="21" s="1"/>
  <c r="N126" i="21"/>
  <c r="N125" i="21" s="1"/>
  <c r="M126" i="21"/>
  <c r="M125" i="21" s="1"/>
  <c r="L126" i="21"/>
  <c r="L125" i="21" s="1"/>
  <c r="J126" i="21"/>
  <c r="J125" i="21" s="1"/>
  <c r="P125" i="21"/>
  <c r="R119" i="21"/>
  <c r="R118" i="21" s="1"/>
  <c r="Q119" i="21"/>
  <c r="Q118" i="21" s="1"/>
  <c r="Q117" i="21" s="1"/>
  <c r="P119" i="21"/>
  <c r="P118" i="21" s="1"/>
  <c r="P117" i="21" s="1"/>
  <c r="O119" i="21"/>
  <c r="O118" i="21" s="1"/>
  <c r="N119" i="21"/>
  <c r="M119" i="21"/>
  <c r="M118" i="21" s="1"/>
  <c r="M117" i="21" s="1"/>
  <c r="L119" i="21"/>
  <c r="L118" i="21" s="1"/>
  <c r="J119" i="21"/>
  <c r="J118" i="21" s="1"/>
  <c r="N118" i="21"/>
  <c r="R115" i="21"/>
  <c r="Q115" i="21"/>
  <c r="P115" i="21"/>
  <c r="O115" i="21"/>
  <c r="N115" i="21"/>
  <c r="M115" i="21"/>
  <c r="L115" i="21"/>
  <c r="J115" i="21"/>
  <c r="R113" i="21"/>
  <c r="Q113" i="21"/>
  <c r="P113" i="21"/>
  <c r="O113" i="21"/>
  <c r="N113" i="21"/>
  <c r="M113" i="21"/>
  <c r="M112" i="21" s="1"/>
  <c r="M106" i="21" s="1"/>
  <c r="L113" i="21"/>
  <c r="L112" i="21" s="1"/>
  <c r="L106" i="21" s="1"/>
  <c r="J113" i="21"/>
  <c r="J112" i="21" s="1"/>
  <c r="J106" i="21" s="1"/>
  <c r="R112" i="21"/>
  <c r="R106" i="21" s="1"/>
  <c r="Q112" i="21"/>
  <c r="Q106" i="21" s="1"/>
  <c r="P112" i="21"/>
  <c r="P106" i="21" s="1"/>
  <c r="O112" i="21"/>
  <c r="O106" i="21" s="1"/>
  <c r="N112" i="21"/>
  <c r="N106" i="21"/>
  <c r="R103" i="21"/>
  <c r="Q103" i="21"/>
  <c r="P103" i="21"/>
  <c r="O103" i="21"/>
  <c r="N103" i="21"/>
  <c r="M103" i="21"/>
  <c r="L103" i="21"/>
  <c r="J103" i="21"/>
  <c r="R101" i="21"/>
  <c r="Q101" i="21"/>
  <c r="P101" i="21"/>
  <c r="O101" i="21"/>
  <c r="N101" i="21"/>
  <c r="M101" i="21"/>
  <c r="L101" i="21"/>
  <c r="J101" i="21"/>
  <c r="R99" i="21"/>
  <c r="Q99" i="21"/>
  <c r="P99" i="21"/>
  <c r="O99" i="21"/>
  <c r="N99" i="21"/>
  <c r="M99" i="21"/>
  <c r="L99" i="21"/>
  <c r="J99" i="21"/>
  <c r="R98" i="21"/>
  <c r="Q98" i="21"/>
  <c r="P98" i="21"/>
  <c r="O98" i="21"/>
  <c r="N98" i="21"/>
  <c r="M98" i="21"/>
  <c r="L98" i="21"/>
  <c r="J98" i="21"/>
  <c r="R96" i="21"/>
  <c r="R94" i="21" s="1"/>
  <c r="R93" i="21" s="1"/>
  <c r="Q96" i="21"/>
  <c r="P96" i="21"/>
  <c r="O96" i="21"/>
  <c r="O94" i="21" s="1"/>
  <c r="O93" i="21" s="1"/>
  <c r="N96" i="21"/>
  <c r="N94" i="21" s="1"/>
  <c r="N93" i="21" s="1"/>
  <c r="M96" i="21"/>
  <c r="M94" i="21" s="1"/>
  <c r="M93" i="21" s="1"/>
  <c r="L96" i="21"/>
  <c r="L94" i="21" s="1"/>
  <c r="L93" i="21" s="1"/>
  <c r="J96" i="21"/>
  <c r="J94" i="21" s="1"/>
  <c r="Q94" i="21"/>
  <c r="Q93" i="21" s="1"/>
  <c r="P94" i="21"/>
  <c r="P93" i="21" s="1"/>
  <c r="R91" i="21"/>
  <c r="Q91" i="21"/>
  <c r="P91" i="21"/>
  <c r="O91" i="21"/>
  <c r="N91" i="21"/>
  <c r="M91" i="21"/>
  <c r="L91" i="21"/>
  <c r="J91" i="21"/>
  <c r="J90" i="21" s="1"/>
  <c r="R90" i="21"/>
  <c r="Q90" i="21"/>
  <c r="P90" i="21"/>
  <c r="O90" i="21"/>
  <c r="N90" i="21"/>
  <c r="M90" i="21"/>
  <c r="L90" i="21"/>
  <c r="R88" i="21"/>
  <c r="R87" i="21" s="1"/>
  <c r="R86" i="21" s="1"/>
  <c r="Q88" i="21"/>
  <c r="Q87" i="21" s="1"/>
  <c r="Q86" i="21" s="1"/>
  <c r="P88" i="21"/>
  <c r="P87" i="21" s="1"/>
  <c r="P86" i="21" s="1"/>
  <c r="P85" i="21" s="1"/>
  <c r="P84" i="21" s="1"/>
  <c r="O88" i="21"/>
  <c r="O87" i="21" s="1"/>
  <c r="O86" i="21" s="1"/>
  <c r="O85" i="21" s="1"/>
  <c r="O84" i="21" s="1"/>
  <c r="N88" i="21"/>
  <c r="N87" i="21" s="1"/>
  <c r="N86" i="21" s="1"/>
  <c r="L88" i="21"/>
  <c r="L87" i="21" s="1"/>
  <c r="L86" i="21" s="1"/>
  <c r="J88" i="21"/>
  <c r="J87" i="21" s="1"/>
  <c r="J86" i="21" s="1"/>
  <c r="M87" i="21"/>
  <c r="M86" i="21" s="1"/>
  <c r="R78" i="21"/>
  <c r="Q78" i="21"/>
  <c r="P78" i="21"/>
  <c r="O78" i="21"/>
  <c r="N78" i="21"/>
  <c r="M78" i="21"/>
  <c r="L78" i="21"/>
  <c r="J78" i="21"/>
  <c r="R77" i="21"/>
  <c r="Q77" i="21"/>
  <c r="P77" i="21"/>
  <c r="O77" i="21"/>
  <c r="N77" i="21"/>
  <c r="M77" i="21"/>
  <c r="L77" i="21"/>
  <c r="J77" i="21"/>
  <c r="R75" i="21"/>
  <c r="Q75" i="21"/>
  <c r="P75" i="21"/>
  <c r="O75" i="21"/>
  <c r="N75" i="21"/>
  <c r="M75" i="21"/>
  <c r="L75" i="21"/>
  <c r="J75" i="21"/>
  <c r="R73" i="21"/>
  <c r="Q73" i="21"/>
  <c r="P73" i="21"/>
  <c r="O73" i="21"/>
  <c r="N73" i="21"/>
  <c r="M73" i="21"/>
  <c r="L73" i="21"/>
  <c r="J73" i="21"/>
  <c r="R72" i="21"/>
  <c r="Q72" i="21"/>
  <c r="Q71" i="21" s="1"/>
  <c r="Q70" i="21" s="1"/>
  <c r="Q69" i="21" s="1"/>
  <c r="P72" i="21"/>
  <c r="P71" i="21" s="1"/>
  <c r="P70" i="21" s="1"/>
  <c r="P69" i="21" s="1"/>
  <c r="O72" i="21"/>
  <c r="O71" i="21" s="1"/>
  <c r="O70" i="21" s="1"/>
  <c r="O69" i="21" s="1"/>
  <c r="N72" i="21"/>
  <c r="N71" i="21" s="1"/>
  <c r="N70" i="21" s="1"/>
  <c r="N69" i="21" s="1"/>
  <c r="M72" i="21"/>
  <c r="M71" i="21" s="1"/>
  <c r="M70" i="21" s="1"/>
  <c r="M69" i="21" s="1"/>
  <c r="L72" i="21"/>
  <c r="L71" i="21" s="1"/>
  <c r="L70" i="21" s="1"/>
  <c r="L69" i="21" s="1"/>
  <c r="J72" i="21"/>
  <c r="J71" i="21" s="1"/>
  <c r="J70" i="21" s="1"/>
  <c r="J69" i="21" s="1"/>
  <c r="R71" i="21"/>
  <c r="R70" i="21" s="1"/>
  <c r="R69" i="21" s="1"/>
  <c r="R66" i="21"/>
  <c r="Q66" i="21"/>
  <c r="P66" i="21"/>
  <c r="O66" i="21"/>
  <c r="N66" i="21"/>
  <c r="M66" i="21"/>
  <c r="M65" i="21" s="1"/>
  <c r="M64" i="21" s="1"/>
  <c r="L66" i="21"/>
  <c r="L65" i="21" s="1"/>
  <c r="L64" i="21" s="1"/>
  <c r="J66" i="21"/>
  <c r="J65" i="21" s="1"/>
  <c r="J64" i="21" s="1"/>
  <c r="R65" i="21"/>
  <c r="R64" i="21" s="1"/>
  <c r="Q65" i="21"/>
  <c r="Q64" i="21" s="1"/>
  <c r="P65" i="21"/>
  <c r="P64" i="21" s="1"/>
  <c r="O65" i="21"/>
  <c r="O64" i="21" s="1"/>
  <c r="N65" i="21"/>
  <c r="N64" i="21" s="1"/>
  <c r="R61" i="21"/>
  <c r="Q61" i="21"/>
  <c r="Q60" i="21" s="1"/>
  <c r="Q59" i="21" s="1"/>
  <c r="P61" i="21"/>
  <c r="P60" i="21" s="1"/>
  <c r="P59" i="21" s="1"/>
  <c r="O61" i="21"/>
  <c r="O60" i="21" s="1"/>
  <c r="O59" i="21" s="1"/>
  <c r="N61" i="21"/>
  <c r="N60" i="21" s="1"/>
  <c r="N59" i="21" s="1"/>
  <c r="M61" i="21"/>
  <c r="M60" i="21" s="1"/>
  <c r="M59" i="21" s="1"/>
  <c r="L61" i="21"/>
  <c r="L60" i="21" s="1"/>
  <c r="L59" i="21" s="1"/>
  <c r="J61" i="21"/>
  <c r="J60" i="21" s="1"/>
  <c r="J59" i="21" s="1"/>
  <c r="R60" i="21"/>
  <c r="R59" i="21" s="1"/>
  <c r="R57" i="21"/>
  <c r="R56" i="21" s="1"/>
  <c r="R55" i="21" s="1"/>
  <c r="Q57" i="21"/>
  <c r="P57" i="21"/>
  <c r="P56" i="21" s="1"/>
  <c r="P55" i="21" s="1"/>
  <c r="O57" i="21"/>
  <c r="O56" i="21" s="1"/>
  <c r="O55" i="21" s="1"/>
  <c r="N57" i="21"/>
  <c r="M57" i="21"/>
  <c r="M56" i="21" s="1"/>
  <c r="M55" i="21" s="1"/>
  <c r="L57" i="21"/>
  <c r="L56" i="21" s="1"/>
  <c r="L55" i="21" s="1"/>
  <c r="J57" i="21"/>
  <c r="J56" i="21" s="1"/>
  <c r="J55" i="21" s="1"/>
  <c r="Q56" i="21"/>
  <c r="Q55" i="21" s="1"/>
  <c r="N56" i="21"/>
  <c r="N55" i="21" s="1"/>
  <c r="R50" i="21"/>
  <c r="Q50" i="21"/>
  <c r="P50" i="21"/>
  <c r="O50" i="21"/>
  <c r="N50" i="21"/>
  <c r="M50" i="21"/>
  <c r="L50" i="21"/>
  <c r="J50" i="21"/>
  <c r="J49" i="21" s="1"/>
  <c r="J48" i="21" s="1"/>
  <c r="R49" i="21"/>
  <c r="Q49" i="21"/>
  <c r="P49" i="21"/>
  <c r="P48" i="21" s="1"/>
  <c r="O49" i="21"/>
  <c r="O48" i="21" s="1"/>
  <c r="N49" i="21"/>
  <c r="M49" i="21"/>
  <c r="M48" i="21" s="1"/>
  <c r="L49" i="21"/>
  <c r="L48" i="21" s="1"/>
  <c r="R48" i="21"/>
  <c r="Q48" i="21"/>
  <c r="N48" i="21"/>
  <c r="R46" i="21"/>
  <c r="Q46" i="21"/>
  <c r="Q45" i="21" s="1"/>
  <c r="P46" i="21"/>
  <c r="P45" i="21" s="1"/>
  <c r="O46" i="21"/>
  <c r="O45" i="21" s="1"/>
  <c r="N46" i="21"/>
  <c r="N45" i="21" s="1"/>
  <c r="M46" i="21"/>
  <c r="M45" i="21" s="1"/>
  <c r="L46" i="21"/>
  <c r="L45" i="21" s="1"/>
  <c r="J46" i="21"/>
  <c r="J45" i="21" s="1"/>
  <c r="R45" i="21"/>
  <c r="R42" i="21"/>
  <c r="Q42" i="21"/>
  <c r="P42" i="21"/>
  <c r="O42" i="21"/>
  <c r="N42" i="21"/>
  <c r="M42" i="21"/>
  <c r="L42" i="21"/>
  <c r="J42" i="21"/>
  <c r="R39" i="21"/>
  <c r="Q39" i="21"/>
  <c r="P39" i="21"/>
  <c r="O39" i="21"/>
  <c r="N39" i="21"/>
  <c r="M39" i="21"/>
  <c r="L39" i="21"/>
  <c r="J39" i="21"/>
  <c r="R37" i="21"/>
  <c r="Q37" i="21"/>
  <c r="P37" i="21"/>
  <c r="O37" i="21"/>
  <c r="N37" i="21"/>
  <c r="M37" i="21"/>
  <c r="L37" i="21"/>
  <c r="J37" i="21"/>
  <c r="L36" i="21"/>
  <c r="M36" i="21" s="1"/>
  <c r="M35" i="21" s="1"/>
  <c r="R35" i="21"/>
  <c r="Q35" i="21"/>
  <c r="P35" i="21"/>
  <c r="O35" i="21"/>
  <c r="N35" i="21"/>
  <c r="J35" i="21"/>
  <c r="L34" i="21"/>
  <c r="M34" i="21" s="1"/>
  <c r="L33" i="21"/>
  <c r="M33" i="21" s="1"/>
  <c r="R32" i="21"/>
  <c r="Q32" i="21"/>
  <c r="P32" i="21"/>
  <c r="O32" i="21"/>
  <c r="N32" i="21"/>
  <c r="J32" i="21"/>
  <c r="L29" i="21"/>
  <c r="M29" i="21" s="1"/>
  <c r="L28" i="21"/>
  <c r="R27" i="21"/>
  <c r="R26" i="21" s="1"/>
  <c r="R25" i="21" s="1"/>
  <c r="Q27" i="21"/>
  <c r="Q26" i="21" s="1"/>
  <c r="Q25" i="21" s="1"/>
  <c r="P27" i="21"/>
  <c r="P26" i="21" s="1"/>
  <c r="P25" i="21" s="1"/>
  <c r="O27" i="21"/>
  <c r="O26" i="21" s="1"/>
  <c r="O25" i="21" s="1"/>
  <c r="N27" i="21"/>
  <c r="N26" i="21" s="1"/>
  <c r="N25" i="21" s="1"/>
  <c r="J27" i="21"/>
  <c r="J26" i="21" s="1"/>
  <c r="J25" i="21" s="1"/>
  <c r="H441" i="20"/>
  <c r="K440" i="20"/>
  <c r="H440" i="20"/>
  <c r="U438" i="20"/>
  <c r="U437" i="20" s="1"/>
  <c r="U436" i="20" s="1"/>
  <c r="U435" i="20" s="1"/>
  <c r="U434" i="20" s="1"/>
  <c r="N438" i="20"/>
  <c r="N437" i="20" s="1"/>
  <c r="N436" i="20" s="1"/>
  <c r="N435" i="20" s="1"/>
  <c r="N434" i="20" s="1"/>
  <c r="J438" i="20"/>
  <c r="J437" i="20" s="1"/>
  <c r="J436" i="20" s="1"/>
  <c r="J435" i="20" s="1"/>
  <c r="J434" i="20" s="1"/>
  <c r="I438" i="20"/>
  <c r="I437" i="20" s="1"/>
  <c r="I436" i="20" s="1"/>
  <c r="I435" i="20" s="1"/>
  <c r="I434" i="20" s="1"/>
  <c r="K433" i="20"/>
  <c r="U432" i="20"/>
  <c r="U431" i="20" s="1"/>
  <c r="U430" i="20" s="1"/>
  <c r="U429" i="20" s="1"/>
  <c r="U428" i="20" s="1"/>
  <c r="N432" i="20"/>
  <c r="N431" i="20" s="1"/>
  <c r="N430" i="20" s="1"/>
  <c r="N429" i="20" s="1"/>
  <c r="N428" i="20" s="1"/>
  <c r="H432" i="20"/>
  <c r="H431" i="20" s="1"/>
  <c r="H430" i="20" s="1"/>
  <c r="H429" i="20" s="1"/>
  <c r="H428" i="20" s="1"/>
  <c r="J426" i="20"/>
  <c r="J425" i="20" s="1"/>
  <c r="J424" i="20" s="1"/>
  <c r="J423" i="20" s="1"/>
  <c r="J422" i="20" s="1"/>
  <c r="I426" i="20"/>
  <c r="I425" i="20" s="1"/>
  <c r="I424" i="20" s="1"/>
  <c r="I423" i="20" s="1"/>
  <c r="I422" i="20" s="1"/>
  <c r="U418" i="20"/>
  <c r="U417" i="20" s="1"/>
  <c r="N418" i="20"/>
  <c r="J418" i="20"/>
  <c r="J417" i="20" s="1"/>
  <c r="I418" i="20"/>
  <c r="I417" i="20" s="1"/>
  <c r="H418" i="20"/>
  <c r="H417" i="20" s="1"/>
  <c r="N417" i="20"/>
  <c r="U412" i="20"/>
  <c r="U411" i="20" s="1"/>
  <c r="U410" i="20" s="1"/>
  <c r="U409" i="20" s="1"/>
  <c r="N412" i="20"/>
  <c r="N411" i="20" s="1"/>
  <c r="N410" i="20" s="1"/>
  <c r="N409" i="20" s="1"/>
  <c r="H412" i="20"/>
  <c r="H411" i="20" s="1"/>
  <c r="H410" i="20" s="1"/>
  <c r="H409" i="20" s="1"/>
  <c r="U407" i="20"/>
  <c r="N407" i="20"/>
  <c r="H407" i="20"/>
  <c r="U406" i="20"/>
  <c r="N406" i="20"/>
  <c r="H406" i="20"/>
  <c r="J405" i="20"/>
  <c r="J404" i="20" s="1"/>
  <c r="J403" i="20" s="1"/>
  <c r="J402" i="20" s="1"/>
  <c r="J401" i="20" s="1"/>
  <c r="I405" i="20"/>
  <c r="I404" i="20" s="1"/>
  <c r="I403" i="20" s="1"/>
  <c r="I402" i="20" s="1"/>
  <c r="I401" i="20" s="1"/>
  <c r="U396" i="20"/>
  <c r="U395" i="20" s="1"/>
  <c r="U394" i="20" s="1"/>
  <c r="N396" i="20"/>
  <c r="N395" i="20" s="1"/>
  <c r="N394" i="20" s="1"/>
  <c r="J396" i="20"/>
  <c r="J395" i="20" s="1"/>
  <c r="J394" i="20" s="1"/>
  <c r="I396" i="20"/>
  <c r="I395" i="20" s="1"/>
  <c r="I394" i="20" s="1"/>
  <c r="H396" i="20"/>
  <c r="H395" i="20" s="1"/>
  <c r="H394" i="20" s="1"/>
  <c r="H393" i="20"/>
  <c r="H391" i="20" s="1"/>
  <c r="H390" i="20" s="1"/>
  <c r="H389" i="20" s="1"/>
  <c r="H388" i="20" s="1"/>
  <c r="H387" i="20" s="1"/>
  <c r="U391" i="20"/>
  <c r="U390" i="20" s="1"/>
  <c r="U389" i="20" s="1"/>
  <c r="U388" i="20" s="1"/>
  <c r="U387" i="20" s="1"/>
  <c r="N391" i="20"/>
  <c r="N390" i="20" s="1"/>
  <c r="N389" i="20" s="1"/>
  <c r="N388" i="20" s="1"/>
  <c r="N387" i="20" s="1"/>
  <c r="J391" i="20"/>
  <c r="J390" i="20" s="1"/>
  <c r="I391" i="20"/>
  <c r="I390" i="20" s="1"/>
  <c r="U385" i="20"/>
  <c r="U384" i="20" s="1"/>
  <c r="U383" i="20" s="1"/>
  <c r="N385" i="20"/>
  <c r="N384" i="20" s="1"/>
  <c r="N383" i="20" s="1"/>
  <c r="J385" i="20"/>
  <c r="J384" i="20" s="1"/>
  <c r="I385" i="20"/>
  <c r="I384" i="20" s="1"/>
  <c r="H385" i="20"/>
  <c r="H384" i="20" s="1"/>
  <c r="H383" i="20" s="1"/>
  <c r="U381" i="20"/>
  <c r="N381" i="20"/>
  <c r="J381" i="20"/>
  <c r="I381" i="20"/>
  <c r="H381" i="20"/>
  <c r="U379" i="20"/>
  <c r="N379" i="20"/>
  <c r="J379" i="20"/>
  <c r="I379" i="20"/>
  <c r="H379" i="20"/>
  <c r="U376" i="20"/>
  <c r="U375" i="20" s="1"/>
  <c r="N376" i="20"/>
  <c r="N375" i="20" s="1"/>
  <c r="J376" i="20"/>
  <c r="J375" i="20" s="1"/>
  <c r="I376" i="20"/>
  <c r="I375" i="20" s="1"/>
  <c r="H376" i="20"/>
  <c r="H375" i="20" s="1"/>
  <c r="U368" i="20"/>
  <c r="U367" i="20" s="1"/>
  <c r="U366" i="20" s="1"/>
  <c r="U365" i="20" s="1"/>
  <c r="U364" i="20" s="1"/>
  <c r="N368" i="20"/>
  <c r="N367" i="20" s="1"/>
  <c r="N366" i="20" s="1"/>
  <c r="N365" i="20" s="1"/>
  <c r="N364" i="20" s="1"/>
  <c r="J368" i="20"/>
  <c r="J367" i="20" s="1"/>
  <c r="J366" i="20" s="1"/>
  <c r="J365" i="20" s="1"/>
  <c r="J364" i="20" s="1"/>
  <c r="I368" i="20"/>
  <c r="I367" i="20" s="1"/>
  <c r="I366" i="20" s="1"/>
  <c r="I365" i="20" s="1"/>
  <c r="I364" i="20" s="1"/>
  <c r="H368" i="20"/>
  <c r="H367" i="20" s="1"/>
  <c r="H366" i="20" s="1"/>
  <c r="H365" i="20" s="1"/>
  <c r="H364" i="20" s="1"/>
  <c r="U360" i="20"/>
  <c r="U359" i="20" s="1"/>
  <c r="U358" i="20" s="1"/>
  <c r="N360" i="20"/>
  <c r="N359" i="20" s="1"/>
  <c r="N358" i="20" s="1"/>
  <c r="H360" i="20"/>
  <c r="H359" i="20" s="1"/>
  <c r="H358" i="20" s="1"/>
  <c r="U356" i="20"/>
  <c r="U355" i="20" s="1"/>
  <c r="U354" i="20" s="1"/>
  <c r="N356" i="20"/>
  <c r="N355" i="20" s="1"/>
  <c r="N354" i="20" s="1"/>
  <c r="J356" i="20"/>
  <c r="J355" i="20" s="1"/>
  <c r="J354" i="20" s="1"/>
  <c r="J353" i="20" s="1"/>
  <c r="J352" i="20" s="1"/>
  <c r="I356" i="20"/>
  <c r="I355" i="20" s="1"/>
  <c r="I354" i="20" s="1"/>
  <c r="I353" i="20" s="1"/>
  <c r="I352" i="20" s="1"/>
  <c r="H356" i="20"/>
  <c r="H355" i="20" s="1"/>
  <c r="H354" i="20" s="1"/>
  <c r="H351" i="20"/>
  <c r="H350" i="20" s="1"/>
  <c r="H349" i="20" s="1"/>
  <c r="H348" i="20" s="1"/>
  <c r="H347" i="20" s="1"/>
  <c r="H346" i="20" s="1"/>
  <c r="U350" i="20"/>
  <c r="N350" i="20"/>
  <c r="N349" i="20" s="1"/>
  <c r="N348" i="20" s="1"/>
  <c r="N347" i="20" s="1"/>
  <c r="N346" i="20" s="1"/>
  <c r="J350" i="20"/>
  <c r="J349" i="20" s="1"/>
  <c r="J348" i="20" s="1"/>
  <c r="J347" i="20" s="1"/>
  <c r="J346" i="20" s="1"/>
  <c r="I350" i="20"/>
  <c r="I349" i="20" s="1"/>
  <c r="I348" i="20" s="1"/>
  <c r="I347" i="20" s="1"/>
  <c r="I346" i="20" s="1"/>
  <c r="U349" i="20"/>
  <c r="U348" i="20" s="1"/>
  <c r="U347" i="20" s="1"/>
  <c r="U346" i="20" s="1"/>
  <c r="K343" i="20"/>
  <c r="K324" i="20" s="1"/>
  <c r="J343" i="20"/>
  <c r="I343" i="20"/>
  <c r="H343" i="20"/>
  <c r="H342" i="20" s="1"/>
  <c r="H341" i="20" s="1"/>
  <c r="H340" i="20" s="1"/>
  <c r="H339" i="20" s="1"/>
  <c r="H338" i="20" s="1"/>
  <c r="U342" i="20"/>
  <c r="U341" i="20" s="1"/>
  <c r="U340" i="20" s="1"/>
  <c r="U339" i="20" s="1"/>
  <c r="U338" i="20" s="1"/>
  <c r="N342" i="20"/>
  <c r="N341" i="20" s="1"/>
  <c r="N340" i="20" s="1"/>
  <c r="N339" i="20" s="1"/>
  <c r="N338" i="20" s="1"/>
  <c r="J341" i="20"/>
  <c r="I341" i="20"/>
  <c r="J338" i="20"/>
  <c r="J335" i="20" s="1"/>
  <c r="I338" i="20"/>
  <c r="I335" i="20" s="1"/>
  <c r="U337" i="20"/>
  <c r="U336" i="20" s="1"/>
  <c r="N337" i="20"/>
  <c r="N326" i="20" s="1"/>
  <c r="N325" i="20" s="1"/>
  <c r="N324" i="20" s="1"/>
  <c r="H337" i="20"/>
  <c r="H336" i="20" s="1"/>
  <c r="U334" i="20"/>
  <c r="N334" i="20"/>
  <c r="H334" i="20"/>
  <c r="U332" i="20"/>
  <c r="U331" i="20" s="1"/>
  <c r="N332" i="20"/>
  <c r="N331" i="20" s="1"/>
  <c r="J332" i="20"/>
  <c r="I332" i="20"/>
  <c r="H332" i="20"/>
  <c r="H331" i="20" s="1"/>
  <c r="H329" i="20"/>
  <c r="J328" i="20"/>
  <c r="J327" i="20" s="1"/>
  <c r="J326" i="20" s="1"/>
  <c r="J325" i="20" s="1"/>
  <c r="J324" i="20" s="1"/>
  <c r="I328" i="20"/>
  <c r="I327" i="20" s="1"/>
  <c r="I326" i="20" s="1"/>
  <c r="I325" i="20" s="1"/>
  <c r="I324" i="20" s="1"/>
  <c r="I323" i="20" s="1"/>
  <c r="H328" i="20"/>
  <c r="U327" i="20"/>
  <c r="N327" i="20"/>
  <c r="U321" i="20"/>
  <c r="U320" i="20" s="1"/>
  <c r="N321" i="20"/>
  <c r="N320" i="20" s="1"/>
  <c r="H321" i="20"/>
  <c r="H320" i="20" s="1"/>
  <c r="J320" i="20"/>
  <c r="J317" i="20" s="1"/>
  <c r="I320" i="20"/>
  <c r="U318" i="20"/>
  <c r="N318" i="20"/>
  <c r="H318" i="20"/>
  <c r="I317" i="20"/>
  <c r="U315" i="20"/>
  <c r="U314" i="20" s="1"/>
  <c r="N315" i="20"/>
  <c r="J315" i="20"/>
  <c r="J314" i="20" s="1"/>
  <c r="I315" i="20"/>
  <c r="I314" i="20" s="1"/>
  <c r="H315" i="20"/>
  <c r="H314" i="20" s="1"/>
  <c r="N314" i="20"/>
  <c r="H308" i="20"/>
  <c r="H307" i="20"/>
  <c r="H306" i="20" s="1"/>
  <c r="H302" i="20"/>
  <c r="H301" i="20" s="1"/>
  <c r="H300" i="20" s="1"/>
  <c r="H297" i="20"/>
  <c r="H296" i="20" s="1"/>
  <c r="H295" i="20" s="1"/>
  <c r="H294" i="20" s="1"/>
  <c r="U293" i="20"/>
  <c r="U291" i="20" s="1"/>
  <c r="U290" i="20" s="1"/>
  <c r="U284" i="20" s="1"/>
  <c r="N293" i="20"/>
  <c r="N291" i="20" s="1"/>
  <c r="N290" i="20" s="1"/>
  <c r="N284" i="20" s="1"/>
  <c r="H293" i="20"/>
  <c r="H291" i="20" s="1"/>
  <c r="H290" i="20" s="1"/>
  <c r="H288" i="20"/>
  <c r="U286" i="20"/>
  <c r="U285" i="20" s="1"/>
  <c r="N286" i="20"/>
  <c r="N285" i="20" s="1"/>
  <c r="H282" i="20"/>
  <c r="H281" i="20" s="1"/>
  <c r="H280" i="20" s="1"/>
  <c r="U279" i="20"/>
  <c r="U278" i="20" s="1"/>
  <c r="N279" i="20"/>
  <c r="N278" i="20" s="1"/>
  <c r="H279" i="20"/>
  <c r="H278" i="20" s="1"/>
  <c r="J278" i="20"/>
  <c r="I278" i="20"/>
  <c r="U274" i="20"/>
  <c r="N274" i="20"/>
  <c r="J274" i="20"/>
  <c r="I274" i="20"/>
  <c r="I273" i="20" s="1"/>
  <c r="H274" i="20"/>
  <c r="U271" i="20"/>
  <c r="N271" i="20"/>
  <c r="J271" i="20"/>
  <c r="I271" i="20"/>
  <c r="H271" i="20"/>
  <c r="U269" i="20"/>
  <c r="N269" i="20"/>
  <c r="J269" i="20"/>
  <c r="J268" i="20" s="1"/>
  <c r="I269" i="20"/>
  <c r="H269" i="20"/>
  <c r="U265" i="20"/>
  <c r="U263" i="20" s="1"/>
  <c r="N265" i="20"/>
  <c r="J265" i="20"/>
  <c r="J264" i="20" s="1"/>
  <c r="J263" i="20" s="1"/>
  <c r="I265" i="20"/>
  <c r="I264" i="20" s="1"/>
  <c r="I263" i="20" s="1"/>
  <c r="H265" i="20"/>
  <c r="H263" i="20" s="1"/>
  <c r="K261" i="20"/>
  <c r="K256" i="20" s="1"/>
  <c r="H261" i="20"/>
  <c r="J260" i="20"/>
  <c r="I260" i="20"/>
  <c r="H259" i="20"/>
  <c r="H258" i="20" s="1"/>
  <c r="U258" i="20"/>
  <c r="N258" i="20"/>
  <c r="J258" i="20"/>
  <c r="I258" i="20"/>
  <c r="U253" i="20"/>
  <c r="N253" i="20"/>
  <c r="H253" i="20"/>
  <c r="H252" i="20" s="1"/>
  <c r="H251" i="20" s="1"/>
  <c r="H250" i="20" s="1"/>
  <c r="H245" i="20"/>
  <c r="H244" i="20"/>
  <c r="H243" i="20" s="1"/>
  <c r="H242" i="20" s="1"/>
  <c r="H241" i="20"/>
  <c r="H240" i="20" s="1"/>
  <c r="H239" i="20" s="1"/>
  <c r="H238" i="20" s="1"/>
  <c r="H237" i="20" s="1"/>
  <c r="J240" i="20"/>
  <c r="J239" i="20" s="1"/>
  <c r="J238" i="20" s="1"/>
  <c r="J237" i="20" s="1"/>
  <c r="I240" i="20"/>
  <c r="I239" i="20" s="1"/>
  <c r="I238" i="20" s="1"/>
  <c r="I237" i="20" s="1"/>
  <c r="H236" i="20"/>
  <c r="U232" i="20"/>
  <c r="U229" i="20" s="1"/>
  <c r="U228" i="20" s="1"/>
  <c r="N232" i="20"/>
  <c r="N229" i="20" s="1"/>
  <c r="N228" i="20" s="1"/>
  <c r="J232" i="20"/>
  <c r="J229" i="20" s="1"/>
  <c r="J228" i="20" s="1"/>
  <c r="J227" i="20" s="1"/>
  <c r="I232" i="20"/>
  <c r="I229" i="20" s="1"/>
  <c r="I228" i="20" s="1"/>
  <c r="I227" i="20" s="1"/>
  <c r="H232" i="20"/>
  <c r="H231" i="20"/>
  <c r="H229" i="20"/>
  <c r="H228" i="20" s="1"/>
  <c r="K228" i="20"/>
  <c r="U227" i="20"/>
  <c r="N227" i="20"/>
  <c r="U226" i="20"/>
  <c r="U225" i="20" s="1"/>
  <c r="H226" i="20"/>
  <c r="H225" i="20" s="1"/>
  <c r="U224" i="20"/>
  <c r="U223" i="20" s="1"/>
  <c r="H224" i="20"/>
  <c r="H223" i="20" s="1"/>
  <c r="N223" i="20"/>
  <c r="N222" i="20" s="1"/>
  <c r="N221" i="20" s="1"/>
  <c r="J223" i="20"/>
  <c r="J222" i="20" s="1"/>
  <c r="J221" i="20" s="1"/>
  <c r="I223" i="20"/>
  <c r="I222" i="20" s="1"/>
  <c r="I221" i="20" s="1"/>
  <c r="K221" i="20"/>
  <c r="U219" i="20"/>
  <c r="N219" i="20"/>
  <c r="H219" i="20"/>
  <c r="U217" i="20"/>
  <c r="N217" i="20"/>
  <c r="J217" i="20"/>
  <c r="I217" i="20"/>
  <c r="H217" i="20"/>
  <c r="H216" i="20"/>
  <c r="H215" i="20" s="1"/>
  <c r="U213" i="20"/>
  <c r="N213" i="20"/>
  <c r="J213" i="20"/>
  <c r="I213" i="20"/>
  <c r="H213" i="20"/>
  <c r="U211" i="20"/>
  <c r="N211" i="20"/>
  <c r="J211" i="20"/>
  <c r="I211" i="20"/>
  <c r="H211" i="20"/>
  <c r="H206" i="20"/>
  <c r="H205" i="20" s="1"/>
  <c r="H204" i="20" s="1"/>
  <c r="H202" i="20"/>
  <c r="H201" i="20" s="1"/>
  <c r="H200" i="20" s="1"/>
  <c r="U195" i="20"/>
  <c r="U194" i="20" s="1"/>
  <c r="H195" i="20"/>
  <c r="H194" i="20" s="1"/>
  <c r="N194" i="20"/>
  <c r="J194" i="20"/>
  <c r="I194" i="20"/>
  <c r="J192" i="20"/>
  <c r="I192" i="20"/>
  <c r="H192" i="20"/>
  <c r="U191" i="20"/>
  <c r="U190" i="20" s="1"/>
  <c r="N191" i="20"/>
  <c r="N190" i="20" s="1"/>
  <c r="N189" i="20" s="1"/>
  <c r="N188" i="20" s="1"/>
  <c r="N187" i="20" s="1"/>
  <c r="H191" i="20"/>
  <c r="H190" i="20" s="1"/>
  <c r="J190" i="20"/>
  <c r="I190" i="20"/>
  <c r="K189" i="20"/>
  <c r="U185" i="20"/>
  <c r="U184" i="20" s="1"/>
  <c r="U183" i="20" s="1"/>
  <c r="N185" i="20"/>
  <c r="J185" i="20"/>
  <c r="J184" i="20" s="1"/>
  <c r="J183" i="20" s="1"/>
  <c r="I185" i="20"/>
  <c r="I184" i="20" s="1"/>
  <c r="I183" i="20" s="1"/>
  <c r="H185" i="20"/>
  <c r="H184" i="20" s="1"/>
  <c r="H183" i="20" s="1"/>
  <c r="N184" i="20"/>
  <c r="N183" i="20" s="1"/>
  <c r="K183" i="20"/>
  <c r="U180" i="20"/>
  <c r="U179" i="20" s="1"/>
  <c r="U178" i="20" s="1"/>
  <c r="U177" i="20" s="1"/>
  <c r="N180" i="20"/>
  <c r="N179" i="20" s="1"/>
  <c r="N178" i="20" s="1"/>
  <c r="N177" i="20" s="1"/>
  <c r="J180" i="20"/>
  <c r="J179" i="20" s="1"/>
  <c r="J178" i="20" s="1"/>
  <c r="J177" i="20" s="1"/>
  <c r="I180" i="20"/>
  <c r="I179" i="20" s="1"/>
  <c r="I178" i="20" s="1"/>
  <c r="I177" i="20" s="1"/>
  <c r="H180" i="20"/>
  <c r="H179" i="20" s="1"/>
  <c r="H178" i="20" s="1"/>
  <c r="H177" i="20" s="1"/>
  <c r="U175" i="20"/>
  <c r="N175" i="20"/>
  <c r="J175" i="20"/>
  <c r="I175" i="20"/>
  <c r="H175" i="20"/>
  <c r="U173" i="20"/>
  <c r="N173" i="20"/>
  <c r="J173" i="20"/>
  <c r="I173" i="20"/>
  <c r="H173" i="20"/>
  <c r="U171" i="20"/>
  <c r="N171" i="20"/>
  <c r="J171" i="20"/>
  <c r="I171" i="20"/>
  <c r="H171" i="20"/>
  <c r="U168" i="20"/>
  <c r="U167" i="20" s="1"/>
  <c r="N168" i="20"/>
  <c r="J168" i="20"/>
  <c r="J167" i="20" s="1"/>
  <c r="I168" i="20"/>
  <c r="I167" i="20" s="1"/>
  <c r="H168" i="20"/>
  <c r="H167" i="20" s="1"/>
  <c r="N167" i="20"/>
  <c r="H164" i="20"/>
  <c r="H163" i="20" s="1"/>
  <c r="U163" i="20"/>
  <c r="N163" i="20"/>
  <c r="J163" i="20"/>
  <c r="I163" i="20"/>
  <c r="H162" i="20"/>
  <c r="H161" i="20" s="1"/>
  <c r="U161" i="20"/>
  <c r="N161" i="20"/>
  <c r="J161" i="20"/>
  <c r="I161" i="20"/>
  <c r="U157" i="20"/>
  <c r="N157" i="20"/>
  <c r="J157" i="20"/>
  <c r="I157" i="20"/>
  <c r="H157" i="20"/>
  <c r="H156" i="20"/>
  <c r="H155" i="20" s="1"/>
  <c r="U155" i="20"/>
  <c r="N155" i="20"/>
  <c r="J155" i="20"/>
  <c r="I155" i="20"/>
  <c r="H154" i="20"/>
  <c r="H153" i="20" s="1"/>
  <c r="J153" i="20"/>
  <c r="I153" i="20"/>
  <c r="K151" i="20"/>
  <c r="U149" i="20"/>
  <c r="N149" i="20"/>
  <c r="H147" i="20"/>
  <c r="H145" i="20" s="1"/>
  <c r="H144" i="20" s="1"/>
  <c r="H143" i="20" s="1"/>
  <c r="U145" i="20"/>
  <c r="U144" i="20" s="1"/>
  <c r="U143" i="20" s="1"/>
  <c r="U142" i="20" s="1"/>
  <c r="N145" i="20"/>
  <c r="N144" i="20" s="1"/>
  <c r="N143" i="20" s="1"/>
  <c r="K145" i="20"/>
  <c r="J145" i="20"/>
  <c r="J144" i="20" s="1"/>
  <c r="I145" i="20"/>
  <c r="I144" i="20" s="1"/>
  <c r="J141" i="20"/>
  <c r="I141" i="20"/>
  <c r="H139" i="20"/>
  <c r="H138" i="20" s="1"/>
  <c r="H137" i="20" s="1"/>
  <c r="H136" i="20" s="1"/>
  <c r="H135" i="20"/>
  <c r="H134" i="20" s="1"/>
  <c r="H133" i="20" s="1"/>
  <c r="H132" i="20" s="1"/>
  <c r="U134" i="20"/>
  <c r="U133" i="20" s="1"/>
  <c r="U132" i="20" s="1"/>
  <c r="N134" i="20"/>
  <c r="N133" i="20" s="1"/>
  <c r="N132" i="20" s="1"/>
  <c r="J134" i="20"/>
  <c r="I134" i="20"/>
  <c r="H130" i="20"/>
  <c r="H129" i="20" s="1"/>
  <c r="H128" i="20" s="1"/>
  <c r="U129" i="20"/>
  <c r="U128" i="20" s="1"/>
  <c r="N129" i="20"/>
  <c r="N128" i="20" s="1"/>
  <c r="J129" i="20"/>
  <c r="J128" i="20" s="1"/>
  <c r="I129" i="20"/>
  <c r="I128" i="20" s="1"/>
  <c r="U126" i="20"/>
  <c r="N126" i="20"/>
  <c r="J126" i="20"/>
  <c r="I126" i="20"/>
  <c r="H126" i="20"/>
  <c r="U124" i="20"/>
  <c r="N124" i="20"/>
  <c r="J124" i="20"/>
  <c r="I124" i="20"/>
  <c r="H123" i="20"/>
  <c r="U122" i="20"/>
  <c r="N122" i="20"/>
  <c r="J122" i="20"/>
  <c r="I122" i="20"/>
  <c r="U119" i="20"/>
  <c r="U118" i="20" s="1"/>
  <c r="N119" i="20"/>
  <c r="N118" i="20" s="1"/>
  <c r="K119" i="20"/>
  <c r="U114" i="20"/>
  <c r="U113" i="20" s="1"/>
  <c r="U112" i="20" s="1"/>
  <c r="U111" i="20" s="1"/>
  <c r="U110" i="20" s="1"/>
  <c r="U109" i="20" s="1"/>
  <c r="N114" i="20"/>
  <c r="J114" i="20"/>
  <c r="I114" i="20"/>
  <c r="I113" i="20" s="1"/>
  <c r="I112" i="20" s="1"/>
  <c r="I111" i="20" s="1"/>
  <c r="I110" i="20" s="1"/>
  <c r="I109" i="20" s="1"/>
  <c r="H114" i="20"/>
  <c r="H113" i="20" s="1"/>
  <c r="H112" i="20" s="1"/>
  <c r="H111" i="20" s="1"/>
  <c r="H110" i="20" s="1"/>
  <c r="H109" i="20" s="1"/>
  <c r="N113" i="20"/>
  <c r="N112" i="20" s="1"/>
  <c r="N111" i="20" s="1"/>
  <c r="N110" i="20" s="1"/>
  <c r="N109" i="20" s="1"/>
  <c r="J113" i="20"/>
  <c r="J112" i="20" s="1"/>
  <c r="J111" i="20" s="1"/>
  <c r="J110" i="20" s="1"/>
  <c r="J109" i="20" s="1"/>
  <c r="U106" i="20"/>
  <c r="U101" i="20" s="1"/>
  <c r="U100" i="20" s="1"/>
  <c r="U99" i="20" s="1"/>
  <c r="N106" i="20"/>
  <c r="N101" i="20" s="1"/>
  <c r="N100" i="20" s="1"/>
  <c r="N99" i="20" s="1"/>
  <c r="J106" i="20"/>
  <c r="J101" i="20" s="1"/>
  <c r="J100" i="20" s="1"/>
  <c r="J99" i="20" s="1"/>
  <c r="I106" i="20"/>
  <c r="I101" i="20" s="1"/>
  <c r="I100" i="20" s="1"/>
  <c r="I99" i="20" s="1"/>
  <c r="H106" i="20"/>
  <c r="U104" i="20"/>
  <c r="N104" i="20"/>
  <c r="J104" i="20"/>
  <c r="I104" i="20"/>
  <c r="H104" i="20"/>
  <c r="U102" i="20"/>
  <c r="N102" i="20"/>
  <c r="J102" i="20"/>
  <c r="I102" i="20"/>
  <c r="H102" i="20"/>
  <c r="H101" i="20" s="1"/>
  <c r="H100" i="20" s="1"/>
  <c r="H99" i="20" s="1"/>
  <c r="K98" i="20"/>
  <c r="H98" i="20"/>
  <c r="H97" i="20"/>
  <c r="K96" i="20"/>
  <c r="H96" i="20" s="1"/>
  <c r="U95" i="20"/>
  <c r="N95" i="20"/>
  <c r="J95" i="20"/>
  <c r="J94" i="20" s="1"/>
  <c r="J93" i="20" s="1"/>
  <c r="J92" i="20" s="1"/>
  <c r="I95" i="20"/>
  <c r="I94" i="20" s="1"/>
  <c r="I93" i="20" s="1"/>
  <c r="I92" i="20" s="1"/>
  <c r="U94" i="20"/>
  <c r="U93" i="20" s="1"/>
  <c r="U92" i="20" s="1"/>
  <c r="N94" i="20"/>
  <c r="N93" i="20" s="1"/>
  <c r="N92" i="20" s="1"/>
  <c r="H90" i="20"/>
  <c r="H89" i="20" s="1"/>
  <c r="H88" i="20" s="1"/>
  <c r="H87" i="20" s="1"/>
  <c r="H86" i="20" s="1"/>
  <c r="H85" i="20" s="1"/>
  <c r="U89" i="20"/>
  <c r="U88" i="20" s="1"/>
  <c r="U87" i="20" s="1"/>
  <c r="U86" i="20" s="1"/>
  <c r="U85" i="20" s="1"/>
  <c r="N89" i="20"/>
  <c r="N88" i="20" s="1"/>
  <c r="N87" i="20" s="1"/>
  <c r="N86" i="20" s="1"/>
  <c r="N85" i="20" s="1"/>
  <c r="J89" i="20"/>
  <c r="J88" i="20" s="1"/>
  <c r="J87" i="20" s="1"/>
  <c r="J86" i="20" s="1"/>
  <c r="J85" i="20" s="1"/>
  <c r="I89" i="20"/>
  <c r="I88" i="20" s="1"/>
  <c r="I87" i="20" s="1"/>
  <c r="I86" i="20" s="1"/>
  <c r="I85" i="20" s="1"/>
  <c r="U83" i="20"/>
  <c r="U82" i="20" s="1"/>
  <c r="U81" i="20" s="1"/>
  <c r="U80" i="20" s="1"/>
  <c r="U79" i="20" s="1"/>
  <c r="N83" i="20"/>
  <c r="N82" i="20" s="1"/>
  <c r="N81" i="20" s="1"/>
  <c r="N80" i="20" s="1"/>
  <c r="N79" i="20" s="1"/>
  <c r="H83" i="20"/>
  <c r="H82" i="20" s="1"/>
  <c r="H81" i="20" s="1"/>
  <c r="H80" i="20" s="1"/>
  <c r="H79" i="20" s="1"/>
  <c r="H78" i="20"/>
  <c r="H77" i="20" s="1"/>
  <c r="H76" i="20" s="1"/>
  <c r="H75" i="20" s="1"/>
  <c r="H74" i="20" s="1"/>
  <c r="H73" i="20" s="1"/>
  <c r="K72" i="20"/>
  <c r="U71" i="20"/>
  <c r="U70" i="20" s="1"/>
  <c r="U69" i="20" s="1"/>
  <c r="N71" i="20"/>
  <c r="N70" i="20" s="1"/>
  <c r="N69" i="20" s="1"/>
  <c r="J71" i="20"/>
  <c r="J70" i="20" s="1"/>
  <c r="J69" i="20" s="1"/>
  <c r="I71" i="20"/>
  <c r="I70" i="20" s="1"/>
  <c r="I69" i="20" s="1"/>
  <c r="H71" i="20"/>
  <c r="H70" i="20" s="1"/>
  <c r="H69" i="20" s="1"/>
  <c r="U67" i="20"/>
  <c r="N67" i="20"/>
  <c r="J67" i="20"/>
  <c r="I67" i="20"/>
  <c r="H67" i="20"/>
  <c r="J65" i="20"/>
  <c r="I65" i="20"/>
  <c r="H65" i="20"/>
  <c r="J63" i="20"/>
  <c r="I63" i="20"/>
  <c r="H63" i="20"/>
  <c r="K61" i="20"/>
  <c r="H61" i="20"/>
  <c r="K60" i="20"/>
  <c r="H60" i="20"/>
  <c r="U59" i="20"/>
  <c r="N59" i="20"/>
  <c r="J59" i="20"/>
  <c r="I59" i="20"/>
  <c r="L55" i="20"/>
  <c r="U51" i="20"/>
  <c r="U50" i="20" s="1"/>
  <c r="U49" i="20" s="1"/>
  <c r="U48" i="20" s="1"/>
  <c r="N51" i="20"/>
  <c r="N50" i="20" s="1"/>
  <c r="N49" i="20" s="1"/>
  <c r="N48" i="20" s="1"/>
  <c r="J51" i="20"/>
  <c r="J50" i="20" s="1"/>
  <c r="J49" i="20" s="1"/>
  <c r="J48" i="20" s="1"/>
  <c r="J47" i="20" s="1"/>
  <c r="I51" i="20"/>
  <c r="I50" i="20" s="1"/>
  <c r="I49" i="20" s="1"/>
  <c r="I48" i="20" s="1"/>
  <c r="I47" i="20" s="1"/>
  <c r="H51" i="20"/>
  <c r="H50" i="20" s="1"/>
  <c r="H49" i="20" s="1"/>
  <c r="H48" i="20" s="1"/>
  <c r="J45" i="20"/>
  <c r="J44" i="20" s="1"/>
  <c r="J43" i="20" s="1"/>
  <c r="I45" i="20"/>
  <c r="I44" i="20" s="1"/>
  <c r="I43" i="20" s="1"/>
  <c r="H45" i="20"/>
  <c r="H44" i="20" s="1"/>
  <c r="H43" i="20" s="1"/>
  <c r="J26" i="20"/>
  <c r="J25" i="20" s="1"/>
  <c r="J24" i="20" s="1"/>
  <c r="J23" i="20" s="1"/>
  <c r="J22" i="20" s="1"/>
  <c r="I26" i="20"/>
  <c r="I25" i="20" s="1"/>
  <c r="I24" i="20" s="1"/>
  <c r="I23" i="20" s="1"/>
  <c r="I22" i="20" s="1"/>
  <c r="I12" i="20"/>
  <c r="U382" i="18"/>
  <c r="U381" i="18" s="1"/>
  <c r="U380" i="18" s="1"/>
  <c r="U379" i="18" s="1"/>
  <c r="U378" i="18" s="1"/>
  <c r="N382" i="18"/>
  <c r="N381" i="18" s="1"/>
  <c r="N380" i="18" s="1"/>
  <c r="N379" i="18" s="1"/>
  <c r="N378" i="18" s="1"/>
  <c r="J382" i="18"/>
  <c r="J381" i="18" s="1"/>
  <c r="J380" i="18" s="1"/>
  <c r="J379" i="18" s="1"/>
  <c r="J378" i="18" s="1"/>
  <c r="I382" i="18"/>
  <c r="I381" i="18" s="1"/>
  <c r="I380" i="18" s="1"/>
  <c r="I379" i="18" s="1"/>
  <c r="I378" i="18" s="1"/>
  <c r="H382" i="18"/>
  <c r="H381" i="18" s="1"/>
  <c r="H380" i="18" s="1"/>
  <c r="H379" i="18" s="1"/>
  <c r="H378" i="18" s="1"/>
  <c r="U376" i="18"/>
  <c r="U375" i="18" s="1"/>
  <c r="U374" i="18" s="1"/>
  <c r="U373" i="18" s="1"/>
  <c r="N376" i="18"/>
  <c r="N375" i="18" s="1"/>
  <c r="N374" i="18" s="1"/>
  <c r="N373" i="18" s="1"/>
  <c r="H376" i="18"/>
  <c r="H375" i="18" s="1"/>
  <c r="H374" i="18" s="1"/>
  <c r="H373" i="18" s="1"/>
  <c r="U371" i="18"/>
  <c r="N371" i="18"/>
  <c r="H371" i="18"/>
  <c r="U370" i="18"/>
  <c r="N370" i="18"/>
  <c r="H370" i="18"/>
  <c r="J369" i="18"/>
  <c r="J368" i="18" s="1"/>
  <c r="J367" i="18" s="1"/>
  <c r="J366" i="18" s="1"/>
  <c r="J365" i="18" s="1"/>
  <c r="I369" i="18"/>
  <c r="I368" i="18" s="1"/>
  <c r="I367" i="18" s="1"/>
  <c r="I366" i="18" s="1"/>
  <c r="I365" i="18" s="1"/>
  <c r="I364" i="18" s="1"/>
  <c r="I363" i="18" s="1"/>
  <c r="U360" i="18"/>
  <c r="U359" i="18" s="1"/>
  <c r="U358" i="18" s="1"/>
  <c r="N360" i="18"/>
  <c r="N359" i="18" s="1"/>
  <c r="N358" i="18" s="1"/>
  <c r="J360" i="18"/>
  <c r="J359" i="18" s="1"/>
  <c r="J358" i="18" s="1"/>
  <c r="I360" i="18"/>
  <c r="I359" i="18" s="1"/>
  <c r="I358" i="18" s="1"/>
  <c r="H360" i="18"/>
  <c r="H359" i="18" s="1"/>
  <c r="H358" i="18" s="1"/>
  <c r="U355" i="18"/>
  <c r="U354" i="18" s="1"/>
  <c r="U353" i="18" s="1"/>
  <c r="U352" i="18" s="1"/>
  <c r="U351" i="18" s="1"/>
  <c r="N355" i="18"/>
  <c r="N354" i="18" s="1"/>
  <c r="N353" i="18" s="1"/>
  <c r="N352" i="18" s="1"/>
  <c r="N351" i="18" s="1"/>
  <c r="J355" i="18"/>
  <c r="J354" i="18" s="1"/>
  <c r="I355" i="18"/>
  <c r="I354" i="18" s="1"/>
  <c r="H355" i="18"/>
  <c r="H354" i="18" s="1"/>
  <c r="H353" i="18" s="1"/>
  <c r="H352" i="18" s="1"/>
  <c r="H351" i="18" s="1"/>
  <c r="U349" i="18"/>
  <c r="U348" i="18" s="1"/>
  <c r="U347" i="18" s="1"/>
  <c r="N349" i="18"/>
  <c r="N348" i="18" s="1"/>
  <c r="N347" i="18" s="1"/>
  <c r="J349" i="18"/>
  <c r="J348" i="18" s="1"/>
  <c r="I349" i="18"/>
  <c r="I348" i="18" s="1"/>
  <c r="H349" i="18"/>
  <c r="H348" i="18" s="1"/>
  <c r="H347" i="18" s="1"/>
  <c r="U345" i="18"/>
  <c r="N345" i="18"/>
  <c r="J345" i="18"/>
  <c r="I345" i="18"/>
  <c r="H345" i="18"/>
  <c r="U343" i="18"/>
  <c r="N343" i="18"/>
  <c r="J343" i="18"/>
  <c r="I343" i="18"/>
  <c r="H343" i="18"/>
  <c r="U340" i="18"/>
  <c r="U339" i="18" s="1"/>
  <c r="N340" i="18"/>
  <c r="N339" i="18" s="1"/>
  <c r="J340" i="18"/>
  <c r="J339" i="18" s="1"/>
  <c r="I340" i="18"/>
  <c r="I339" i="18" s="1"/>
  <c r="H340" i="18"/>
  <c r="H339" i="18" s="1"/>
  <c r="U332" i="18"/>
  <c r="U331" i="18" s="1"/>
  <c r="U330" i="18" s="1"/>
  <c r="U329" i="18" s="1"/>
  <c r="U328" i="18" s="1"/>
  <c r="N332" i="18"/>
  <c r="N331" i="18" s="1"/>
  <c r="N330" i="18" s="1"/>
  <c r="N329" i="18" s="1"/>
  <c r="N328" i="18" s="1"/>
  <c r="J332" i="18"/>
  <c r="J331" i="18" s="1"/>
  <c r="J330" i="18" s="1"/>
  <c r="J329" i="18" s="1"/>
  <c r="J328" i="18" s="1"/>
  <c r="I332" i="18"/>
  <c r="I331" i="18" s="1"/>
  <c r="I330" i="18" s="1"/>
  <c r="I329" i="18" s="1"/>
  <c r="I328" i="18" s="1"/>
  <c r="H332" i="18"/>
  <c r="H331" i="18" s="1"/>
  <c r="H330" i="18" s="1"/>
  <c r="H329" i="18" s="1"/>
  <c r="H328" i="18" s="1"/>
  <c r="U324" i="18"/>
  <c r="U323" i="18" s="1"/>
  <c r="U322" i="18" s="1"/>
  <c r="N324" i="18"/>
  <c r="N323" i="18" s="1"/>
  <c r="N322" i="18" s="1"/>
  <c r="H324" i="18"/>
  <c r="H323" i="18" s="1"/>
  <c r="H322" i="18" s="1"/>
  <c r="U320" i="18"/>
  <c r="U319" i="18" s="1"/>
  <c r="U318" i="18" s="1"/>
  <c r="N320" i="18"/>
  <c r="N319" i="18" s="1"/>
  <c r="N318" i="18" s="1"/>
  <c r="J320" i="18"/>
  <c r="J319" i="18" s="1"/>
  <c r="J318" i="18" s="1"/>
  <c r="J317" i="18" s="1"/>
  <c r="J316" i="18" s="1"/>
  <c r="I320" i="18"/>
  <c r="I319" i="18" s="1"/>
  <c r="I318" i="18" s="1"/>
  <c r="I317" i="18" s="1"/>
  <c r="I316" i="18" s="1"/>
  <c r="H320" i="18"/>
  <c r="H319" i="18" s="1"/>
  <c r="H318" i="18" s="1"/>
  <c r="U314" i="18"/>
  <c r="U313" i="18" s="1"/>
  <c r="U312" i="18" s="1"/>
  <c r="U311" i="18" s="1"/>
  <c r="U310" i="18" s="1"/>
  <c r="N314" i="18"/>
  <c r="N313" i="18" s="1"/>
  <c r="N312" i="18" s="1"/>
  <c r="N311" i="18" s="1"/>
  <c r="N310" i="18" s="1"/>
  <c r="J314" i="18"/>
  <c r="J313" i="18" s="1"/>
  <c r="J312" i="18" s="1"/>
  <c r="J311" i="18" s="1"/>
  <c r="J310" i="18" s="1"/>
  <c r="I314" i="18"/>
  <c r="I313" i="18" s="1"/>
  <c r="I312" i="18" s="1"/>
  <c r="I311" i="18" s="1"/>
  <c r="I310" i="18" s="1"/>
  <c r="H314" i="18"/>
  <c r="H313" i="18" s="1"/>
  <c r="H312" i="18" s="1"/>
  <c r="H311" i="18" s="1"/>
  <c r="H310" i="18" s="1"/>
  <c r="K307" i="18"/>
  <c r="K288" i="18" s="1"/>
  <c r="J307" i="18"/>
  <c r="I307" i="18"/>
  <c r="U306" i="18"/>
  <c r="U305" i="18" s="1"/>
  <c r="U304" i="18" s="1"/>
  <c r="U303" i="18" s="1"/>
  <c r="U302" i="18" s="1"/>
  <c r="N306" i="18"/>
  <c r="N305" i="18" s="1"/>
  <c r="N304" i="18" s="1"/>
  <c r="N303" i="18" s="1"/>
  <c r="N302" i="18" s="1"/>
  <c r="H306" i="18"/>
  <c r="H305" i="18" s="1"/>
  <c r="H304" i="18" s="1"/>
  <c r="H303" i="18" s="1"/>
  <c r="H302" i="18" s="1"/>
  <c r="J305" i="18"/>
  <c r="I305" i="18"/>
  <c r="J302" i="18"/>
  <c r="J299" i="18" s="1"/>
  <c r="I302" i="18"/>
  <c r="I299" i="18" s="1"/>
  <c r="U301" i="18"/>
  <c r="N301" i="18"/>
  <c r="N300" i="18" s="1"/>
  <c r="H301" i="18"/>
  <c r="H300" i="18" s="1"/>
  <c r="U298" i="18"/>
  <c r="N298" i="18"/>
  <c r="H298" i="18"/>
  <c r="U296" i="18"/>
  <c r="U295" i="18" s="1"/>
  <c r="N296" i="18"/>
  <c r="N295" i="18" s="1"/>
  <c r="J296" i="18"/>
  <c r="I296" i="18"/>
  <c r="H296" i="18"/>
  <c r="H295" i="18" s="1"/>
  <c r="J292" i="18"/>
  <c r="J291" i="18" s="1"/>
  <c r="J290" i="18" s="1"/>
  <c r="J289" i="18" s="1"/>
  <c r="J288" i="18" s="1"/>
  <c r="I292" i="18"/>
  <c r="I291" i="18" s="1"/>
  <c r="I290" i="18" s="1"/>
  <c r="I289" i="18" s="1"/>
  <c r="I288" i="18" s="1"/>
  <c r="H292" i="18"/>
  <c r="H291" i="18" s="1"/>
  <c r="U291" i="18"/>
  <c r="N291" i="18"/>
  <c r="U284" i="18"/>
  <c r="U283" i="18" s="1"/>
  <c r="N284" i="18"/>
  <c r="N283" i="18" s="1"/>
  <c r="J284" i="18"/>
  <c r="J283" i="18" s="1"/>
  <c r="I284" i="18"/>
  <c r="I283" i="18" s="1"/>
  <c r="H284" i="18"/>
  <c r="H283" i="18" s="1"/>
  <c r="U281" i="18"/>
  <c r="U280" i="18" s="1"/>
  <c r="N281" i="18"/>
  <c r="N280" i="18" s="1"/>
  <c r="J281" i="18"/>
  <c r="J280" i="18" s="1"/>
  <c r="I281" i="18"/>
  <c r="I280" i="18" s="1"/>
  <c r="H281" i="18"/>
  <c r="H280" i="18" s="1"/>
  <c r="U272" i="18"/>
  <c r="U271" i="18" s="1"/>
  <c r="U265" i="18" s="1"/>
  <c r="N272" i="18"/>
  <c r="N271" i="18" s="1"/>
  <c r="N265" i="18" s="1"/>
  <c r="H272" i="18"/>
  <c r="H271" i="18" s="1"/>
  <c r="H265" i="18" s="1"/>
  <c r="U267" i="18"/>
  <c r="U266" i="18" s="1"/>
  <c r="N267" i="18"/>
  <c r="N266" i="18" s="1"/>
  <c r="H267" i="18"/>
  <c r="H266" i="18" s="1"/>
  <c r="U264" i="18"/>
  <c r="U263" i="18" s="1"/>
  <c r="N264" i="18"/>
  <c r="N263" i="18" s="1"/>
  <c r="H264" i="18"/>
  <c r="H263" i="18" s="1"/>
  <c r="J263" i="18"/>
  <c r="I263" i="18"/>
  <c r="U259" i="18"/>
  <c r="N259" i="18"/>
  <c r="J259" i="18"/>
  <c r="J258" i="18" s="1"/>
  <c r="I259" i="18"/>
  <c r="I258" i="18" s="1"/>
  <c r="H259" i="18"/>
  <c r="U256" i="18"/>
  <c r="N256" i="18"/>
  <c r="J256" i="18"/>
  <c r="I256" i="18"/>
  <c r="H256" i="18"/>
  <c r="U254" i="18"/>
  <c r="N254" i="18"/>
  <c r="J254" i="18"/>
  <c r="I254" i="18"/>
  <c r="H254" i="18"/>
  <c r="U250" i="18"/>
  <c r="U249" i="18" s="1"/>
  <c r="N250" i="18"/>
  <c r="N248" i="18" s="1"/>
  <c r="J250" i="18"/>
  <c r="J249" i="18" s="1"/>
  <c r="J248" i="18" s="1"/>
  <c r="I250" i="18"/>
  <c r="I249" i="18" s="1"/>
  <c r="I248" i="18" s="1"/>
  <c r="H250" i="18"/>
  <c r="H249" i="18" s="1"/>
  <c r="K246" i="18"/>
  <c r="K241" i="18" s="1"/>
  <c r="J245" i="18"/>
  <c r="I245" i="18"/>
  <c r="U243" i="18"/>
  <c r="N243" i="18"/>
  <c r="J243" i="18"/>
  <c r="J242" i="18" s="1"/>
  <c r="J241" i="18" s="1"/>
  <c r="I243" i="18"/>
  <c r="H243" i="18"/>
  <c r="U240" i="18"/>
  <c r="N240" i="18"/>
  <c r="H240" i="18"/>
  <c r="U238" i="18"/>
  <c r="N238" i="18"/>
  <c r="H238" i="18"/>
  <c r="H233" i="18"/>
  <c r="H232" i="18"/>
  <c r="H231" i="18" s="1"/>
  <c r="H230" i="18" s="1"/>
  <c r="H229" i="18"/>
  <c r="H228" i="18" s="1"/>
  <c r="H227" i="18" s="1"/>
  <c r="H226" i="18" s="1"/>
  <c r="H225" i="18" s="1"/>
  <c r="J228" i="18"/>
  <c r="J227" i="18" s="1"/>
  <c r="J226" i="18" s="1"/>
  <c r="J225" i="18" s="1"/>
  <c r="I228" i="18"/>
  <c r="I227" i="18" s="1"/>
  <c r="I226" i="18" s="1"/>
  <c r="I225" i="18" s="1"/>
  <c r="H223" i="18"/>
  <c r="U221" i="18"/>
  <c r="U219" i="18" s="1"/>
  <c r="U218" i="18" s="1"/>
  <c r="N221" i="18"/>
  <c r="J221" i="18"/>
  <c r="J219" i="18" s="1"/>
  <c r="J218" i="18" s="1"/>
  <c r="I221" i="18"/>
  <c r="I219" i="18" s="1"/>
  <c r="I218" i="18" s="1"/>
  <c r="I217" i="18" s="1"/>
  <c r="H221" i="18"/>
  <c r="H219" i="18" s="1"/>
  <c r="H218" i="18" s="1"/>
  <c r="N219" i="18"/>
  <c r="N218" i="18" s="1"/>
  <c r="K218" i="18"/>
  <c r="U217" i="18"/>
  <c r="N217" i="18"/>
  <c r="J217" i="18"/>
  <c r="H217" i="18"/>
  <c r="U215" i="18"/>
  <c r="U214" i="18" s="1"/>
  <c r="U213" i="18" s="1"/>
  <c r="U212" i="18" s="1"/>
  <c r="N215" i="18"/>
  <c r="N214" i="18" s="1"/>
  <c r="N213" i="18" s="1"/>
  <c r="N212" i="18" s="1"/>
  <c r="J215" i="18"/>
  <c r="J214" i="18" s="1"/>
  <c r="J213" i="18" s="1"/>
  <c r="I215" i="18"/>
  <c r="H215" i="18"/>
  <c r="H214" i="18" s="1"/>
  <c r="H213" i="18" s="1"/>
  <c r="I214" i="18"/>
  <c r="I213" i="18" s="1"/>
  <c r="K213" i="18"/>
  <c r="U211" i="18"/>
  <c r="N211" i="18"/>
  <c r="H211" i="18"/>
  <c r="U209" i="18"/>
  <c r="N209" i="18"/>
  <c r="J209" i="18"/>
  <c r="I209" i="18"/>
  <c r="H209" i="18"/>
  <c r="U207" i="18"/>
  <c r="N207" i="18"/>
  <c r="J207" i="18"/>
  <c r="I207" i="18"/>
  <c r="H207" i="18"/>
  <c r="U205" i="18"/>
  <c r="N205" i="18"/>
  <c r="J205" i="18"/>
  <c r="I205" i="18"/>
  <c r="H205" i="18"/>
  <c r="H200" i="18"/>
  <c r="H199" i="18" s="1"/>
  <c r="H198" i="18" s="1"/>
  <c r="H196" i="18"/>
  <c r="H195" i="18" s="1"/>
  <c r="H194" i="18" s="1"/>
  <c r="U189" i="18"/>
  <c r="U188" i="18" s="1"/>
  <c r="N188" i="18"/>
  <c r="J188" i="18"/>
  <c r="I188" i="18"/>
  <c r="H188" i="18"/>
  <c r="J186" i="18"/>
  <c r="I186" i="18"/>
  <c r="H186" i="18"/>
  <c r="U185" i="18"/>
  <c r="U184" i="18" s="1"/>
  <c r="N185" i="18"/>
  <c r="N184" i="18" s="1"/>
  <c r="N183" i="18" s="1"/>
  <c r="N182" i="18" s="1"/>
  <c r="N181" i="18" s="1"/>
  <c r="J184" i="18"/>
  <c r="I184" i="18"/>
  <c r="H184" i="18"/>
  <c r="K183" i="18"/>
  <c r="U179" i="18"/>
  <c r="U178" i="18" s="1"/>
  <c r="U177" i="18" s="1"/>
  <c r="N179" i="18"/>
  <c r="N178" i="18" s="1"/>
  <c r="N177" i="18" s="1"/>
  <c r="J179" i="18"/>
  <c r="J178" i="18" s="1"/>
  <c r="J177" i="18" s="1"/>
  <c r="I179" i="18"/>
  <c r="I178" i="18" s="1"/>
  <c r="I177" i="18" s="1"/>
  <c r="H179" i="18"/>
  <c r="H178" i="18" s="1"/>
  <c r="H177" i="18" s="1"/>
  <c r="K177" i="18"/>
  <c r="U174" i="18"/>
  <c r="U173" i="18" s="1"/>
  <c r="U172" i="18" s="1"/>
  <c r="U171" i="18" s="1"/>
  <c r="N174" i="18"/>
  <c r="N173" i="18" s="1"/>
  <c r="N172" i="18" s="1"/>
  <c r="N171" i="18" s="1"/>
  <c r="J174" i="18"/>
  <c r="J173" i="18" s="1"/>
  <c r="J172" i="18" s="1"/>
  <c r="J171" i="18" s="1"/>
  <c r="I174" i="18"/>
  <c r="I173" i="18" s="1"/>
  <c r="I172" i="18" s="1"/>
  <c r="I171" i="18" s="1"/>
  <c r="H174" i="18"/>
  <c r="H173" i="18" s="1"/>
  <c r="H172" i="18" s="1"/>
  <c r="H171" i="18" s="1"/>
  <c r="U169" i="18"/>
  <c r="N169" i="18"/>
  <c r="J169" i="18"/>
  <c r="I169" i="18"/>
  <c r="H169" i="18"/>
  <c r="U167" i="18"/>
  <c r="N167" i="18"/>
  <c r="J167" i="18"/>
  <c r="I167" i="18"/>
  <c r="H167" i="18"/>
  <c r="U165" i="18"/>
  <c r="N165" i="18"/>
  <c r="J165" i="18"/>
  <c r="I165" i="18"/>
  <c r="H165" i="18"/>
  <c r="U162" i="18"/>
  <c r="U161" i="18" s="1"/>
  <c r="N162" i="18"/>
  <c r="N161" i="18" s="1"/>
  <c r="J162" i="18"/>
  <c r="J161" i="18" s="1"/>
  <c r="I162" i="18"/>
  <c r="I161" i="18" s="1"/>
  <c r="H162" i="18"/>
  <c r="H161" i="18" s="1"/>
  <c r="U157" i="18"/>
  <c r="N157" i="18"/>
  <c r="J157" i="18"/>
  <c r="I157" i="18"/>
  <c r="H157" i="18"/>
  <c r="U155" i="18"/>
  <c r="N155" i="18"/>
  <c r="J155" i="18"/>
  <c r="I155" i="18"/>
  <c r="H155" i="18"/>
  <c r="U151" i="18"/>
  <c r="N151" i="18"/>
  <c r="J151" i="18"/>
  <c r="I151" i="18"/>
  <c r="H151" i="18"/>
  <c r="J149" i="18"/>
  <c r="I149" i="18"/>
  <c r="H149" i="18"/>
  <c r="H148" i="18"/>
  <c r="H147" i="18" s="1"/>
  <c r="J147" i="18"/>
  <c r="J146" i="18" s="1"/>
  <c r="J145" i="18" s="1"/>
  <c r="I147" i="18"/>
  <c r="I146" i="18" s="1"/>
  <c r="I145" i="18" s="1"/>
  <c r="K145" i="18"/>
  <c r="U143" i="18"/>
  <c r="N143" i="18"/>
  <c r="U139" i="18"/>
  <c r="U138" i="18" s="1"/>
  <c r="U137" i="18" s="1"/>
  <c r="N139" i="18"/>
  <c r="N138" i="18" s="1"/>
  <c r="N137" i="18" s="1"/>
  <c r="N136" i="18" s="1"/>
  <c r="K139" i="18"/>
  <c r="J139" i="18"/>
  <c r="J138" i="18" s="1"/>
  <c r="I139" i="18"/>
  <c r="I138" i="18" s="1"/>
  <c r="H139" i="18"/>
  <c r="H138" i="18" s="1"/>
  <c r="H137" i="18" s="1"/>
  <c r="J135" i="18"/>
  <c r="I135" i="18"/>
  <c r="U133" i="18"/>
  <c r="U132" i="18" s="1"/>
  <c r="U131" i="18" s="1"/>
  <c r="N133" i="18"/>
  <c r="J133" i="18"/>
  <c r="J132" i="18" s="1"/>
  <c r="J131" i="18" s="1"/>
  <c r="I133" i="18"/>
  <c r="I132" i="18" s="1"/>
  <c r="I131" i="18" s="1"/>
  <c r="H133" i="18"/>
  <c r="H132" i="18" s="1"/>
  <c r="H131" i="18" s="1"/>
  <c r="N132" i="18"/>
  <c r="N131" i="18" s="1"/>
  <c r="U128" i="18"/>
  <c r="U127" i="18" s="1"/>
  <c r="N128" i="18"/>
  <c r="N127" i="18" s="1"/>
  <c r="J128" i="18"/>
  <c r="J127" i="18" s="1"/>
  <c r="I128" i="18"/>
  <c r="I127" i="18" s="1"/>
  <c r="H128" i="18"/>
  <c r="H127" i="18" s="1"/>
  <c r="U125" i="18"/>
  <c r="N125" i="18"/>
  <c r="J125" i="18"/>
  <c r="I125" i="18"/>
  <c r="H125" i="18"/>
  <c r="U123" i="18"/>
  <c r="N123" i="18"/>
  <c r="J123" i="18"/>
  <c r="I123" i="18"/>
  <c r="H123" i="18"/>
  <c r="U121" i="18"/>
  <c r="N121" i="18"/>
  <c r="J121" i="18"/>
  <c r="I121" i="18"/>
  <c r="H121" i="18"/>
  <c r="U118" i="18"/>
  <c r="N118" i="18"/>
  <c r="N117" i="18" s="1"/>
  <c r="K118" i="18"/>
  <c r="H118" i="18"/>
  <c r="H117" i="18" s="1"/>
  <c r="U113" i="18"/>
  <c r="U112" i="18" s="1"/>
  <c r="U111" i="18" s="1"/>
  <c r="U110" i="18" s="1"/>
  <c r="U109" i="18" s="1"/>
  <c r="U108" i="18" s="1"/>
  <c r="N113" i="18"/>
  <c r="J113" i="18"/>
  <c r="J112" i="18" s="1"/>
  <c r="J111" i="18" s="1"/>
  <c r="J110" i="18" s="1"/>
  <c r="J109" i="18" s="1"/>
  <c r="J108" i="18" s="1"/>
  <c r="I113" i="18"/>
  <c r="I112" i="18" s="1"/>
  <c r="I111" i="18" s="1"/>
  <c r="I110" i="18" s="1"/>
  <c r="I109" i="18" s="1"/>
  <c r="I108" i="18" s="1"/>
  <c r="H113" i="18"/>
  <c r="H112" i="18" s="1"/>
  <c r="H111" i="18" s="1"/>
  <c r="H110" i="18" s="1"/>
  <c r="H109" i="18" s="1"/>
  <c r="H108" i="18" s="1"/>
  <c r="N112" i="18"/>
  <c r="N111" i="18" s="1"/>
  <c r="N110" i="18" s="1"/>
  <c r="N109" i="18" s="1"/>
  <c r="N108" i="18" s="1"/>
  <c r="U105" i="18"/>
  <c r="U100" i="18" s="1"/>
  <c r="U99" i="18" s="1"/>
  <c r="U98" i="18" s="1"/>
  <c r="N105" i="18"/>
  <c r="N100" i="18" s="1"/>
  <c r="N99" i="18" s="1"/>
  <c r="N98" i="18" s="1"/>
  <c r="J105" i="18"/>
  <c r="J100" i="18" s="1"/>
  <c r="J99" i="18" s="1"/>
  <c r="J98" i="18" s="1"/>
  <c r="I105" i="18"/>
  <c r="I100" i="18" s="1"/>
  <c r="I99" i="18" s="1"/>
  <c r="I98" i="18" s="1"/>
  <c r="H105" i="18"/>
  <c r="H100" i="18" s="1"/>
  <c r="H99" i="18" s="1"/>
  <c r="H98" i="18" s="1"/>
  <c r="U103" i="18"/>
  <c r="N103" i="18"/>
  <c r="J103" i="18"/>
  <c r="I103" i="18"/>
  <c r="H103" i="18"/>
  <c r="U101" i="18"/>
  <c r="N101" i="18"/>
  <c r="J101" i="18"/>
  <c r="I101" i="18"/>
  <c r="H101" i="18"/>
  <c r="K97" i="18"/>
  <c r="H97" i="18"/>
  <c r="K96" i="18"/>
  <c r="H96" i="18" s="1"/>
  <c r="U95" i="18"/>
  <c r="U94" i="18" s="1"/>
  <c r="U93" i="18" s="1"/>
  <c r="U92" i="18" s="1"/>
  <c r="N95" i="18"/>
  <c r="N94" i="18" s="1"/>
  <c r="N93" i="18" s="1"/>
  <c r="N92" i="18" s="1"/>
  <c r="J95" i="18"/>
  <c r="J94" i="18" s="1"/>
  <c r="J93" i="18" s="1"/>
  <c r="J92" i="18" s="1"/>
  <c r="I95" i="18"/>
  <c r="I94" i="18" s="1"/>
  <c r="I93" i="18" s="1"/>
  <c r="I92" i="18" s="1"/>
  <c r="U89" i="18"/>
  <c r="U88" i="18" s="1"/>
  <c r="U87" i="18" s="1"/>
  <c r="U86" i="18" s="1"/>
  <c r="U85" i="18" s="1"/>
  <c r="N89" i="18"/>
  <c r="N88" i="18" s="1"/>
  <c r="N87" i="18" s="1"/>
  <c r="N86" i="18" s="1"/>
  <c r="N85" i="18" s="1"/>
  <c r="J89" i="18"/>
  <c r="J88" i="18" s="1"/>
  <c r="J87" i="18" s="1"/>
  <c r="J86" i="18" s="1"/>
  <c r="J85" i="18" s="1"/>
  <c r="I89" i="18"/>
  <c r="I88" i="18" s="1"/>
  <c r="I87" i="18" s="1"/>
  <c r="I86" i="18" s="1"/>
  <c r="I85" i="18" s="1"/>
  <c r="H89" i="18"/>
  <c r="H88" i="18" s="1"/>
  <c r="H87" i="18" s="1"/>
  <c r="H86" i="18" s="1"/>
  <c r="H85" i="18" s="1"/>
  <c r="U83" i="18"/>
  <c r="U82" i="18" s="1"/>
  <c r="U81" i="18" s="1"/>
  <c r="U80" i="18" s="1"/>
  <c r="U79" i="18" s="1"/>
  <c r="N83" i="18"/>
  <c r="N82" i="18" s="1"/>
  <c r="N81" i="18" s="1"/>
  <c r="N80" i="18" s="1"/>
  <c r="N79" i="18" s="1"/>
  <c r="H83" i="18"/>
  <c r="H82" i="18" s="1"/>
  <c r="H81" i="18" s="1"/>
  <c r="H80" i="18" s="1"/>
  <c r="H79" i="18" s="1"/>
  <c r="H77" i="18"/>
  <c r="H76" i="18" s="1"/>
  <c r="H75" i="18" s="1"/>
  <c r="H74" i="18" s="1"/>
  <c r="H73" i="18" s="1"/>
  <c r="K72" i="18"/>
  <c r="U71" i="18"/>
  <c r="U70" i="18" s="1"/>
  <c r="U69" i="18" s="1"/>
  <c r="N71" i="18"/>
  <c r="N70" i="18" s="1"/>
  <c r="N69" i="18" s="1"/>
  <c r="J71" i="18"/>
  <c r="J70" i="18" s="1"/>
  <c r="J69" i="18" s="1"/>
  <c r="I71" i="18"/>
  <c r="I70" i="18" s="1"/>
  <c r="I69" i="18" s="1"/>
  <c r="H71" i="18"/>
  <c r="H70" i="18" s="1"/>
  <c r="H69" i="18" s="1"/>
  <c r="U67" i="18"/>
  <c r="N67" i="18"/>
  <c r="J67" i="18"/>
  <c r="I67" i="18"/>
  <c r="H67" i="18"/>
  <c r="J65" i="18"/>
  <c r="I65" i="18"/>
  <c r="H65" i="18"/>
  <c r="J63" i="18"/>
  <c r="I63" i="18"/>
  <c r="H63" i="18"/>
  <c r="K61" i="18"/>
  <c r="H61" i="18"/>
  <c r="K60" i="18"/>
  <c r="H60" i="18"/>
  <c r="U59" i="18"/>
  <c r="N59" i="18"/>
  <c r="J59" i="18"/>
  <c r="I59" i="18"/>
  <c r="L55" i="18"/>
  <c r="U51" i="18"/>
  <c r="U50" i="18" s="1"/>
  <c r="U49" i="18" s="1"/>
  <c r="U48" i="18" s="1"/>
  <c r="N51" i="18"/>
  <c r="J51" i="18"/>
  <c r="J50" i="18" s="1"/>
  <c r="J49" i="18" s="1"/>
  <c r="J48" i="18" s="1"/>
  <c r="J47" i="18" s="1"/>
  <c r="I51" i="18"/>
  <c r="I50" i="18" s="1"/>
  <c r="I49" i="18" s="1"/>
  <c r="I48" i="18" s="1"/>
  <c r="I47" i="18" s="1"/>
  <c r="H51" i="18"/>
  <c r="H50" i="18" s="1"/>
  <c r="H49" i="18" s="1"/>
  <c r="H48" i="18" s="1"/>
  <c r="N50" i="18"/>
  <c r="N49" i="18"/>
  <c r="N48" i="18" s="1"/>
  <c r="J45" i="18"/>
  <c r="J44" i="18" s="1"/>
  <c r="J43" i="18" s="1"/>
  <c r="I45" i="18"/>
  <c r="I44" i="18" s="1"/>
  <c r="I43" i="18" s="1"/>
  <c r="H45" i="18"/>
  <c r="H44" i="18" s="1"/>
  <c r="H43" i="18" s="1"/>
  <c r="K40" i="18"/>
  <c r="U38" i="18"/>
  <c r="U37" i="18" s="1"/>
  <c r="U36" i="18" s="1"/>
  <c r="U35" i="18" s="1"/>
  <c r="U34" i="18" s="1"/>
  <c r="N38" i="18"/>
  <c r="N37" i="18" s="1"/>
  <c r="N36" i="18" s="1"/>
  <c r="N35" i="18" s="1"/>
  <c r="N34" i="18" s="1"/>
  <c r="J38" i="18"/>
  <c r="J37" i="18" s="1"/>
  <c r="J36" i="18" s="1"/>
  <c r="I38" i="18"/>
  <c r="I37" i="18" s="1"/>
  <c r="I36" i="18" s="1"/>
  <c r="H38" i="18"/>
  <c r="H37" i="18" s="1"/>
  <c r="H36" i="18" s="1"/>
  <c r="K33" i="18"/>
  <c r="U32" i="18"/>
  <c r="U31" i="18" s="1"/>
  <c r="U30" i="18" s="1"/>
  <c r="U29" i="18" s="1"/>
  <c r="U28" i="18" s="1"/>
  <c r="N32" i="18"/>
  <c r="N31" i="18" s="1"/>
  <c r="N30" i="18" s="1"/>
  <c r="N29" i="18" s="1"/>
  <c r="N28" i="18" s="1"/>
  <c r="H32" i="18"/>
  <c r="H31" i="18" s="1"/>
  <c r="H30" i="18" s="1"/>
  <c r="H29" i="18" s="1"/>
  <c r="H28" i="18" s="1"/>
  <c r="J26" i="18"/>
  <c r="J25" i="18" s="1"/>
  <c r="J24" i="18" s="1"/>
  <c r="J23" i="18" s="1"/>
  <c r="J22" i="18" s="1"/>
  <c r="I26" i="18"/>
  <c r="I25" i="18" s="1"/>
  <c r="I24" i="18" s="1"/>
  <c r="I23" i="18" s="1"/>
  <c r="I22" i="18" s="1"/>
  <c r="I12" i="18"/>
  <c r="L117" i="21" l="1"/>
  <c r="N117" i="21"/>
  <c r="L166" i="21"/>
  <c r="Q85" i="21"/>
  <c r="Q84" i="21" s="1"/>
  <c r="P152" i="21"/>
  <c r="J191" i="21"/>
  <c r="Q191" i="21"/>
  <c r="N85" i="21"/>
  <c r="N84" i="21" s="1"/>
  <c r="R85" i="21"/>
  <c r="R84" i="21" s="1"/>
  <c r="R83" i="21" s="1"/>
  <c r="L152" i="21"/>
  <c r="R166" i="21"/>
  <c r="L191" i="21"/>
  <c r="N191" i="21"/>
  <c r="R191" i="21"/>
  <c r="J309" i="18"/>
  <c r="H317" i="18"/>
  <c r="H316" i="18" s="1"/>
  <c r="J117" i="21"/>
  <c r="O117" i="21"/>
  <c r="O166" i="21"/>
  <c r="I183" i="18"/>
  <c r="I182" i="18" s="1"/>
  <c r="I181" i="18" s="1"/>
  <c r="J204" i="18"/>
  <c r="J203" i="18" s="1"/>
  <c r="J202" i="18" s="1"/>
  <c r="J192" i="18" s="1"/>
  <c r="R117" i="21"/>
  <c r="N166" i="21"/>
  <c r="J85" i="21"/>
  <c r="J84" i="21" s="1"/>
  <c r="J93" i="21"/>
  <c r="J83" i="21" s="1"/>
  <c r="N152" i="21"/>
  <c r="O152" i="21"/>
  <c r="J166" i="21"/>
  <c r="N336" i="20"/>
  <c r="I345" i="20"/>
  <c r="U421" i="20"/>
  <c r="U420" i="20" s="1"/>
  <c r="L247" i="21"/>
  <c r="Q247" i="21"/>
  <c r="Q246" i="21" s="1"/>
  <c r="R152" i="21"/>
  <c r="H143" i="18"/>
  <c r="V148" i="18" s="1"/>
  <c r="H95" i="18"/>
  <c r="H94" i="18" s="1"/>
  <c r="H93" i="18" s="1"/>
  <c r="H92" i="18" s="1"/>
  <c r="H91" i="18" s="1"/>
  <c r="J154" i="18"/>
  <c r="J153" i="18" s="1"/>
  <c r="J144" i="18" s="1"/>
  <c r="J143" i="18" s="1"/>
  <c r="I304" i="18"/>
  <c r="H154" i="18"/>
  <c r="H153" i="18" s="1"/>
  <c r="I91" i="18"/>
  <c r="I287" i="18"/>
  <c r="N249" i="18"/>
  <c r="N245" i="18"/>
  <c r="N242" i="18" s="1"/>
  <c r="N241" i="18" s="1"/>
  <c r="Q266" i="21"/>
  <c r="O554" i="21"/>
  <c r="U58" i="18"/>
  <c r="U57" i="18" s="1"/>
  <c r="I154" i="18"/>
  <c r="I153" i="18" s="1"/>
  <c r="H258" i="18"/>
  <c r="I152" i="20"/>
  <c r="I151" i="20" s="1"/>
  <c r="O83" i="21"/>
  <c r="I35" i="18"/>
  <c r="I34" i="18" s="1"/>
  <c r="I21" i="18" s="1"/>
  <c r="H253" i="18"/>
  <c r="N58" i="20"/>
  <c r="N57" i="20" s="1"/>
  <c r="N56" i="20" s="1"/>
  <c r="N55" i="20" s="1"/>
  <c r="U326" i="20"/>
  <c r="U325" i="20" s="1"/>
  <c r="U324" i="20" s="1"/>
  <c r="L85" i="21"/>
  <c r="L84" i="21" s="1"/>
  <c r="L83" i="21" s="1"/>
  <c r="U253" i="18"/>
  <c r="J35" i="18"/>
  <c r="J34" i="18" s="1"/>
  <c r="J21" i="18" s="1"/>
  <c r="N258" i="18"/>
  <c r="N290" i="18"/>
  <c r="N289" i="18" s="1"/>
  <c r="N288" i="18" s="1"/>
  <c r="N287" i="18" s="1"/>
  <c r="N286" i="18" s="1"/>
  <c r="H369" i="18"/>
  <c r="H368" i="18" s="1"/>
  <c r="H367" i="18" s="1"/>
  <c r="H366" i="18" s="1"/>
  <c r="H365" i="18" s="1"/>
  <c r="H364" i="18" s="1"/>
  <c r="H363" i="18" s="1"/>
  <c r="J152" i="20"/>
  <c r="J151" i="20" s="1"/>
  <c r="H170" i="20"/>
  <c r="U170" i="20"/>
  <c r="U166" i="20" s="1"/>
  <c r="U165" i="20" s="1"/>
  <c r="I189" i="20"/>
  <c r="I188" i="20" s="1"/>
  <c r="I187" i="20" s="1"/>
  <c r="H222" i="20"/>
  <c r="H221" i="20" s="1"/>
  <c r="H305" i="20"/>
  <c r="H304" i="20" s="1"/>
  <c r="H303" i="20" s="1"/>
  <c r="J421" i="20"/>
  <c r="J420" i="20" s="1"/>
  <c r="J416" i="20" s="1"/>
  <c r="J415" i="20" s="1"/>
  <c r="J414" i="20" s="1"/>
  <c r="J400" i="20" s="1"/>
  <c r="J399" i="20" s="1"/>
  <c r="P83" i="21"/>
  <c r="I120" i="18"/>
  <c r="I119" i="18" s="1"/>
  <c r="I118" i="18" s="1"/>
  <c r="I117" i="18" s="1"/>
  <c r="I116" i="18" s="1"/>
  <c r="J183" i="18"/>
  <c r="J182" i="18" s="1"/>
  <c r="J181" i="18" s="1"/>
  <c r="J212" i="18"/>
  <c r="J253" i="18"/>
  <c r="J252" i="18" s="1"/>
  <c r="N279" i="18"/>
  <c r="N278" i="18" s="1"/>
  <c r="N277" i="18" s="1"/>
  <c r="N276" i="18" s="1"/>
  <c r="H290" i="18"/>
  <c r="H289" i="18" s="1"/>
  <c r="H288" i="18" s="1"/>
  <c r="H287" i="18" s="1"/>
  <c r="H286" i="18" s="1"/>
  <c r="J304" i="18"/>
  <c r="J121" i="20"/>
  <c r="J160" i="20"/>
  <c r="J159" i="20" s="1"/>
  <c r="J175" i="21"/>
  <c r="J174" i="21" s="1"/>
  <c r="J388" i="21"/>
  <c r="U58" i="20"/>
  <c r="U57" i="20" s="1"/>
  <c r="U136" i="18"/>
  <c r="U135" i="18"/>
  <c r="U116" i="18" s="1"/>
  <c r="H342" i="18"/>
  <c r="H338" i="18" s="1"/>
  <c r="H337" i="18" s="1"/>
  <c r="H336" i="18" s="1"/>
  <c r="H327" i="18" s="1"/>
  <c r="U342" i="18"/>
  <c r="H378" i="20"/>
  <c r="H374" i="20" s="1"/>
  <c r="H373" i="20" s="1"/>
  <c r="H372" i="20" s="1"/>
  <c r="H363" i="20" s="1"/>
  <c r="U378" i="20"/>
  <c r="H160" i="20"/>
  <c r="H159" i="20" s="1"/>
  <c r="N247" i="21"/>
  <c r="N246" i="21" s="1"/>
  <c r="N313" i="21"/>
  <c r="N312" i="21" s="1"/>
  <c r="N91" i="18"/>
  <c r="I279" i="18"/>
  <c r="I278" i="18" s="1"/>
  <c r="I277" i="18" s="1"/>
  <c r="I276" i="18" s="1"/>
  <c r="J287" i="18"/>
  <c r="J364" i="18"/>
  <c r="J363" i="18" s="1"/>
  <c r="N255" i="20"/>
  <c r="U353" i="20"/>
  <c r="U352" i="20" s="1"/>
  <c r="I383" i="20"/>
  <c r="U416" i="20"/>
  <c r="U415" i="20" s="1"/>
  <c r="U414" i="20" s="1"/>
  <c r="O523" i="21"/>
  <c r="K21" i="18"/>
  <c r="K18" i="18" s="1"/>
  <c r="H146" i="18"/>
  <c r="H145" i="18" s="1"/>
  <c r="H193" i="18"/>
  <c r="I204" i="18"/>
  <c r="I203" i="18" s="1"/>
  <c r="I202" i="18" s="1"/>
  <c r="I192" i="18" s="1"/>
  <c r="I242" i="18"/>
  <c r="I241" i="18" s="1"/>
  <c r="H245" i="18"/>
  <c r="H242" i="18" s="1"/>
  <c r="H241" i="18" s="1"/>
  <c r="J279" i="18"/>
  <c r="J278" i="18" s="1"/>
  <c r="J277" i="18" s="1"/>
  <c r="J276" i="18" s="1"/>
  <c r="I91" i="20"/>
  <c r="N121" i="20"/>
  <c r="N120" i="20" s="1"/>
  <c r="U210" i="20"/>
  <c r="U209" i="20" s="1"/>
  <c r="U208" i="20" s="1"/>
  <c r="U198" i="20" s="1"/>
  <c r="N260" i="20"/>
  <c r="N257" i="20" s="1"/>
  <c r="N256" i="20" s="1"/>
  <c r="N323" i="20"/>
  <c r="N322" i="20" s="1"/>
  <c r="I340" i="20"/>
  <c r="H438" i="20"/>
  <c r="H437" i="20" s="1"/>
  <c r="H436" i="20" s="1"/>
  <c r="H435" i="20" s="1"/>
  <c r="H434" i="20" s="1"/>
  <c r="H421" i="20" s="1"/>
  <c r="H420" i="20" s="1"/>
  <c r="H416" i="20" s="1"/>
  <c r="H415" i="20" s="1"/>
  <c r="H414" i="20" s="1"/>
  <c r="M152" i="21"/>
  <c r="M175" i="21"/>
  <c r="M173" i="21" s="1"/>
  <c r="N282" i="21"/>
  <c r="M386" i="21"/>
  <c r="M379" i="21" s="1"/>
  <c r="N554" i="21"/>
  <c r="R554" i="21"/>
  <c r="J164" i="18"/>
  <c r="I347" i="18"/>
  <c r="H264" i="20"/>
  <c r="U279" i="18"/>
  <c r="U278" i="18" s="1"/>
  <c r="U277" i="18" s="1"/>
  <c r="U276" i="18" s="1"/>
  <c r="H273" i="20"/>
  <c r="L32" i="21"/>
  <c r="N164" i="18"/>
  <c r="N160" i="18" s="1"/>
  <c r="N159" i="18" s="1"/>
  <c r="Q523" i="21"/>
  <c r="H279" i="18"/>
  <c r="H278" i="18" s="1"/>
  <c r="H277" i="18" s="1"/>
  <c r="H276" i="18" s="1"/>
  <c r="I58" i="18"/>
  <c r="I57" i="18" s="1"/>
  <c r="I56" i="18" s="1"/>
  <c r="I55" i="18" s="1"/>
  <c r="I54" i="18" s="1"/>
  <c r="J248" i="21"/>
  <c r="J247" i="21" s="1"/>
  <c r="J246" i="21" s="1"/>
  <c r="H120" i="18"/>
  <c r="H119" i="18" s="1"/>
  <c r="H59" i="20"/>
  <c r="H58" i="20" s="1"/>
  <c r="H57" i="20" s="1"/>
  <c r="H56" i="20" s="1"/>
  <c r="H55" i="20" s="1"/>
  <c r="H35" i="18"/>
  <c r="H34" i="18" s="1"/>
  <c r="U56" i="18"/>
  <c r="U55" i="18" s="1"/>
  <c r="I309" i="18"/>
  <c r="N317" i="18"/>
  <c r="N316" i="18" s="1"/>
  <c r="N309" i="18" s="1"/>
  <c r="N170" i="20"/>
  <c r="N166" i="20" s="1"/>
  <c r="N165" i="20" s="1"/>
  <c r="I298" i="18"/>
  <c r="U264" i="20"/>
  <c r="I268" i="20"/>
  <c r="I267" i="20" s="1"/>
  <c r="I262" i="20" s="1"/>
  <c r="H327" i="20"/>
  <c r="N58" i="18"/>
  <c r="N57" i="18" s="1"/>
  <c r="N56" i="18" s="1"/>
  <c r="N55" i="18" s="1"/>
  <c r="N54" i="18" s="1"/>
  <c r="H59" i="18"/>
  <c r="H58" i="18" s="1"/>
  <c r="H57" i="18" s="1"/>
  <c r="H56" i="18" s="1"/>
  <c r="H55" i="18" s="1"/>
  <c r="J58" i="18"/>
  <c r="J57" i="18" s="1"/>
  <c r="J56" i="18" s="1"/>
  <c r="J55" i="18" s="1"/>
  <c r="J91" i="18"/>
  <c r="U120" i="18"/>
  <c r="U119" i="18" s="1"/>
  <c r="J120" i="18"/>
  <c r="J119" i="18" s="1"/>
  <c r="J118" i="18" s="1"/>
  <c r="J117" i="18" s="1"/>
  <c r="J116" i="18" s="1"/>
  <c r="U154" i="18"/>
  <c r="U153" i="18" s="1"/>
  <c r="U144" i="18" s="1"/>
  <c r="N154" i="18"/>
  <c r="N153" i="18" s="1"/>
  <c r="N144" i="18" s="1"/>
  <c r="N176" i="18"/>
  <c r="N142" i="18" s="1"/>
  <c r="J247" i="18"/>
  <c r="I253" i="18"/>
  <c r="N253" i="18"/>
  <c r="N252" i="18" s="1"/>
  <c r="N247" i="18" s="1"/>
  <c r="I342" i="18"/>
  <c r="N342" i="18"/>
  <c r="N338" i="18" s="1"/>
  <c r="N337" i="18" s="1"/>
  <c r="N336" i="18" s="1"/>
  <c r="N327" i="18" s="1"/>
  <c r="J342" i="18"/>
  <c r="J338" i="18" s="1"/>
  <c r="J58" i="20"/>
  <c r="J57" i="20" s="1"/>
  <c r="J56" i="20" s="1"/>
  <c r="J55" i="20" s="1"/>
  <c r="H119" i="20"/>
  <c r="I133" i="20"/>
  <c r="I132" i="20" s="1"/>
  <c r="U160" i="20"/>
  <c r="U159" i="20" s="1"/>
  <c r="U150" i="20" s="1"/>
  <c r="J170" i="20"/>
  <c r="J166" i="20" s="1"/>
  <c r="J165" i="20" s="1"/>
  <c r="J189" i="20"/>
  <c r="J188" i="20" s="1"/>
  <c r="J187" i="20" s="1"/>
  <c r="N220" i="20"/>
  <c r="H227" i="20"/>
  <c r="I257" i="20"/>
  <c r="I256" i="20" s="1"/>
  <c r="J257" i="20"/>
  <c r="J256" i="20" s="1"/>
  <c r="U260" i="20"/>
  <c r="U257" i="20" s="1"/>
  <c r="U256" i="20" s="1"/>
  <c r="H268" i="20"/>
  <c r="H267" i="20" s="1"/>
  <c r="H262" i="20" s="1"/>
  <c r="U268" i="20"/>
  <c r="N268" i="20"/>
  <c r="J273" i="20"/>
  <c r="J267" i="20" s="1"/>
  <c r="J262" i="20" s="1"/>
  <c r="N273" i="20"/>
  <c r="J340" i="20"/>
  <c r="J334" i="20" s="1"/>
  <c r="N378" i="20"/>
  <c r="J378" i="20"/>
  <c r="J374" i="20" s="1"/>
  <c r="U405" i="20"/>
  <c r="U404" i="20" s="1"/>
  <c r="U403" i="20" s="1"/>
  <c r="U402" i="20" s="1"/>
  <c r="U401" i="20" s="1"/>
  <c r="N421" i="20"/>
  <c r="N420" i="20" s="1"/>
  <c r="N416" i="20" s="1"/>
  <c r="N415" i="20" s="1"/>
  <c r="N414" i="20" s="1"/>
  <c r="K428" i="20"/>
  <c r="L428" i="20" s="1"/>
  <c r="P31" i="21"/>
  <c r="P30" i="21" s="1"/>
  <c r="P21" i="21" s="1"/>
  <c r="O31" i="21"/>
  <c r="O30" i="21" s="1"/>
  <c r="O21" i="21" s="1"/>
  <c r="M134" i="21"/>
  <c r="M130" i="21" s="1"/>
  <c r="M105" i="21" s="1"/>
  <c r="O134" i="21"/>
  <c r="J152" i="21"/>
  <c r="N175" i="21"/>
  <c r="N174" i="21" s="1"/>
  <c r="J229" i="21"/>
  <c r="J228" i="21" s="1"/>
  <c r="Q229" i="21"/>
  <c r="P252" i="21"/>
  <c r="P247" i="21" s="1"/>
  <c r="P246" i="21" s="1"/>
  <c r="M266" i="21"/>
  <c r="O312" i="21"/>
  <c r="O311" i="21" s="1"/>
  <c r="N397" i="21"/>
  <c r="N476" i="21"/>
  <c r="N475" i="21" s="1"/>
  <c r="N474" i="21"/>
  <c r="Q582" i="21"/>
  <c r="K28" i="18"/>
  <c r="L28" i="18" s="1"/>
  <c r="K55" i="18"/>
  <c r="M55" i="18" s="1"/>
  <c r="U91" i="18"/>
  <c r="I144" i="18"/>
  <c r="I143" i="18" s="1"/>
  <c r="J160" i="18"/>
  <c r="J159" i="18" s="1"/>
  <c r="H164" i="18"/>
  <c r="H160" i="18" s="1"/>
  <c r="H159" i="18" s="1"/>
  <c r="U164" i="18"/>
  <c r="I176" i="18"/>
  <c r="J176" i="18"/>
  <c r="H183" i="18"/>
  <c r="H182" i="18" s="1"/>
  <c r="H181" i="18" s="1"/>
  <c r="H176" i="18" s="1"/>
  <c r="H204" i="18"/>
  <c r="H203" i="18" s="1"/>
  <c r="H202" i="18" s="1"/>
  <c r="U204" i="18"/>
  <c r="U203" i="18" s="1"/>
  <c r="U202" i="18" s="1"/>
  <c r="U192" i="18" s="1"/>
  <c r="U191" i="18" s="1"/>
  <c r="N204" i="18"/>
  <c r="N203" i="18" s="1"/>
  <c r="N202" i="18" s="1"/>
  <c r="N192" i="18" s="1"/>
  <c r="N191" i="18" s="1"/>
  <c r="J240" i="18"/>
  <c r="I252" i="18"/>
  <c r="I247" i="18" s="1"/>
  <c r="I240" i="18" s="1"/>
  <c r="J298" i="18"/>
  <c r="U317" i="18"/>
  <c r="U316" i="18" s="1"/>
  <c r="U338" i="18"/>
  <c r="U337" i="18" s="1"/>
  <c r="U336" i="18" s="1"/>
  <c r="I338" i="18"/>
  <c r="I337" i="18" s="1"/>
  <c r="I336" i="18" s="1"/>
  <c r="I327" i="18" s="1"/>
  <c r="N369" i="18"/>
  <c r="N368" i="18" s="1"/>
  <c r="N367" i="18" s="1"/>
  <c r="N366" i="18" s="1"/>
  <c r="N365" i="18" s="1"/>
  <c r="N364" i="18" s="1"/>
  <c r="N363" i="18" s="1"/>
  <c r="U369" i="18"/>
  <c r="U368" i="18" s="1"/>
  <c r="U367" i="18" s="1"/>
  <c r="U366" i="18" s="1"/>
  <c r="U365" i="18" s="1"/>
  <c r="U364" i="18" s="1"/>
  <c r="U363" i="18" s="1"/>
  <c r="H152" i="20"/>
  <c r="H151" i="20" s="1"/>
  <c r="H166" i="20"/>
  <c r="H165" i="20" s="1"/>
  <c r="I182" i="20"/>
  <c r="J313" i="20"/>
  <c r="J312" i="20" s="1"/>
  <c r="J311" i="20" s="1"/>
  <c r="J310" i="20" s="1"/>
  <c r="U323" i="20"/>
  <c r="U322" i="20" s="1"/>
  <c r="P437" i="21"/>
  <c r="R379" i="21"/>
  <c r="R378" i="21" s="1"/>
  <c r="O252" i="21"/>
  <c r="O247" i="21" s="1"/>
  <c r="O246" i="21" s="1"/>
  <c r="R312" i="21"/>
  <c r="R311" i="21" s="1"/>
  <c r="Q312" i="21"/>
  <c r="Q311" i="21" s="1"/>
  <c r="O378" i="21"/>
  <c r="J31" i="21"/>
  <c r="J30" i="21" s="1"/>
  <c r="J21" i="21" s="1"/>
  <c r="O229" i="21"/>
  <c r="O228" i="21" s="1"/>
  <c r="L27" i="21"/>
  <c r="L26" i="21" s="1"/>
  <c r="L25" i="21" s="1"/>
  <c r="L130" i="21"/>
  <c r="L105" i="21" s="1"/>
  <c r="O206" i="21"/>
  <c r="O204" i="21" s="1"/>
  <c r="L299" i="21"/>
  <c r="P554" i="21"/>
  <c r="Q83" i="21"/>
  <c r="L175" i="21"/>
  <c r="L174" i="21" s="1"/>
  <c r="P386" i="21"/>
  <c r="P387" i="21" s="1"/>
  <c r="R437" i="21"/>
  <c r="M469" i="21"/>
  <c r="J565" i="21"/>
  <c r="N31" i="21"/>
  <c r="N30" i="21" s="1"/>
  <c r="N21" i="21" s="1"/>
  <c r="N83" i="21"/>
  <c r="P134" i="21"/>
  <c r="P130" i="21" s="1"/>
  <c r="P105" i="21" s="1"/>
  <c r="M247" i="21"/>
  <c r="M246" i="21" s="1"/>
  <c r="M299" i="21"/>
  <c r="L386" i="21"/>
  <c r="L379" i="21" s="1"/>
  <c r="P240" i="21"/>
  <c r="P236" i="21" s="1"/>
  <c r="P241" i="21"/>
  <c r="L35" i="21"/>
  <c r="J134" i="21"/>
  <c r="J130" i="21" s="1"/>
  <c r="P175" i="21"/>
  <c r="P174" i="21" s="1"/>
  <c r="Q207" i="21"/>
  <c r="R247" i="21"/>
  <c r="R246" i="21" s="1"/>
  <c r="L266" i="21"/>
  <c r="P300" i="21"/>
  <c r="P299" i="21" s="1"/>
  <c r="O300" i="21"/>
  <c r="O299" i="21" s="1"/>
  <c r="N304" i="21"/>
  <c r="N300" i="21" s="1"/>
  <c r="N299" i="21" s="1"/>
  <c r="N388" i="21"/>
  <c r="N460" i="21"/>
  <c r="R582" i="21"/>
  <c r="J582" i="21"/>
  <c r="N134" i="21"/>
  <c r="N130" i="21" s="1"/>
  <c r="N105" i="21" s="1"/>
  <c r="R134" i="21"/>
  <c r="R130" i="21" s="1"/>
  <c r="R105" i="21" s="1"/>
  <c r="Q173" i="21"/>
  <c r="R175" i="21"/>
  <c r="J206" i="21"/>
  <c r="J204" i="21" s="1"/>
  <c r="P229" i="21"/>
  <c r="P228" i="21" s="1"/>
  <c r="O386" i="21"/>
  <c r="O387" i="21" s="1"/>
  <c r="J437" i="21"/>
  <c r="N459" i="21"/>
  <c r="N458" i="21" s="1"/>
  <c r="N457" i="21" s="1"/>
  <c r="N523" i="21"/>
  <c r="Q565" i="21"/>
  <c r="N582" i="21"/>
  <c r="O582" i="21"/>
  <c r="R31" i="21"/>
  <c r="R30" i="21" s="1"/>
  <c r="R21" i="21" s="1"/>
  <c r="N291" i="21"/>
  <c r="N290" i="21" s="1"/>
  <c r="N392" i="21"/>
  <c r="N437" i="21"/>
  <c r="J554" i="21"/>
  <c r="J469" i="21" s="1"/>
  <c r="J474" i="21" s="1"/>
  <c r="J473" i="21" s="1"/>
  <c r="M32" i="21"/>
  <c r="M31" i="21" s="1"/>
  <c r="M30" i="21" s="1"/>
  <c r="M85" i="21"/>
  <c r="M84" i="21" s="1"/>
  <c r="M83" i="21" s="1"/>
  <c r="Q341" i="21"/>
  <c r="M28" i="21"/>
  <c r="M27" i="21" s="1"/>
  <c r="M26" i="21" s="1"/>
  <c r="M25" i="21" s="1"/>
  <c r="Q134" i="21"/>
  <c r="Q130" i="21" s="1"/>
  <c r="Q105" i="21" s="1"/>
  <c r="N173" i="21"/>
  <c r="Q240" i="21"/>
  <c r="Q236" i="21" s="1"/>
  <c r="Q241" i="21"/>
  <c r="Q31" i="21"/>
  <c r="Q30" i="21" s="1"/>
  <c r="Q21" i="21" s="1"/>
  <c r="O130" i="21"/>
  <c r="O105" i="21" s="1"/>
  <c r="N219" i="21"/>
  <c r="N216" i="21" s="1"/>
  <c r="J240" i="21"/>
  <c r="J236" i="21" s="1"/>
  <c r="J241" i="21"/>
  <c r="J173" i="21"/>
  <c r="M174" i="21"/>
  <c r="J300" i="21"/>
  <c r="J299" i="21" s="1"/>
  <c r="M191" i="21"/>
  <c r="Q228" i="21"/>
  <c r="Q227" i="21" s="1"/>
  <c r="Q226" i="21" s="1"/>
  <c r="L246" i="21"/>
  <c r="N283" i="21"/>
  <c r="Q379" i="21"/>
  <c r="Q378" i="21" s="1"/>
  <c r="N386" i="21"/>
  <c r="N385" i="21" s="1"/>
  <c r="N379" i="21" s="1"/>
  <c r="Q437" i="21"/>
  <c r="N206" i="21"/>
  <c r="N204" i="21" s="1"/>
  <c r="R206" i="21"/>
  <c r="R204" i="21" s="1"/>
  <c r="M215" i="21"/>
  <c r="N229" i="21"/>
  <c r="N228" i="21" s="1"/>
  <c r="N227" i="21" s="1"/>
  <c r="N226" i="21" s="1"/>
  <c r="R229" i="21"/>
  <c r="R228" i="21" s="1"/>
  <c r="R227" i="21" s="1"/>
  <c r="R226" i="21" s="1"/>
  <c r="N268" i="21"/>
  <c r="N267" i="21" s="1"/>
  <c r="N266" i="21" s="1"/>
  <c r="R266" i="21"/>
  <c r="R290" i="21"/>
  <c r="R300" i="21"/>
  <c r="R299" i="21" s="1"/>
  <c r="R341" i="21"/>
  <c r="J392" i="21"/>
  <c r="J386" i="21" s="1"/>
  <c r="J387" i="21" s="1"/>
  <c r="R523" i="21"/>
  <c r="L469" i="21"/>
  <c r="P523" i="21"/>
  <c r="N565" i="21"/>
  <c r="O191" i="21"/>
  <c r="J219" i="21"/>
  <c r="Q219" i="21"/>
  <c r="Q216" i="21" s="1"/>
  <c r="N311" i="21"/>
  <c r="P312" i="21"/>
  <c r="P311" i="21" s="1"/>
  <c r="O437" i="21"/>
  <c r="Q554" i="21"/>
  <c r="O175" i="21"/>
  <c r="O174" i="21" s="1"/>
  <c r="P206" i="21"/>
  <c r="P204" i="21" s="1"/>
  <c r="N285" i="21"/>
  <c r="N284" i="21" s="1"/>
  <c r="J266" i="21"/>
  <c r="Q300" i="21"/>
  <c r="Q299" i="21" s="1"/>
  <c r="P582" i="21"/>
  <c r="N240" i="21"/>
  <c r="N236" i="21" s="1"/>
  <c r="N241" i="21"/>
  <c r="R240" i="21"/>
  <c r="R236" i="21" s="1"/>
  <c r="R241" i="21"/>
  <c r="O240" i="21"/>
  <c r="O236" i="21" s="1"/>
  <c r="O241" i="21"/>
  <c r="R219" i="21"/>
  <c r="R216" i="21" s="1"/>
  <c r="P378" i="21"/>
  <c r="P385" i="21"/>
  <c r="N371" i="21"/>
  <c r="N372" i="21"/>
  <c r="L229" i="21"/>
  <c r="L227" i="21" s="1"/>
  <c r="N434" i="21"/>
  <c r="J467" i="21"/>
  <c r="N469" i="21"/>
  <c r="N473" i="21"/>
  <c r="H199" i="20"/>
  <c r="H118" i="20"/>
  <c r="H95" i="20"/>
  <c r="H94" i="20" s="1"/>
  <c r="H93" i="20" s="1"/>
  <c r="H92" i="20" s="1"/>
  <c r="H91" i="20" s="1"/>
  <c r="H122" i="20"/>
  <c r="H121" i="20" s="1"/>
  <c r="H120" i="20" s="1"/>
  <c r="J133" i="20"/>
  <c r="J132" i="20" s="1"/>
  <c r="I160" i="20"/>
  <c r="I159" i="20" s="1"/>
  <c r="N160" i="20"/>
  <c r="N159" i="20" s="1"/>
  <c r="N150" i="20" s="1"/>
  <c r="I170" i="20"/>
  <c r="I166" i="20" s="1"/>
  <c r="I165" i="20" s="1"/>
  <c r="J220" i="20"/>
  <c r="H235" i="20"/>
  <c r="H234" i="20" s="1"/>
  <c r="U255" i="20"/>
  <c r="U273" i="20"/>
  <c r="U317" i="20"/>
  <c r="U313" i="20" s="1"/>
  <c r="U312" i="20" s="1"/>
  <c r="U311" i="20" s="1"/>
  <c r="U310" i="20" s="1"/>
  <c r="J345" i="20"/>
  <c r="I378" i="20"/>
  <c r="I374" i="20" s="1"/>
  <c r="I373" i="20" s="1"/>
  <c r="I372" i="20" s="1"/>
  <c r="I363" i="20" s="1"/>
  <c r="N317" i="20"/>
  <c r="N313" i="20" s="1"/>
  <c r="N312" i="20" s="1"/>
  <c r="N311" i="20" s="1"/>
  <c r="N310" i="20" s="1"/>
  <c r="I334" i="20"/>
  <c r="U345" i="20"/>
  <c r="I421" i="20"/>
  <c r="I420" i="20" s="1"/>
  <c r="I416" i="20" s="1"/>
  <c r="I415" i="20" s="1"/>
  <c r="I414" i="20" s="1"/>
  <c r="I400" i="20" s="1"/>
  <c r="I399" i="20" s="1"/>
  <c r="K421" i="20"/>
  <c r="U56" i="20"/>
  <c r="U55" i="20" s="1"/>
  <c r="N91" i="20"/>
  <c r="J120" i="20"/>
  <c r="I121" i="20"/>
  <c r="I120" i="20" s="1"/>
  <c r="I119" i="20" s="1"/>
  <c r="I118" i="20" s="1"/>
  <c r="I117" i="20" s="1"/>
  <c r="U121" i="20"/>
  <c r="U120" i="20" s="1"/>
  <c r="J182" i="20"/>
  <c r="I210" i="20"/>
  <c r="I209" i="20" s="1"/>
  <c r="I208" i="20" s="1"/>
  <c r="I198" i="20" s="1"/>
  <c r="H210" i="20"/>
  <c r="H209" i="20" s="1"/>
  <c r="H208" i="20" s="1"/>
  <c r="U222" i="20"/>
  <c r="U221" i="20" s="1"/>
  <c r="U220" i="20" s="1"/>
  <c r="H220" i="20"/>
  <c r="H353" i="20"/>
  <c r="H352" i="20" s="1"/>
  <c r="H345" i="20" s="1"/>
  <c r="I21" i="20"/>
  <c r="I19" i="20" s="1"/>
  <c r="I58" i="20"/>
  <c r="I57" i="20" s="1"/>
  <c r="I56" i="20" s="1"/>
  <c r="I55" i="20" s="1"/>
  <c r="K21" i="20"/>
  <c r="K18" i="20" s="1"/>
  <c r="N210" i="20"/>
  <c r="N209" i="20" s="1"/>
  <c r="N208" i="20" s="1"/>
  <c r="N198" i="20" s="1"/>
  <c r="H260" i="20"/>
  <c r="H257" i="20" s="1"/>
  <c r="H256" i="20" s="1"/>
  <c r="H284" i="20"/>
  <c r="J323" i="20"/>
  <c r="N353" i="20"/>
  <c r="N352" i="20" s="1"/>
  <c r="N345" i="20" s="1"/>
  <c r="U374" i="20"/>
  <c r="U373" i="20" s="1"/>
  <c r="U372" i="20" s="1"/>
  <c r="U363" i="20" s="1"/>
  <c r="N374" i="20"/>
  <c r="N373" i="20" s="1"/>
  <c r="N372" i="20" s="1"/>
  <c r="N363" i="20" s="1"/>
  <c r="H405" i="20"/>
  <c r="H404" i="20" s="1"/>
  <c r="H403" i="20" s="1"/>
  <c r="H402" i="20" s="1"/>
  <c r="H401" i="20" s="1"/>
  <c r="N405" i="20"/>
  <c r="N404" i="20" s="1"/>
  <c r="N403" i="20" s="1"/>
  <c r="N402" i="20" s="1"/>
  <c r="N401" i="20" s="1"/>
  <c r="U91" i="20"/>
  <c r="J21" i="20"/>
  <c r="J91" i="20"/>
  <c r="H142" i="20"/>
  <c r="H141" i="20"/>
  <c r="H117" i="20" s="1"/>
  <c r="N141" i="20"/>
  <c r="N117" i="20" s="1"/>
  <c r="N142" i="20"/>
  <c r="N267" i="20"/>
  <c r="K55" i="20"/>
  <c r="M55" i="20" s="1"/>
  <c r="U141" i="20"/>
  <c r="U117" i="20" s="1"/>
  <c r="H189" i="20"/>
  <c r="H188" i="20" s="1"/>
  <c r="H187" i="20" s="1"/>
  <c r="H182" i="20" s="1"/>
  <c r="J210" i="20"/>
  <c r="J209" i="20" s="1"/>
  <c r="J208" i="20" s="1"/>
  <c r="J198" i="20" s="1"/>
  <c r="I220" i="20"/>
  <c r="N182" i="20"/>
  <c r="N148" i="20" s="1"/>
  <c r="H149" i="20"/>
  <c r="U189" i="20"/>
  <c r="U188" i="20" s="1"/>
  <c r="U187" i="20" s="1"/>
  <c r="U182" i="20" s="1"/>
  <c r="U148" i="20" s="1"/>
  <c r="N263" i="20"/>
  <c r="N264" i="20"/>
  <c r="H286" i="20"/>
  <c r="H285" i="20" s="1"/>
  <c r="H299" i="20"/>
  <c r="H298" i="20"/>
  <c r="H255" i="20" s="1"/>
  <c r="J383" i="20"/>
  <c r="I313" i="20"/>
  <c r="I312" i="20" s="1"/>
  <c r="I311" i="20" s="1"/>
  <c r="I310" i="20" s="1"/>
  <c r="H317" i="20"/>
  <c r="H313" i="20" s="1"/>
  <c r="H312" i="20" s="1"/>
  <c r="H311" i="20" s="1"/>
  <c r="H310" i="20" s="1"/>
  <c r="H326" i="20"/>
  <c r="H325" i="20" s="1"/>
  <c r="H324" i="20" s="1"/>
  <c r="H323" i="20" s="1"/>
  <c r="H322" i="20" s="1"/>
  <c r="H54" i="18"/>
  <c r="H135" i="18"/>
  <c r="H116" i="18" s="1"/>
  <c r="H136" i="18"/>
  <c r="N21" i="18"/>
  <c r="U183" i="18"/>
  <c r="U182" i="18" s="1"/>
  <c r="U181" i="18" s="1"/>
  <c r="U176" i="18" s="1"/>
  <c r="U142" i="18" s="1"/>
  <c r="U117" i="18"/>
  <c r="N120" i="18"/>
  <c r="N119" i="18" s="1"/>
  <c r="N135" i="18"/>
  <c r="N116" i="18" s="1"/>
  <c r="I164" i="18"/>
  <c r="I160" i="18" s="1"/>
  <c r="I159" i="18" s="1"/>
  <c r="H212" i="18"/>
  <c r="U160" i="18"/>
  <c r="U159" i="18" s="1"/>
  <c r="I212" i="18"/>
  <c r="U309" i="18"/>
  <c r="H252" i="18"/>
  <c r="U327" i="18"/>
  <c r="U300" i="18"/>
  <c r="U290" i="18"/>
  <c r="U289" i="18" s="1"/>
  <c r="U288" i="18" s="1"/>
  <c r="U287" i="18" s="1"/>
  <c r="U286" i="18" s="1"/>
  <c r="H309" i="18"/>
  <c r="U245" i="18"/>
  <c r="U242" i="18" s="1"/>
  <c r="U241" i="18" s="1"/>
  <c r="U248" i="18"/>
  <c r="J347" i="18"/>
  <c r="H248" i="18"/>
  <c r="U258" i="18"/>
  <c r="U252" i="18" s="1"/>
  <c r="U400" i="20" l="1"/>
  <c r="U399" i="20" s="1"/>
  <c r="J119" i="20"/>
  <c r="J118" i="20" s="1"/>
  <c r="J117" i="20" s="1"/>
  <c r="J54" i="18"/>
  <c r="J227" i="21"/>
  <c r="J105" i="21"/>
  <c r="H21" i="20"/>
  <c r="O227" i="21"/>
  <c r="O226" i="21" s="1"/>
  <c r="H21" i="18"/>
  <c r="H19" i="18" s="1"/>
  <c r="L378" i="21"/>
  <c r="I150" i="20"/>
  <c r="I149" i="20" s="1"/>
  <c r="I148" i="20" s="1"/>
  <c r="U267" i="20"/>
  <c r="U262" i="20" s="1"/>
  <c r="J54" i="20"/>
  <c r="M21" i="21"/>
  <c r="M20" i="21" s="1"/>
  <c r="M12" i="21" s="1"/>
  <c r="H150" i="20"/>
  <c r="H192" i="18"/>
  <c r="H191" i="18" s="1"/>
  <c r="H144" i="18"/>
  <c r="J191" i="18"/>
  <c r="H142" i="18"/>
  <c r="J255" i="20"/>
  <c r="I255" i="20"/>
  <c r="I197" i="20" s="1"/>
  <c r="N387" i="21"/>
  <c r="U21" i="18"/>
  <c r="J20" i="18"/>
  <c r="J19" i="18"/>
  <c r="I54" i="20"/>
  <c r="L31" i="21"/>
  <c r="L30" i="21" s="1"/>
  <c r="L21" i="21" s="1"/>
  <c r="J142" i="18"/>
  <c r="L173" i="21"/>
  <c r="N197" i="20"/>
  <c r="U54" i="18"/>
  <c r="U53" i="18" s="1"/>
  <c r="J150" i="20"/>
  <c r="J149" i="20" s="1"/>
  <c r="J148" i="20" s="1"/>
  <c r="H54" i="20"/>
  <c r="P227" i="21"/>
  <c r="P226" i="21" s="1"/>
  <c r="M378" i="21"/>
  <c r="N400" i="20"/>
  <c r="N399" i="20" s="1"/>
  <c r="H400" i="20"/>
  <c r="H399" i="20" s="1"/>
  <c r="I142" i="18"/>
  <c r="H198" i="20"/>
  <c r="H197" i="20" s="1"/>
  <c r="J337" i="18"/>
  <c r="J336" i="18" s="1"/>
  <c r="J327" i="18" s="1"/>
  <c r="J373" i="20"/>
  <c r="J372" i="20" s="1"/>
  <c r="J363" i="20" s="1"/>
  <c r="U54" i="20"/>
  <c r="U53" i="20" s="1"/>
  <c r="U197" i="20"/>
  <c r="R215" i="21"/>
  <c r="R190" i="21" s="1"/>
  <c r="R189" i="21" s="1"/>
  <c r="O173" i="21"/>
  <c r="O20" i="21" s="1"/>
  <c r="O11" i="21" s="1"/>
  <c r="P173" i="21"/>
  <c r="P20" i="21" s="1"/>
  <c r="P11" i="21" s="1"/>
  <c r="M190" i="21"/>
  <c r="Q215" i="21"/>
  <c r="Q190" i="21" s="1"/>
  <c r="Q189" i="21" s="1"/>
  <c r="J20" i="21"/>
  <c r="J11" i="21" s="1"/>
  <c r="N20" i="21"/>
  <c r="N11" i="21" s="1"/>
  <c r="R174" i="21"/>
  <c r="R173" i="21"/>
  <c r="R20" i="21" s="1"/>
  <c r="R11" i="21" s="1"/>
  <c r="J379" i="21"/>
  <c r="J378" i="21" s="1"/>
  <c r="Q20" i="21"/>
  <c r="Q11" i="21" s="1"/>
  <c r="L226" i="21"/>
  <c r="L215" i="21"/>
  <c r="L190" i="21" s="1"/>
  <c r="N215" i="21"/>
  <c r="N190" i="21" s="1"/>
  <c r="N189" i="21" s="1"/>
  <c r="O215" i="21"/>
  <c r="O190" i="21" s="1"/>
  <c r="O189" i="21" s="1"/>
  <c r="J215" i="21"/>
  <c r="J190" i="21" s="1"/>
  <c r="J226" i="21"/>
  <c r="U21" i="20"/>
  <c r="U20" i="20" s="1"/>
  <c r="U18" i="20" s="1"/>
  <c r="J197" i="20"/>
  <c r="I20" i="20"/>
  <c r="H148" i="20"/>
  <c r="V154" i="20"/>
  <c r="N54" i="20"/>
  <c r="N21" i="20"/>
  <c r="J20" i="20"/>
  <c r="J19" i="20"/>
  <c r="H19" i="20"/>
  <c r="N262" i="20"/>
  <c r="U247" i="18"/>
  <c r="N19" i="18"/>
  <c r="N20" i="18"/>
  <c r="N18" i="18" s="1"/>
  <c r="I20" i="18"/>
  <c r="I19" i="18"/>
  <c r="N53" i="18"/>
  <c r="H247" i="18"/>
  <c r="I191" i="18"/>
  <c r="U20" i="18"/>
  <c r="U18" i="18" s="1"/>
  <c r="U19" i="18"/>
  <c r="L189" i="21" l="1"/>
  <c r="I53" i="20"/>
  <c r="I18" i="20" s="1"/>
  <c r="N53" i="20"/>
  <c r="J53" i="18"/>
  <c r="J18" i="18" s="1"/>
  <c r="H53" i="18"/>
  <c r="H20" i="18"/>
  <c r="H18" i="18" s="1"/>
  <c r="M18" i="18" s="1"/>
  <c r="M189" i="21"/>
  <c r="J53" i="20"/>
  <c r="L20" i="21"/>
  <c r="L12" i="21" s="1"/>
  <c r="I53" i="18"/>
  <c r="I18" i="18" s="1"/>
  <c r="P215" i="21"/>
  <c r="P190" i="21" s="1"/>
  <c r="P189" i="21" s="1"/>
  <c r="U19" i="20"/>
  <c r="J385" i="21"/>
  <c r="H18" i="20"/>
  <c r="M18" i="20" s="1"/>
  <c r="H53" i="20"/>
  <c r="J189" i="21"/>
  <c r="H20" i="20"/>
  <c r="J18" i="20"/>
  <c r="N20" i="20"/>
  <c r="N18" i="20" s="1"/>
  <c r="N19" i="20"/>
  <c r="V102" i="15" l="1"/>
  <c r="J20" i="16" l="1"/>
  <c r="J19" i="16" s="1"/>
  <c r="J25" i="16" s="1"/>
  <c r="I20" i="16"/>
  <c r="I19" i="16" s="1"/>
  <c r="I25" i="16" s="1"/>
  <c r="H20" i="16"/>
  <c r="H19" i="16" s="1"/>
  <c r="H25" i="16" s="1"/>
  <c r="N228" i="11" l="1"/>
  <c r="H292" i="17"/>
  <c r="R524" i="11"/>
  <c r="R525" i="11"/>
  <c r="R527" i="11"/>
  <c r="U185" i="17"/>
  <c r="U189" i="17"/>
  <c r="N185" i="17"/>
  <c r="H148" i="17"/>
  <c r="K34" i="15" l="1"/>
  <c r="N363" i="11" l="1"/>
  <c r="N370" i="11"/>
  <c r="U301" i="17"/>
  <c r="U300" i="17" s="1"/>
  <c r="N301" i="17"/>
  <c r="N300" i="17" s="1"/>
  <c r="H301" i="17"/>
  <c r="H300" i="17" s="1"/>
  <c r="U113" i="17"/>
  <c r="U112" i="17" s="1"/>
  <c r="U111" i="17" s="1"/>
  <c r="U110" i="17" s="1"/>
  <c r="U109" i="17" s="1"/>
  <c r="U108" i="17" s="1"/>
  <c r="H61" i="17"/>
  <c r="H60" i="17"/>
  <c r="H59" i="17" s="1"/>
  <c r="U382" i="17"/>
  <c r="U381" i="17" s="1"/>
  <c r="U380" i="17" s="1"/>
  <c r="U379" i="17" s="1"/>
  <c r="U378" i="17" s="1"/>
  <c r="N382" i="17"/>
  <c r="N381" i="17" s="1"/>
  <c r="N380" i="17" s="1"/>
  <c r="N379" i="17" s="1"/>
  <c r="N378" i="17" s="1"/>
  <c r="J382" i="17"/>
  <c r="J381" i="17" s="1"/>
  <c r="J380" i="17" s="1"/>
  <c r="J379" i="17" s="1"/>
  <c r="J378" i="17" s="1"/>
  <c r="I382" i="17"/>
  <c r="I381" i="17" s="1"/>
  <c r="I380" i="17" s="1"/>
  <c r="I379" i="17" s="1"/>
  <c r="I378" i="17" s="1"/>
  <c r="H382" i="17"/>
  <c r="H381" i="17" s="1"/>
  <c r="H380" i="17" s="1"/>
  <c r="H379" i="17" s="1"/>
  <c r="H378" i="17" s="1"/>
  <c r="U376" i="17"/>
  <c r="U375" i="17" s="1"/>
  <c r="U374" i="17" s="1"/>
  <c r="U373" i="17" s="1"/>
  <c r="N376" i="17"/>
  <c r="N375" i="17" s="1"/>
  <c r="N374" i="17" s="1"/>
  <c r="N373" i="17" s="1"/>
  <c r="H376" i="17"/>
  <c r="H375" i="17" s="1"/>
  <c r="H374" i="17" s="1"/>
  <c r="H373" i="17" s="1"/>
  <c r="U371" i="17"/>
  <c r="N371" i="17"/>
  <c r="H371" i="17"/>
  <c r="U370" i="17"/>
  <c r="N370" i="17"/>
  <c r="H370" i="17"/>
  <c r="J369" i="17"/>
  <c r="J368" i="17" s="1"/>
  <c r="J367" i="17" s="1"/>
  <c r="J366" i="17" s="1"/>
  <c r="J365" i="17" s="1"/>
  <c r="I369" i="17"/>
  <c r="I368" i="17" s="1"/>
  <c r="I367" i="17" s="1"/>
  <c r="I366" i="17" s="1"/>
  <c r="I365" i="17" s="1"/>
  <c r="U360" i="17"/>
  <c r="U359" i="17" s="1"/>
  <c r="U358" i="17" s="1"/>
  <c r="N360" i="17"/>
  <c r="N359" i="17" s="1"/>
  <c r="N358" i="17" s="1"/>
  <c r="J360" i="17"/>
  <c r="J359" i="17" s="1"/>
  <c r="J358" i="17" s="1"/>
  <c r="I360" i="17"/>
  <c r="I359" i="17" s="1"/>
  <c r="I358" i="17" s="1"/>
  <c r="H360" i="17"/>
  <c r="H359" i="17" s="1"/>
  <c r="H358" i="17" s="1"/>
  <c r="U355" i="17"/>
  <c r="U354" i="17" s="1"/>
  <c r="U353" i="17" s="1"/>
  <c r="U352" i="17" s="1"/>
  <c r="U351" i="17" s="1"/>
  <c r="N355" i="17"/>
  <c r="J355" i="17"/>
  <c r="J354" i="17" s="1"/>
  <c r="I355" i="17"/>
  <c r="H355" i="17"/>
  <c r="H354" i="17" s="1"/>
  <c r="H353" i="17" s="1"/>
  <c r="H352" i="17" s="1"/>
  <c r="H351" i="17" s="1"/>
  <c r="N354" i="17"/>
  <c r="N353" i="17" s="1"/>
  <c r="N352" i="17" s="1"/>
  <c r="N351" i="17" s="1"/>
  <c r="I354" i="17"/>
  <c r="U349" i="17"/>
  <c r="U348" i="17" s="1"/>
  <c r="U347" i="17" s="1"/>
  <c r="N349" i="17"/>
  <c r="N348" i="17" s="1"/>
  <c r="N347" i="17" s="1"/>
  <c r="J349" i="17"/>
  <c r="J348" i="17" s="1"/>
  <c r="I349" i="17"/>
  <c r="I348" i="17" s="1"/>
  <c r="I347" i="17" s="1"/>
  <c r="H349" i="17"/>
  <c r="H348" i="17" s="1"/>
  <c r="H347" i="17" s="1"/>
  <c r="U345" i="17"/>
  <c r="N345" i="17"/>
  <c r="J345" i="17"/>
  <c r="I345" i="17"/>
  <c r="H345" i="17"/>
  <c r="U343" i="17"/>
  <c r="U342" i="17" s="1"/>
  <c r="N343" i="17"/>
  <c r="J343" i="17"/>
  <c r="I343" i="17"/>
  <c r="H343" i="17"/>
  <c r="H342" i="17" s="1"/>
  <c r="U340" i="17"/>
  <c r="U339" i="17" s="1"/>
  <c r="N340" i="17"/>
  <c r="N339" i="17" s="1"/>
  <c r="J340" i="17"/>
  <c r="J339" i="17" s="1"/>
  <c r="I340" i="17"/>
  <c r="I339" i="17" s="1"/>
  <c r="H340" i="17"/>
  <c r="H339" i="17" s="1"/>
  <c r="U332" i="17"/>
  <c r="U331" i="17" s="1"/>
  <c r="U330" i="17" s="1"/>
  <c r="U329" i="17" s="1"/>
  <c r="U328" i="17" s="1"/>
  <c r="N332" i="17"/>
  <c r="N331" i="17" s="1"/>
  <c r="N330" i="17" s="1"/>
  <c r="N329" i="17" s="1"/>
  <c r="N328" i="17" s="1"/>
  <c r="J332" i="17"/>
  <c r="J331" i="17" s="1"/>
  <c r="J330" i="17" s="1"/>
  <c r="J329" i="17" s="1"/>
  <c r="J328" i="17" s="1"/>
  <c r="I332" i="17"/>
  <c r="I331" i="17" s="1"/>
  <c r="I330" i="17" s="1"/>
  <c r="I329" i="17" s="1"/>
  <c r="I328" i="17" s="1"/>
  <c r="H332" i="17"/>
  <c r="H331" i="17" s="1"/>
  <c r="H330" i="17" s="1"/>
  <c r="H329" i="17" s="1"/>
  <c r="H328" i="17" s="1"/>
  <c r="U324" i="17"/>
  <c r="U323" i="17" s="1"/>
  <c r="U322" i="17" s="1"/>
  <c r="N324" i="17"/>
  <c r="N323" i="17" s="1"/>
  <c r="N322" i="17" s="1"/>
  <c r="H324" i="17"/>
  <c r="H323" i="17" s="1"/>
  <c r="H322" i="17" s="1"/>
  <c r="U320" i="17"/>
  <c r="U319" i="17" s="1"/>
  <c r="U318" i="17" s="1"/>
  <c r="N320" i="17"/>
  <c r="N319" i="17" s="1"/>
  <c r="N318" i="17" s="1"/>
  <c r="J320" i="17"/>
  <c r="J319" i="17" s="1"/>
  <c r="J318" i="17" s="1"/>
  <c r="J317" i="17" s="1"/>
  <c r="J316" i="17" s="1"/>
  <c r="I320" i="17"/>
  <c r="I319" i="17" s="1"/>
  <c r="I318" i="17" s="1"/>
  <c r="I317" i="17" s="1"/>
  <c r="I316" i="17" s="1"/>
  <c r="H320" i="17"/>
  <c r="H319" i="17" s="1"/>
  <c r="H318" i="17" s="1"/>
  <c r="U314" i="17"/>
  <c r="U313" i="17" s="1"/>
  <c r="U312" i="17" s="1"/>
  <c r="U311" i="17" s="1"/>
  <c r="U310" i="17" s="1"/>
  <c r="N314" i="17"/>
  <c r="N313" i="17" s="1"/>
  <c r="N312" i="17" s="1"/>
  <c r="N311" i="17" s="1"/>
  <c r="N310" i="17" s="1"/>
  <c r="J314" i="17"/>
  <c r="J313" i="17" s="1"/>
  <c r="J312" i="17" s="1"/>
  <c r="J311" i="17" s="1"/>
  <c r="J310" i="17" s="1"/>
  <c r="I314" i="17"/>
  <c r="I313" i="17" s="1"/>
  <c r="I312" i="17" s="1"/>
  <c r="I311" i="17" s="1"/>
  <c r="I310" i="17" s="1"/>
  <c r="H314" i="17"/>
  <c r="H313" i="17" s="1"/>
  <c r="H312" i="17" s="1"/>
  <c r="H311" i="17" s="1"/>
  <c r="H310" i="17" s="1"/>
  <c r="K307" i="17"/>
  <c r="J307" i="17"/>
  <c r="I307" i="17"/>
  <c r="U306" i="17"/>
  <c r="U305" i="17" s="1"/>
  <c r="U304" i="17" s="1"/>
  <c r="U303" i="17" s="1"/>
  <c r="U302" i="17" s="1"/>
  <c r="N306" i="17"/>
  <c r="N305" i="17" s="1"/>
  <c r="N304" i="17" s="1"/>
  <c r="N303" i="17" s="1"/>
  <c r="N302" i="17" s="1"/>
  <c r="H306" i="17"/>
  <c r="H305" i="17" s="1"/>
  <c r="H304" i="17" s="1"/>
  <c r="H303" i="17" s="1"/>
  <c r="H302" i="17" s="1"/>
  <c r="J305" i="17"/>
  <c r="I305" i="17"/>
  <c r="J302" i="17"/>
  <c r="J299" i="17" s="1"/>
  <c r="I302" i="17"/>
  <c r="I299" i="17" s="1"/>
  <c r="U298" i="17"/>
  <c r="N298" i="17"/>
  <c r="H298" i="17"/>
  <c r="U296" i="17"/>
  <c r="U295" i="17" s="1"/>
  <c r="N296" i="17"/>
  <c r="N295" i="17" s="1"/>
  <c r="J296" i="17"/>
  <c r="I296" i="17"/>
  <c r="H296" i="17"/>
  <c r="H295" i="17" s="1"/>
  <c r="J292" i="17"/>
  <c r="J291" i="17" s="1"/>
  <c r="J290" i="17" s="1"/>
  <c r="J289" i="17" s="1"/>
  <c r="J288" i="17" s="1"/>
  <c r="I292" i="17"/>
  <c r="I291" i="17" s="1"/>
  <c r="I290" i="17" s="1"/>
  <c r="I289" i="17" s="1"/>
  <c r="I288" i="17" s="1"/>
  <c r="U291" i="17"/>
  <c r="N291" i="17"/>
  <c r="H291" i="17"/>
  <c r="H290" i="17"/>
  <c r="H289" i="17" s="1"/>
  <c r="H288" i="17" s="1"/>
  <c r="K288" i="17"/>
  <c r="U284" i="17"/>
  <c r="U283" i="17" s="1"/>
  <c r="N284" i="17"/>
  <c r="J284" i="17"/>
  <c r="I284" i="17"/>
  <c r="H284" i="17"/>
  <c r="H283" i="17" s="1"/>
  <c r="N283" i="17"/>
  <c r="J283" i="17"/>
  <c r="I283" i="17"/>
  <c r="U281" i="17"/>
  <c r="U280" i="17" s="1"/>
  <c r="N281" i="17"/>
  <c r="J281" i="17"/>
  <c r="J280" i="17" s="1"/>
  <c r="J279" i="17" s="1"/>
  <c r="J278" i="17" s="1"/>
  <c r="J277" i="17" s="1"/>
  <c r="J276" i="17" s="1"/>
  <c r="I281" i="17"/>
  <c r="I280" i="17" s="1"/>
  <c r="H281" i="17"/>
  <c r="H280" i="17" s="1"/>
  <c r="N280" i="17"/>
  <c r="N279" i="17" s="1"/>
  <c r="N278" i="17" s="1"/>
  <c r="N277" i="17" s="1"/>
  <c r="N276" i="17" s="1"/>
  <c r="U272" i="17"/>
  <c r="U271" i="17" s="1"/>
  <c r="U265" i="17" s="1"/>
  <c r="N272" i="17"/>
  <c r="N271" i="17" s="1"/>
  <c r="N265" i="17" s="1"/>
  <c r="H272" i="17"/>
  <c r="H271" i="17" s="1"/>
  <c r="H265" i="17" s="1"/>
  <c r="U267" i="17"/>
  <c r="U266" i="17" s="1"/>
  <c r="N267" i="17"/>
  <c r="N266" i="17" s="1"/>
  <c r="H267" i="17"/>
  <c r="H266" i="17" s="1"/>
  <c r="U264" i="17"/>
  <c r="U245" i="17" s="1"/>
  <c r="N264" i="17"/>
  <c r="N263" i="17" s="1"/>
  <c r="H264" i="17"/>
  <c r="H245" i="17" s="1"/>
  <c r="J263" i="17"/>
  <c r="I263" i="17"/>
  <c r="U259" i="17"/>
  <c r="N259" i="17"/>
  <c r="J259" i="17"/>
  <c r="I259" i="17"/>
  <c r="H259" i="17"/>
  <c r="U256" i="17"/>
  <c r="N256" i="17"/>
  <c r="J256" i="17"/>
  <c r="I256" i="17"/>
  <c r="H256" i="17"/>
  <c r="U254" i="17"/>
  <c r="N254" i="17"/>
  <c r="J254" i="17"/>
  <c r="I254" i="17"/>
  <c r="H254" i="17"/>
  <c r="U250" i="17"/>
  <c r="U249" i="17" s="1"/>
  <c r="N250" i="17"/>
  <c r="N249" i="17" s="1"/>
  <c r="J250" i="17"/>
  <c r="J249" i="17" s="1"/>
  <c r="J248" i="17" s="1"/>
  <c r="I250" i="17"/>
  <c r="I249" i="17" s="1"/>
  <c r="I248" i="17" s="1"/>
  <c r="H250" i="17"/>
  <c r="H248" i="17" s="1"/>
  <c r="U248" i="17"/>
  <c r="K246" i="17"/>
  <c r="K241" i="17" s="1"/>
  <c r="N245" i="17"/>
  <c r="J245" i="17"/>
  <c r="I245" i="17"/>
  <c r="U243" i="17"/>
  <c r="N243" i="17"/>
  <c r="J243" i="17"/>
  <c r="I243" i="17"/>
  <c r="I242" i="17" s="1"/>
  <c r="I241" i="17" s="1"/>
  <c r="H243" i="17"/>
  <c r="U240" i="17"/>
  <c r="N240" i="17"/>
  <c r="H240" i="17"/>
  <c r="U238" i="17"/>
  <c r="N238" i="17"/>
  <c r="H238" i="17"/>
  <c r="H233" i="17"/>
  <c r="H232" i="17"/>
  <c r="H231" i="17" s="1"/>
  <c r="H230" i="17" s="1"/>
  <c r="H229" i="17"/>
  <c r="H228" i="17" s="1"/>
  <c r="H227" i="17" s="1"/>
  <c r="H226" i="17" s="1"/>
  <c r="H225" i="17" s="1"/>
  <c r="J228" i="17"/>
  <c r="J227" i="17" s="1"/>
  <c r="J226" i="17" s="1"/>
  <c r="J225" i="17" s="1"/>
  <c r="I228" i="17"/>
  <c r="I227" i="17" s="1"/>
  <c r="I226" i="17" s="1"/>
  <c r="I225" i="17" s="1"/>
  <c r="H223" i="17"/>
  <c r="U221" i="17"/>
  <c r="U219" i="17" s="1"/>
  <c r="U218" i="17" s="1"/>
  <c r="N221" i="17"/>
  <c r="J221" i="17"/>
  <c r="J219" i="17" s="1"/>
  <c r="J218" i="17" s="1"/>
  <c r="J217" i="17" s="1"/>
  <c r="I221" i="17"/>
  <c r="I219" i="17" s="1"/>
  <c r="I218" i="17" s="1"/>
  <c r="I217" i="17" s="1"/>
  <c r="H221" i="17"/>
  <c r="H219" i="17" s="1"/>
  <c r="H218" i="17" s="1"/>
  <c r="N219" i="17"/>
  <c r="N218" i="17" s="1"/>
  <c r="K218" i="17"/>
  <c r="U217" i="17"/>
  <c r="N217" i="17"/>
  <c r="H217" i="17"/>
  <c r="U215" i="17"/>
  <c r="U214" i="17" s="1"/>
  <c r="U213" i="17" s="1"/>
  <c r="N215" i="17"/>
  <c r="J215" i="17"/>
  <c r="J214" i="17" s="1"/>
  <c r="J213" i="17" s="1"/>
  <c r="I215" i="17"/>
  <c r="I214" i="17" s="1"/>
  <c r="I213" i="17" s="1"/>
  <c r="H215" i="17"/>
  <c r="H214" i="17" s="1"/>
  <c r="H213" i="17" s="1"/>
  <c r="N214" i="17"/>
  <c r="N213" i="17" s="1"/>
  <c r="K213" i="17"/>
  <c r="U211" i="17"/>
  <c r="N211" i="17"/>
  <c r="H211" i="17"/>
  <c r="U209" i="17"/>
  <c r="N209" i="17"/>
  <c r="J209" i="17"/>
  <c r="I209" i="17"/>
  <c r="H209" i="17"/>
  <c r="U207" i="17"/>
  <c r="N207" i="17"/>
  <c r="J207" i="17"/>
  <c r="I207" i="17"/>
  <c r="H207" i="17"/>
  <c r="U205" i="17"/>
  <c r="N205" i="17"/>
  <c r="J205" i="17"/>
  <c r="I205" i="17"/>
  <c r="H205" i="17"/>
  <c r="H200" i="17"/>
  <c r="H199" i="17" s="1"/>
  <c r="H198" i="17" s="1"/>
  <c r="H196" i="17"/>
  <c r="H195" i="17" s="1"/>
  <c r="H194" i="17" s="1"/>
  <c r="U188" i="17"/>
  <c r="N188" i="17"/>
  <c r="J188" i="17"/>
  <c r="I188" i="17"/>
  <c r="H188" i="17"/>
  <c r="J186" i="17"/>
  <c r="I186" i="17"/>
  <c r="H186" i="17"/>
  <c r="U184" i="17"/>
  <c r="U183" i="17" s="1"/>
  <c r="U182" i="17" s="1"/>
  <c r="U181" i="17" s="1"/>
  <c r="N184" i="17"/>
  <c r="J184" i="17"/>
  <c r="I184" i="17"/>
  <c r="H184" i="17"/>
  <c r="N183" i="17"/>
  <c r="N182" i="17" s="1"/>
  <c r="N181" i="17" s="1"/>
  <c r="K183" i="17"/>
  <c r="U179" i="17"/>
  <c r="U178" i="17" s="1"/>
  <c r="U177" i="17" s="1"/>
  <c r="N179" i="17"/>
  <c r="N178" i="17" s="1"/>
  <c r="N177" i="17" s="1"/>
  <c r="J179" i="17"/>
  <c r="J178" i="17" s="1"/>
  <c r="J177" i="17" s="1"/>
  <c r="I179" i="17"/>
  <c r="I178" i="17" s="1"/>
  <c r="I177" i="17" s="1"/>
  <c r="H179" i="17"/>
  <c r="H178" i="17" s="1"/>
  <c r="H177" i="17" s="1"/>
  <c r="K177" i="17"/>
  <c r="H174" i="17"/>
  <c r="H173" i="17" s="1"/>
  <c r="H172" i="17" s="1"/>
  <c r="H171" i="17" s="1"/>
  <c r="U174" i="17"/>
  <c r="N174" i="17"/>
  <c r="N173" i="17" s="1"/>
  <c r="N172" i="17" s="1"/>
  <c r="N171" i="17" s="1"/>
  <c r="J174" i="17"/>
  <c r="J173" i="17" s="1"/>
  <c r="J172" i="17" s="1"/>
  <c r="J171" i="17" s="1"/>
  <c r="I174" i="17"/>
  <c r="I173" i="17" s="1"/>
  <c r="I172" i="17" s="1"/>
  <c r="I171" i="17" s="1"/>
  <c r="U173" i="17"/>
  <c r="U172" i="17" s="1"/>
  <c r="U171" i="17" s="1"/>
  <c r="U169" i="17"/>
  <c r="N169" i="17"/>
  <c r="J169" i="17"/>
  <c r="I169" i="17"/>
  <c r="H169" i="17"/>
  <c r="U167" i="17"/>
  <c r="N167" i="17"/>
  <c r="J167" i="17"/>
  <c r="I167" i="17"/>
  <c r="H167" i="17"/>
  <c r="U165" i="17"/>
  <c r="N165" i="17"/>
  <c r="J165" i="17"/>
  <c r="I165" i="17"/>
  <c r="H165" i="17"/>
  <c r="U162" i="17"/>
  <c r="U161" i="17" s="1"/>
  <c r="N162" i="17"/>
  <c r="J162" i="17"/>
  <c r="J161" i="17" s="1"/>
  <c r="I162" i="17"/>
  <c r="I161" i="17" s="1"/>
  <c r="H162" i="17"/>
  <c r="H161" i="17" s="1"/>
  <c r="N161" i="17"/>
  <c r="U157" i="17"/>
  <c r="N157" i="17"/>
  <c r="J157" i="17"/>
  <c r="I157" i="17"/>
  <c r="H157" i="17"/>
  <c r="U155" i="17"/>
  <c r="N155" i="17"/>
  <c r="J155" i="17"/>
  <c r="I155" i="17"/>
  <c r="H155" i="17"/>
  <c r="U151" i="17"/>
  <c r="N151" i="17"/>
  <c r="J151" i="17"/>
  <c r="I151" i="17"/>
  <c r="H151" i="17"/>
  <c r="J149" i="17"/>
  <c r="I149" i="17"/>
  <c r="H149" i="17"/>
  <c r="J147" i="17"/>
  <c r="I147" i="17"/>
  <c r="H147" i="17"/>
  <c r="K145" i="17"/>
  <c r="U143" i="17"/>
  <c r="N143" i="17"/>
  <c r="H143" i="17"/>
  <c r="V148" i="17" s="1"/>
  <c r="I139" i="17"/>
  <c r="I138" i="17" s="1"/>
  <c r="U139" i="17"/>
  <c r="U138" i="17" s="1"/>
  <c r="U137" i="17" s="1"/>
  <c r="N139" i="17"/>
  <c r="N138" i="17" s="1"/>
  <c r="N137" i="17" s="1"/>
  <c r="K139" i="17"/>
  <c r="J139" i="17"/>
  <c r="J138" i="17" s="1"/>
  <c r="H139" i="17"/>
  <c r="H138" i="17" s="1"/>
  <c r="J135" i="17"/>
  <c r="I135" i="17"/>
  <c r="U133" i="17"/>
  <c r="U132" i="17" s="1"/>
  <c r="U131" i="17" s="1"/>
  <c r="N133" i="17"/>
  <c r="N132" i="17" s="1"/>
  <c r="N131" i="17" s="1"/>
  <c r="J133" i="17"/>
  <c r="J132" i="17" s="1"/>
  <c r="J131" i="17" s="1"/>
  <c r="I133" i="17"/>
  <c r="H133" i="17"/>
  <c r="H132" i="17" s="1"/>
  <c r="H131" i="17" s="1"/>
  <c r="U128" i="17"/>
  <c r="U127" i="17" s="1"/>
  <c r="N128" i="17"/>
  <c r="N127" i="17" s="1"/>
  <c r="J128" i="17"/>
  <c r="J127" i="17" s="1"/>
  <c r="I128" i="17"/>
  <c r="I127" i="17" s="1"/>
  <c r="H128" i="17"/>
  <c r="H127" i="17" s="1"/>
  <c r="U125" i="17"/>
  <c r="N125" i="17"/>
  <c r="J125" i="17"/>
  <c r="I125" i="17"/>
  <c r="H125" i="17"/>
  <c r="U123" i="17"/>
  <c r="N123" i="17"/>
  <c r="J123" i="17"/>
  <c r="I123" i="17"/>
  <c r="H123" i="17"/>
  <c r="U121" i="17"/>
  <c r="N121" i="17"/>
  <c r="J121" i="17"/>
  <c r="I121" i="17"/>
  <c r="H121" i="17"/>
  <c r="U118" i="17"/>
  <c r="N118" i="17"/>
  <c r="K118" i="17"/>
  <c r="H118" i="17"/>
  <c r="N113" i="17"/>
  <c r="N112" i="17" s="1"/>
  <c r="N111" i="17" s="1"/>
  <c r="N110" i="17" s="1"/>
  <c r="N109" i="17" s="1"/>
  <c r="N108" i="17" s="1"/>
  <c r="J113" i="17"/>
  <c r="J112" i="17" s="1"/>
  <c r="J111" i="17" s="1"/>
  <c r="J110" i="17" s="1"/>
  <c r="J109" i="17" s="1"/>
  <c r="J108" i="17" s="1"/>
  <c r="I113" i="17"/>
  <c r="I112" i="17" s="1"/>
  <c r="I111" i="17" s="1"/>
  <c r="I110" i="17" s="1"/>
  <c r="I109" i="17" s="1"/>
  <c r="I108" i="17" s="1"/>
  <c r="H113" i="17"/>
  <c r="H112" i="17" s="1"/>
  <c r="H111" i="17" s="1"/>
  <c r="H110" i="17" s="1"/>
  <c r="H109" i="17" s="1"/>
  <c r="H108" i="17" s="1"/>
  <c r="U105" i="17"/>
  <c r="U100" i="17" s="1"/>
  <c r="U99" i="17" s="1"/>
  <c r="U98" i="17" s="1"/>
  <c r="N105" i="17"/>
  <c r="N100" i="17" s="1"/>
  <c r="N99" i="17" s="1"/>
  <c r="N98" i="17" s="1"/>
  <c r="J105" i="17"/>
  <c r="J100" i="17" s="1"/>
  <c r="J99" i="17" s="1"/>
  <c r="J98" i="17" s="1"/>
  <c r="I105" i="17"/>
  <c r="I100" i="17" s="1"/>
  <c r="I99" i="17" s="1"/>
  <c r="I98" i="17" s="1"/>
  <c r="H105" i="17"/>
  <c r="H100" i="17" s="1"/>
  <c r="H99" i="17" s="1"/>
  <c r="H98" i="17" s="1"/>
  <c r="U103" i="17"/>
  <c r="N103" i="17"/>
  <c r="J103" i="17"/>
  <c r="I103" i="17"/>
  <c r="H103" i="17"/>
  <c r="U101" i="17"/>
  <c r="N101" i="17"/>
  <c r="J101" i="17"/>
  <c r="I101" i="17"/>
  <c r="H101" i="17"/>
  <c r="K97" i="17"/>
  <c r="H97" i="17"/>
  <c r="K96" i="17"/>
  <c r="H96" i="17" s="1"/>
  <c r="U95" i="17"/>
  <c r="U94" i="17" s="1"/>
  <c r="U93" i="17" s="1"/>
  <c r="U92" i="17" s="1"/>
  <c r="N95" i="17"/>
  <c r="N94" i="17" s="1"/>
  <c r="N93" i="17" s="1"/>
  <c r="N92" i="17" s="1"/>
  <c r="J95" i="17"/>
  <c r="J94" i="17" s="1"/>
  <c r="J93" i="17" s="1"/>
  <c r="J92" i="17" s="1"/>
  <c r="I95" i="17"/>
  <c r="I94" i="17" s="1"/>
  <c r="I93" i="17" s="1"/>
  <c r="I92" i="17" s="1"/>
  <c r="U89" i="17"/>
  <c r="U88" i="17" s="1"/>
  <c r="U87" i="17" s="1"/>
  <c r="U86" i="17" s="1"/>
  <c r="U85" i="17" s="1"/>
  <c r="N89" i="17"/>
  <c r="N88" i="17" s="1"/>
  <c r="N87" i="17" s="1"/>
  <c r="N86" i="17" s="1"/>
  <c r="N85" i="17" s="1"/>
  <c r="J89" i="17"/>
  <c r="J88" i="17" s="1"/>
  <c r="J87" i="17" s="1"/>
  <c r="J86" i="17" s="1"/>
  <c r="J85" i="17" s="1"/>
  <c r="I89" i="17"/>
  <c r="I88" i="17" s="1"/>
  <c r="I87" i="17" s="1"/>
  <c r="I86" i="17" s="1"/>
  <c r="I85" i="17" s="1"/>
  <c r="H89" i="17"/>
  <c r="H88" i="17" s="1"/>
  <c r="H87" i="17" s="1"/>
  <c r="H86" i="17" s="1"/>
  <c r="H85" i="17" s="1"/>
  <c r="U83" i="17"/>
  <c r="U82" i="17" s="1"/>
  <c r="U81" i="17" s="1"/>
  <c r="U80" i="17" s="1"/>
  <c r="U79" i="17" s="1"/>
  <c r="N83" i="17"/>
  <c r="N82" i="17" s="1"/>
  <c r="N81" i="17" s="1"/>
  <c r="N80" i="17" s="1"/>
  <c r="N79" i="17" s="1"/>
  <c r="H83" i="17"/>
  <c r="H82" i="17" s="1"/>
  <c r="H81" i="17" s="1"/>
  <c r="H80" i="17" s="1"/>
  <c r="H79" i="17" s="1"/>
  <c r="H77" i="17"/>
  <c r="H76" i="17" s="1"/>
  <c r="H75" i="17" s="1"/>
  <c r="H74" i="17" s="1"/>
  <c r="H73" i="17" s="1"/>
  <c r="K72" i="17"/>
  <c r="U71" i="17"/>
  <c r="U70" i="17" s="1"/>
  <c r="U69" i="17" s="1"/>
  <c r="N71" i="17"/>
  <c r="N70" i="17" s="1"/>
  <c r="N69" i="17" s="1"/>
  <c r="J71" i="17"/>
  <c r="J70" i="17" s="1"/>
  <c r="J69" i="17" s="1"/>
  <c r="I71" i="17"/>
  <c r="I70" i="17" s="1"/>
  <c r="I69" i="17" s="1"/>
  <c r="H71" i="17"/>
  <c r="H70" i="17" s="1"/>
  <c r="H69" i="17" s="1"/>
  <c r="U67" i="17"/>
  <c r="N67" i="17"/>
  <c r="J67" i="17"/>
  <c r="I67" i="17"/>
  <c r="H67" i="17"/>
  <c r="J65" i="17"/>
  <c r="I65" i="17"/>
  <c r="H65" i="17"/>
  <c r="J63" i="17"/>
  <c r="I63" i="17"/>
  <c r="H63" i="17"/>
  <c r="K61" i="17"/>
  <c r="K60" i="17"/>
  <c r="U59" i="17"/>
  <c r="N59" i="17"/>
  <c r="J59" i="17"/>
  <c r="I59" i="17"/>
  <c r="L55" i="17"/>
  <c r="U51" i="17"/>
  <c r="U50" i="17" s="1"/>
  <c r="U49" i="17" s="1"/>
  <c r="U48" i="17" s="1"/>
  <c r="N51" i="17"/>
  <c r="N50" i="17" s="1"/>
  <c r="N49" i="17" s="1"/>
  <c r="N48" i="17" s="1"/>
  <c r="J51" i="17"/>
  <c r="J50" i="17" s="1"/>
  <c r="J49" i="17" s="1"/>
  <c r="J48" i="17" s="1"/>
  <c r="J47" i="17" s="1"/>
  <c r="I51" i="17"/>
  <c r="I50" i="17" s="1"/>
  <c r="I49" i="17" s="1"/>
  <c r="I48" i="17" s="1"/>
  <c r="I47" i="17" s="1"/>
  <c r="H51" i="17"/>
  <c r="H50" i="17" s="1"/>
  <c r="H49" i="17" s="1"/>
  <c r="H48" i="17" s="1"/>
  <c r="J45" i="17"/>
  <c r="J44" i="17" s="1"/>
  <c r="J43" i="17" s="1"/>
  <c r="I45" i="17"/>
  <c r="I44" i="17" s="1"/>
  <c r="I43" i="17" s="1"/>
  <c r="H45" i="17"/>
  <c r="H44" i="17" s="1"/>
  <c r="H43" i="17" s="1"/>
  <c r="K40" i="17"/>
  <c r="U38" i="17"/>
  <c r="U37" i="17" s="1"/>
  <c r="U36" i="17" s="1"/>
  <c r="U35" i="17" s="1"/>
  <c r="U34" i="17" s="1"/>
  <c r="N38" i="17"/>
  <c r="N37" i="17" s="1"/>
  <c r="N36" i="17" s="1"/>
  <c r="N35" i="17" s="1"/>
  <c r="N34" i="17" s="1"/>
  <c r="J38" i="17"/>
  <c r="J37" i="17" s="1"/>
  <c r="J36" i="17" s="1"/>
  <c r="I38" i="17"/>
  <c r="I37" i="17" s="1"/>
  <c r="I36" i="17" s="1"/>
  <c r="H38" i="17"/>
  <c r="H37" i="17" s="1"/>
  <c r="H36" i="17" s="1"/>
  <c r="K33" i="17"/>
  <c r="U32" i="17"/>
  <c r="U31" i="17" s="1"/>
  <c r="U30" i="17" s="1"/>
  <c r="U29" i="17" s="1"/>
  <c r="U28" i="17" s="1"/>
  <c r="N32" i="17"/>
  <c r="N31" i="17" s="1"/>
  <c r="N30" i="17" s="1"/>
  <c r="N29" i="17" s="1"/>
  <c r="N28" i="17" s="1"/>
  <c r="H32" i="17"/>
  <c r="H31" i="17" s="1"/>
  <c r="H30" i="17" s="1"/>
  <c r="H29" i="17" s="1"/>
  <c r="H28" i="17" s="1"/>
  <c r="J26" i="17"/>
  <c r="J25" i="17" s="1"/>
  <c r="J24" i="17" s="1"/>
  <c r="J23" i="17" s="1"/>
  <c r="J22" i="17" s="1"/>
  <c r="I26" i="17"/>
  <c r="I25" i="17" s="1"/>
  <c r="I24" i="17" s="1"/>
  <c r="I23" i="17" s="1"/>
  <c r="I22" i="17" s="1"/>
  <c r="I12" i="17"/>
  <c r="K50" i="4"/>
  <c r="W50" i="4"/>
  <c r="Z122" i="15"/>
  <c r="Y122" i="15"/>
  <c r="X122" i="15"/>
  <c r="O118" i="15"/>
  <c r="P115" i="15"/>
  <c r="P105" i="15"/>
  <c r="W102" i="15"/>
  <c r="T102" i="15"/>
  <c r="R102" i="15"/>
  <c r="K102" i="15"/>
  <c r="P100" i="15"/>
  <c r="P98" i="15" s="1"/>
  <c r="W98" i="15"/>
  <c r="V98" i="15"/>
  <c r="T98" i="15"/>
  <c r="R98" i="15"/>
  <c r="K98" i="15"/>
  <c r="W94" i="15"/>
  <c r="V94" i="15"/>
  <c r="T94" i="15"/>
  <c r="R94" i="15"/>
  <c r="K94" i="15"/>
  <c r="P90" i="15"/>
  <c r="P85" i="15"/>
  <c r="W82" i="15"/>
  <c r="V82" i="15"/>
  <c r="T82" i="15"/>
  <c r="R82" i="15"/>
  <c r="K82" i="15"/>
  <c r="P81" i="15"/>
  <c r="P78" i="15"/>
  <c r="W76" i="15"/>
  <c r="V76" i="15"/>
  <c r="T76" i="15"/>
  <c r="R76" i="15"/>
  <c r="K76" i="15"/>
  <c r="N72" i="15"/>
  <c r="N118" i="15" s="1"/>
  <c r="P118" i="15" s="1"/>
  <c r="P68" i="15"/>
  <c r="P64" i="15"/>
  <c r="P60" i="15"/>
  <c r="W57" i="15"/>
  <c r="V57" i="15"/>
  <c r="T57" i="15"/>
  <c r="R57" i="15"/>
  <c r="K57" i="15"/>
  <c r="P53" i="15"/>
  <c r="T51" i="15"/>
  <c r="R51" i="15"/>
  <c r="P51" i="15"/>
  <c r="K51" i="15"/>
  <c r="P50" i="15"/>
  <c r="K45" i="15"/>
  <c r="P49" i="15"/>
  <c r="P48" i="15"/>
  <c r="T45" i="15"/>
  <c r="R45" i="15"/>
  <c r="P44" i="15"/>
  <c r="W41" i="15"/>
  <c r="V41" i="15"/>
  <c r="T41" i="15"/>
  <c r="R41" i="15"/>
  <c r="K41" i="15"/>
  <c r="P40" i="15"/>
  <c r="V38" i="15"/>
  <c r="T38" i="15"/>
  <c r="R38" i="15"/>
  <c r="K38" i="15"/>
  <c r="W34" i="15"/>
  <c r="V34" i="15"/>
  <c r="P36" i="15"/>
  <c r="P34" i="15" s="1"/>
  <c r="T34" i="15"/>
  <c r="R34" i="15"/>
  <c r="N242" i="17" l="1"/>
  <c r="N241" i="17" s="1"/>
  <c r="J347" i="17"/>
  <c r="N258" i="17"/>
  <c r="N212" i="17"/>
  <c r="I91" i="17"/>
  <c r="H249" i="17"/>
  <c r="I183" i="17"/>
  <c r="I182" i="17" s="1"/>
  <c r="I181" i="17" s="1"/>
  <c r="I176" i="17" s="1"/>
  <c r="N290" i="17"/>
  <c r="N289" i="17" s="1"/>
  <c r="N288" i="17" s="1"/>
  <c r="I146" i="17"/>
  <c r="I145" i="17" s="1"/>
  <c r="J154" i="17"/>
  <c r="J153" i="17" s="1"/>
  <c r="J287" i="17"/>
  <c r="I364" i="17"/>
  <c r="I363" i="17" s="1"/>
  <c r="U369" i="17"/>
  <c r="U368" i="17" s="1"/>
  <c r="U367" i="17" s="1"/>
  <c r="U366" i="17" s="1"/>
  <c r="U365" i="17" s="1"/>
  <c r="U364" i="17" s="1"/>
  <c r="U363" i="17" s="1"/>
  <c r="P102" i="15"/>
  <c r="N58" i="17"/>
  <c r="N57" i="17" s="1"/>
  <c r="N56" i="17" s="1"/>
  <c r="N55" i="17" s="1"/>
  <c r="H253" i="17"/>
  <c r="U253" i="17"/>
  <c r="I304" i="17"/>
  <c r="I298" i="17" s="1"/>
  <c r="J364" i="17"/>
  <c r="J363" i="17" s="1"/>
  <c r="I342" i="17"/>
  <c r="I338" i="17" s="1"/>
  <c r="I337" i="17" s="1"/>
  <c r="I336" i="17" s="1"/>
  <c r="I327" i="17" s="1"/>
  <c r="I258" i="17"/>
  <c r="H263" i="17"/>
  <c r="H258" i="17" s="1"/>
  <c r="I287" i="17"/>
  <c r="U263" i="17"/>
  <c r="U258" i="17" s="1"/>
  <c r="H117" i="17"/>
  <c r="N117" i="17"/>
  <c r="U117" i="17"/>
  <c r="I154" i="17"/>
  <c r="I153" i="17" s="1"/>
  <c r="J164" i="17"/>
  <c r="J160" i="17" s="1"/>
  <c r="J159" i="17" s="1"/>
  <c r="U204" i="17"/>
  <c r="U203" i="17" s="1"/>
  <c r="U202" i="17" s="1"/>
  <c r="U192" i="17" s="1"/>
  <c r="P45" i="15"/>
  <c r="P41" i="15" s="1"/>
  <c r="P38" i="15" s="1"/>
  <c r="T32" i="15"/>
  <c r="T116" i="15" s="1"/>
  <c r="H338" i="17"/>
  <c r="H337" i="17" s="1"/>
  <c r="H336" i="17" s="1"/>
  <c r="H327" i="17" s="1"/>
  <c r="J253" i="17"/>
  <c r="N342" i="17"/>
  <c r="N338" i="17" s="1"/>
  <c r="N337" i="17" s="1"/>
  <c r="N336" i="17" s="1"/>
  <c r="N327" i="17" s="1"/>
  <c r="J342" i="17"/>
  <c r="J338" i="17" s="1"/>
  <c r="J337" i="17" s="1"/>
  <c r="J336" i="17" s="1"/>
  <c r="J327" i="17" s="1"/>
  <c r="N369" i="17"/>
  <c r="N368" i="17" s="1"/>
  <c r="N367" i="17" s="1"/>
  <c r="N366" i="17" s="1"/>
  <c r="N365" i="17" s="1"/>
  <c r="N364" i="17" s="1"/>
  <c r="N363" i="17" s="1"/>
  <c r="J146" i="17"/>
  <c r="J145" i="17" s="1"/>
  <c r="I204" i="17"/>
  <c r="I203" i="17" s="1"/>
  <c r="I202" i="17" s="1"/>
  <c r="I192" i="17" s="1"/>
  <c r="H204" i="17"/>
  <c r="H203" i="17" s="1"/>
  <c r="H202" i="17" s="1"/>
  <c r="P82" i="15"/>
  <c r="J183" i="17"/>
  <c r="J182" i="17" s="1"/>
  <c r="J181" i="17" s="1"/>
  <c r="J176" i="17" s="1"/>
  <c r="N204" i="17"/>
  <c r="N203" i="17" s="1"/>
  <c r="N202" i="17" s="1"/>
  <c r="N192" i="17" s="1"/>
  <c r="J204" i="17"/>
  <c r="J203" i="17" s="1"/>
  <c r="J202" i="17" s="1"/>
  <c r="J192" i="17" s="1"/>
  <c r="U212" i="17"/>
  <c r="J242" i="17"/>
  <c r="J241" i="17" s="1"/>
  <c r="N253" i="17"/>
  <c r="N252" i="17" s="1"/>
  <c r="U290" i="17"/>
  <c r="U289" i="17" s="1"/>
  <c r="U288" i="17" s="1"/>
  <c r="U287" i="17" s="1"/>
  <c r="U286" i="17" s="1"/>
  <c r="H369" i="17"/>
  <c r="H368" i="17" s="1"/>
  <c r="H367" i="17" s="1"/>
  <c r="H366" i="17" s="1"/>
  <c r="H365" i="17" s="1"/>
  <c r="H364" i="17" s="1"/>
  <c r="H363" i="17" s="1"/>
  <c r="R32" i="15"/>
  <c r="R116" i="15" s="1"/>
  <c r="P76" i="15"/>
  <c r="K21" i="17"/>
  <c r="K18" i="17" s="1"/>
  <c r="J35" i="17"/>
  <c r="J34" i="17" s="1"/>
  <c r="J21" i="17" s="1"/>
  <c r="J19" i="17" s="1"/>
  <c r="H95" i="17"/>
  <c r="H94" i="17" s="1"/>
  <c r="H93" i="17" s="1"/>
  <c r="H92" i="17" s="1"/>
  <c r="H91" i="17" s="1"/>
  <c r="N120" i="17"/>
  <c r="N119" i="17" s="1"/>
  <c r="N154" i="17"/>
  <c r="N153" i="17" s="1"/>
  <c r="N144" i="17" s="1"/>
  <c r="I164" i="17"/>
  <c r="I160" i="17" s="1"/>
  <c r="I159" i="17" s="1"/>
  <c r="H183" i="17"/>
  <c r="H182" i="17" s="1"/>
  <c r="H181" i="17" s="1"/>
  <c r="H176" i="17" s="1"/>
  <c r="H142" i="17" s="1"/>
  <c r="H242" i="17"/>
  <c r="H241" i="17" s="1"/>
  <c r="J258" i="17"/>
  <c r="U242" i="17"/>
  <c r="U241" i="17" s="1"/>
  <c r="H146" i="17"/>
  <c r="H145" i="17" s="1"/>
  <c r="I35" i="17"/>
  <c r="I34" i="17" s="1"/>
  <c r="I21" i="17" s="1"/>
  <c r="I19" i="17" s="1"/>
  <c r="H154" i="17"/>
  <c r="H153" i="17" s="1"/>
  <c r="U154" i="17"/>
  <c r="U153" i="17" s="1"/>
  <c r="U144" i="17" s="1"/>
  <c r="H164" i="17"/>
  <c r="H160" i="17" s="1"/>
  <c r="H159" i="17" s="1"/>
  <c r="U164" i="17"/>
  <c r="U160" i="17" s="1"/>
  <c r="U159" i="17" s="1"/>
  <c r="N164" i="17"/>
  <c r="N160" i="17" s="1"/>
  <c r="N159" i="17" s="1"/>
  <c r="I253" i="17"/>
  <c r="H287" i="17"/>
  <c r="H286" i="17" s="1"/>
  <c r="N317" i="17"/>
  <c r="N316" i="17" s="1"/>
  <c r="N309" i="17" s="1"/>
  <c r="U176" i="17"/>
  <c r="U142" i="17" s="1"/>
  <c r="I279" i="17"/>
  <c r="I278" i="17" s="1"/>
  <c r="I277" i="17" s="1"/>
  <c r="I276" i="17" s="1"/>
  <c r="K28" i="17"/>
  <c r="L28" i="17" s="1"/>
  <c r="H35" i="17"/>
  <c r="H34" i="17" s="1"/>
  <c r="I58" i="17"/>
  <c r="I57" i="17" s="1"/>
  <c r="I56" i="17" s="1"/>
  <c r="I55" i="17" s="1"/>
  <c r="I54" i="17" s="1"/>
  <c r="K55" i="17"/>
  <c r="M55" i="17" s="1"/>
  <c r="U58" i="17"/>
  <c r="U57" i="17" s="1"/>
  <c r="U56" i="17" s="1"/>
  <c r="U55" i="17" s="1"/>
  <c r="J91" i="17"/>
  <c r="I120" i="17"/>
  <c r="I119" i="17" s="1"/>
  <c r="H120" i="17"/>
  <c r="H119" i="17" s="1"/>
  <c r="U120" i="17"/>
  <c r="U119" i="17" s="1"/>
  <c r="J304" i="17"/>
  <c r="J298" i="17" s="1"/>
  <c r="I309" i="17"/>
  <c r="J58" i="17"/>
  <c r="J57" i="17" s="1"/>
  <c r="J56" i="17" s="1"/>
  <c r="J55" i="17" s="1"/>
  <c r="N91" i="17"/>
  <c r="J120" i="17"/>
  <c r="J119" i="17" s="1"/>
  <c r="J118" i="17" s="1"/>
  <c r="J117" i="17" s="1"/>
  <c r="J116" i="17" s="1"/>
  <c r="I132" i="17"/>
  <c r="I131" i="17" s="1"/>
  <c r="N176" i="17"/>
  <c r="N142" i="17" s="1"/>
  <c r="N248" i="17"/>
  <c r="H279" i="17"/>
  <c r="H278" i="17" s="1"/>
  <c r="H277" i="17" s="1"/>
  <c r="H276" i="17" s="1"/>
  <c r="U279" i="17"/>
  <c r="U278" i="17" s="1"/>
  <c r="U277" i="17" s="1"/>
  <c r="U276" i="17" s="1"/>
  <c r="U338" i="17"/>
  <c r="U337" i="17" s="1"/>
  <c r="U336" i="17" s="1"/>
  <c r="U327" i="17" s="1"/>
  <c r="H193" i="17"/>
  <c r="U317" i="17"/>
  <c r="U316" i="17" s="1"/>
  <c r="U309" i="17" s="1"/>
  <c r="J309" i="17"/>
  <c r="H317" i="17"/>
  <c r="H316" i="17" s="1"/>
  <c r="H309" i="17" s="1"/>
  <c r="H58" i="17"/>
  <c r="H57" i="17" s="1"/>
  <c r="H56" i="17" s="1"/>
  <c r="H55" i="17" s="1"/>
  <c r="N135" i="17"/>
  <c r="N116" i="17" s="1"/>
  <c r="N136" i="17"/>
  <c r="U91" i="17"/>
  <c r="H137" i="17"/>
  <c r="U136" i="17"/>
  <c r="U135" i="17"/>
  <c r="U116" i="17" s="1"/>
  <c r="J212" i="17"/>
  <c r="I212" i="17"/>
  <c r="H212" i="17"/>
  <c r="N287" i="17"/>
  <c r="N286" i="17" s="1"/>
  <c r="K32" i="15"/>
  <c r="K116" i="15" s="1"/>
  <c r="W45" i="15"/>
  <c r="V45" i="15"/>
  <c r="V32" i="15" s="1"/>
  <c r="V116" i="15" s="1"/>
  <c r="P72" i="15"/>
  <c r="P57" i="15" s="1"/>
  <c r="Z122" i="4"/>
  <c r="Y122" i="4"/>
  <c r="X122" i="4"/>
  <c r="N191" i="17" l="1"/>
  <c r="I118" i="17"/>
  <c r="I117" i="17" s="1"/>
  <c r="I116" i="17" s="1"/>
  <c r="N54" i="17"/>
  <c r="I144" i="17"/>
  <c r="I143" i="17" s="1"/>
  <c r="I142" i="17" s="1"/>
  <c r="J144" i="17"/>
  <c r="J143" i="17" s="1"/>
  <c r="J142" i="17" s="1"/>
  <c r="J252" i="17"/>
  <c r="J247" i="17" s="1"/>
  <c r="J240" i="17" s="1"/>
  <c r="U191" i="17"/>
  <c r="H252" i="17"/>
  <c r="H247" i="17" s="1"/>
  <c r="H192" i="17"/>
  <c r="H191" i="17" s="1"/>
  <c r="I252" i="17"/>
  <c r="I247" i="17" s="1"/>
  <c r="I240" i="17" s="1"/>
  <c r="I20" i="17" s="1"/>
  <c r="U252" i="17"/>
  <c r="U247" i="17" s="1"/>
  <c r="H144" i="17"/>
  <c r="W32" i="15"/>
  <c r="W116" i="15" s="1"/>
  <c r="N21" i="17"/>
  <c r="N19" i="17" s="1"/>
  <c r="U54" i="17"/>
  <c r="U53" i="17" s="1"/>
  <c r="J54" i="17"/>
  <c r="P32" i="15"/>
  <c r="P116" i="15" s="1"/>
  <c r="J191" i="17"/>
  <c r="I191" i="17"/>
  <c r="N247" i="17"/>
  <c r="N53" i="17"/>
  <c r="N20" i="17"/>
  <c r="N18" i="17" s="1"/>
  <c r="U21" i="17"/>
  <c r="H54" i="17"/>
  <c r="H136" i="17"/>
  <c r="H135" i="17"/>
  <c r="H116" i="17" s="1"/>
  <c r="J20" i="17"/>
  <c r="H21" i="17"/>
  <c r="U291" i="12"/>
  <c r="N291" i="12"/>
  <c r="H291" i="12"/>
  <c r="R359" i="11"/>
  <c r="Q359" i="11"/>
  <c r="R358" i="11"/>
  <c r="Q358" i="11"/>
  <c r="R357" i="11"/>
  <c r="Q357" i="11"/>
  <c r="I53" i="17" l="1"/>
  <c r="I18" i="17" s="1"/>
  <c r="J53" i="17"/>
  <c r="J18" i="17" s="1"/>
  <c r="H53" i="17"/>
  <c r="U20" i="17"/>
  <c r="U18" i="17" s="1"/>
  <c r="U19" i="17"/>
  <c r="H20" i="17"/>
  <c r="H18" i="17" s="1"/>
  <c r="M18" i="17" s="1"/>
  <c r="H19" i="17"/>
  <c r="R408" i="11"/>
  <c r="Q408" i="11"/>
  <c r="R235" i="11" l="1"/>
  <c r="R234" i="11" s="1"/>
  <c r="Q235" i="11"/>
  <c r="Q234" i="11" s="1"/>
  <c r="N235" i="11"/>
  <c r="N234" i="11" s="1"/>
  <c r="N243" i="12"/>
  <c r="U243" i="12"/>
  <c r="Q437" i="11"/>
  <c r="R437" i="11"/>
  <c r="N437" i="11"/>
  <c r="Q425" i="11"/>
  <c r="R425" i="11"/>
  <c r="U382" i="12"/>
  <c r="U381" i="12" s="1"/>
  <c r="U380" i="12" s="1"/>
  <c r="U379" i="12" s="1"/>
  <c r="U378" i="12" s="1"/>
  <c r="U376" i="12"/>
  <c r="U375" i="12" s="1"/>
  <c r="U374" i="12" s="1"/>
  <c r="U373" i="12" s="1"/>
  <c r="U371" i="12"/>
  <c r="U370" i="12"/>
  <c r="U360" i="12"/>
  <c r="U359" i="12" s="1"/>
  <c r="U358" i="12" s="1"/>
  <c r="U355" i="12"/>
  <c r="U354" i="12" s="1"/>
  <c r="U353" i="12" s="1"/>
  <c r="U352" i="12" s="1"/>
  <c r="U351" i="12" s="1"/>
  <c r="U349" i="12"/>
  <c r="U348" i="12" s="1"/>
  <c r="U347" i="12" s="1"/>
  <c r="U345" i="12"/>
  <c r="U343" i="12"/>
  <c r="U340" i="12"/>
  <c r="U339" i="12" s="1"/>
  <c r="U332" i="12"/>
  <c r="U331" i="12" s="1"/>
  <c r="U330" i="12" s="1"/>
  <c r="U329" i="12" s="1"/>
  <c r="U328" i="12" s="1"/>
  <c r="U324" i="12"/>
  <c r="U323" i="12" s="1"/>
  <c r="U322" i="12" s="1"/>
  <c r="U320" i="12"/>
  <c r="U319" i="12" s="1"/>
  <c r="U318" i="12" s="1"/>
  <c r="U314" i="12"/>
  <c r="U313" i="12" s="1"/>
  <c r="U312" i="12" s="1"/>
  <c r="U311" i="12" s="1"/>
  <c r="U310" i="12" s="1"/>
  <c r="U306" i="12"/>
  <c r="U305" i="12" s="1"/>
  <c r="U304" i="12" s="1"/>
  <c r="U303" i="12" s="1"/>
  <c r="U302" i="12" s="1"/>
  <c r="U301" i="12"/>
  <c r="U290" i="12" s="1"/>
  <c r="U298" i="12"/>
  <c r="U289" i="12"/>
  <c r="U288" i="12" s="1"/>
  <c r="U284" i="12"/>
  <c r="U283" i="12" s="1"/>
  <c r="U281" i="12"/>
  <c r="U280" i="12" s="1"/>
  <c r="U272" i="12"/>
  <c r="U271" i="12" s="1"/>
  <c r="U265" i="12" s="1"/>
  <c r="U267" i="12"/>
  <c r="U266" i="12" s="1"/>
  <c r="U264" i="12"/>
  <c r="U245" i="12" s="1"/>
  <c r="U242" i="12" s="1"/>
  <c r="U241" i="12" s="1"/>
  <c r="U259" i="12"/>
  <c r="U256" i="12"/>
  <c r="U254" i="12"/>
  <c r="U250" i="12"/>
  <c r="U248" i="12" s="1"/>
  <c r="U240" i="12"/>
  <c r="U238" i="12"/>
  <c r="U221" i="12"/>
  <c r="U219" i="12" s="1"/>
  <c r="U218" i="12" s="1"/>
  <c r="U217" i="12"/>
  <c r="U215" i="12"/>
  <c r="U214" i="12" s="1"/>
  <c r="U213" i="12" s="1"/>
  <c r="U211" i="12"/>
  <c r="U209" i="12"/>
  <c r="U207" i="12"/>
  <c r="U205" i="12"/>
  <c r="U188" i="12"/>
  <c r="U184" i="12"/>
  <c r="U179" i="12"/>
  <c r="U178" i="12" s="1"/>
  <c r="U177" i="12" s="1"/>
  <c r="U174" i="12"/>
  <c r="U173" i="12" s="1"/>
  <c r="U172" i="12" s="1"/>
  <c r="U171" i="12" s="1"/>
  <c r="U169" i="12"/>
  <c r="U167" i="12"/>
  <c r="U165" i="12"/>
  <c r="U162" i="12"/>
  <c r="U161" i="12" s="1"/>
  <c r="U157" i="12"/>
  <c r="U155" i="12"/>
  <c r="U151" i="12"/>
  <c r="U143" i="12"/>
  <c r="U139" i="12"/>
  <c r="U138" i="12" s="1"/>
  <c r="U133" i="12"/>
  <c r="U132" i="12" s="1"/>
  <c r="U131" i="12" s="1"/>
  <c r="U128" i="12"/>
  <c r="U127" i="12" s="1"/>
  <c r="U125" i="12"/>
  <c r="U123" i="12"/>
  <c r="U121" i="12"/>
  <c r="U118" i="12"/>
  <c r="U105" i="12"/>
  <c r="U100" i="12" s="1"/>
  <c r="U99" i="12" s="1"/>
  <c r="U98" i="12" s="1"/>
  <c r="U103" i="12"/>
  <c r="U101" i="12"/>
  <c r="U95" i="12"/>
  <c r="U94" i="12" s="1"/>
  <c r="U93" i="12" s="1"/>
  <c r="U92" i="12" s="1"/>
  <c r="U89" i="12"/>
  <c r="U88" i="12" s="1"/>
  <c r="U87" i="12" s="1"/>
  <c r="U86" i="12" s="1"/>
  <c r="U85" i="12" s="1"/>
  <c r="U83" i="12"/>
  <c r="U82" i="12" s="1"/>
  <c r="U81" i="12" s="1"/>
  <c r="U80" i="12" s="1"/>
  <c r="U79" i="12" s="1"/>
  <c r="U71" i="12"/>
  <c r="U70" i="12" s="1"/>
  <c r="U69" i="12" s="1"/>
  <c r="U67" i="12"/>
  <c r="U59" i="12"/>
  <c r="U51" i="12"/>
  <c r="U50" i="12" s="1"/>
  <c r="U49" i="12" s="1"/>
  <c r="U48" i="12" s="1"/>
  <c r="U38" i="12"/>
  <c r="U37" i="12" s="1"/>
  <c r="U36" i="12" s="1"/>
  <c r="U32" i="12"/>
  <c r="U31" i="12" s="1"/>
  <c r="U30" i="12" s="1"/>
  <c r="U29" i="12" s="1"/>
  <c r="U28" i="12" s="1"/>
  <c r="N382" i="12"/>
  <c r="N381" i="12" s="1"/>
  <c r="N380" i="12" s="1"/>
  <c r="N379" i="12" s="1"/>
  <c r="N378" i="12" s="1"/>
  <c r="N376" i="12"/>
  <c r="N375" i="12" s="1"/>
  <c r="N374" i="12" s="1"/>
  <c r="N373" i="12" s="1"/>
  <c r="N371" i="12"/>
  <c r="N370" i="12"/>
  <c r="N360" i="12"/>
  <c r="N359" i="12" s="1"/>
  <c r="N358" i="12" s="1"/>
  <c r="N355" i="12"/>
  <c r="N354" i="12" s="1"/>
  <c r="N353" i="12" s="1"/>
  <c r="N352" i="12" s="1"/>
  <c r="N351" i="12" s="1"/>
  <c r="N349" i="12"/>
  <c r="N348" i="12" s="1"/>
  <c r="N347" i="12" s="1"/>
  <c r="N345" i="12"/>
  <c r="N343" i="12"/>
  <c r="N340" i="12"/>
  <c r="N339" i="12" s="1"/>
  <c r="N332" i="12"/>
  <c r="N331" i="12" s="1"/>
  <c r="N330" i="12" s="1"/>
  <c r="N329" i="12" s="1"/>
  <c r="N328" i="12" s="1"/>
  <c r="N324" i="12"/>
  <c r="N323" i="12" s="1"/>
  <c r="N322" i="12" s="1"/>
  <c r="N320" i="12"/>
  <c r="N319" i="12" s="1"/>
  <c r="N318" i="12" s="1"/>
  <c r="N314" i="12"/>
  <c r="N313" i="12" s="1"/>
  <c r="N312" i="12" s="1"/>
  <c r="N311" i="12" s="1"/>
  <c r="N310" i="12" s="1"/>
  <c r="N306" i="12"/>
  <c r="N305" i="12" s="1"/>
  <c r="N304" i="12" s="1"/>
  <c r="N303" i="12" s="1"/>
  <c r="N302" i="12" s="1"/>
  <c r="N301" i="12"/>
  <c r="N290" i="12" s="1"/>
  <c r="N289" i="12" s="1"/>
  <c r="N288" i="12" s="1"/>
  <c r="N298" i="12"/>
  <c r="N284" i="12"/>
  <c r="N283" i="12" s="1"/>
  <c r="N281" i="12"/>
  <c r="N280" i="12" s="1"/>
  <c r="N272" i="12"/>
  <c r="N271" i="12" s="1"/>
  <c r="N265" i="12" s="1"/>
  <c r="N267" i="12"/>
  <c r="N266" i="12" s="1"/>
  <c r="N264" i="12"/>
  <c r="N263" i="12" s="1"/>
  <c r="N259" i="12"/>
  <c r="N256" i="12"/>
  <c r="N254" i="12"/>
  <c r="N250" i="12"/>
  <c r="N249" i="12" s="1"/>
  <c r="N240" i="12"/>
  <c r="N238" i="12"/>
  <c r="N221" i="12"/>
  <c r="N219" i="12" s="1"/>
  <c r="N218" i="12" s="1"/>
  <c r="N217" i="12"/>
  <c r="N215" i="12"/>
  <c r="N214" i="12" s="1"/>
  <c r="N213" i="12" s="1"/>
  <c r="N211" i="12"/>
  <c r="N209" i="12"/>
  <c r="N207" i="12"/>
  <c r="N205" i="12"/>
  <c r="N204" i="12" s="1"/>
  <c r="N203" i="12" s="1"/>
  <c r="N202" i="12" s="1"/>
  <c r="N188" i="12"/>
  <c r="N184" i="12"/>
  <c r="N179" i="12"/>
  <c r="N178" i="12" s="1"/>
  <c r="N177" i="12" s="1"/>
  <c r="N174" i="12"/>
  <c r="N173" i="12" s="1"/>
  <c r="N172" i="12" s="1"/>
  <c r="N171" i="12" s="1"/>
  <c r="N169" i="12"/>
  <c r="N167" i="12"/>
  <c r="N165" i="12"/>
  <c r="N162" i="12"/>
  <c r="N161" i="12" s="1"/>
  <c r="N157" i="12"/>
  <c r="N155" i="12"/>
  <c r="N151" i="12"/>
  <c r="N139" i="12"/>
  <c r="N138" i="12" s="1"/>
  <c r="N133" i="12"/>
  <c r="N132" i="12" s="1"/>
  <c r="N131" i="12" s="1"/>
  <c r="N128" i="12"/>
  <c r="N127" i="12" s="1"/>
  <c r="N125" i="12"/>
  <c r="N123" i="12"/>
  <c r="N121" i="12"/>
  <c r="N118" i="12"/>
  <c r="N113" i="12"/>
  <c r="N112" i="12" s="1"/>
  <c r="N111" i="12" s="1"/>
  <c r="N110" i="12" s="1"/>
  <c r="N109" i="12" s="1"/>
  <c r="N108" i="12" s="1"/>
  <c r="N105" i="12"/>
  <c r="N100" i="12" s="1"/>
  <c r="N99" i="12" s="1"/>
  <c r="N98" i="12" s="1"/>
  <c r="N103" i="12"/>
  <c r="N101" i="12"/>
  <c r="N95" i="12"/>
  <c r="N94" i="12" s="1"/>
  <c r="N93" i="12" s="1"/>
  <c r="N92" i="12" s="1"/>
  <c r="N89" i="12"/>
  <c r="N88" i="12" s="1"/>
  <c r="N87" i="12" s="1"/>
  <c r="N86" i="12" s="1"/>
  <c r="N85" i="12" s="1"/>
  <c r="N83" i="12"/>
  <c r="N82" i="12" s="1"/>
  <c r="N81" i="12" s="1"/>
  <c r="N80" i="12" s="1"/>
  <c r="N79" i="12" s="1"/>
  <c r="N71" i="12"/>
  <c r="N70" i="12" s="1"/>
  <c r="N69" i="12" s="1"/>
  <c r="N67" i="12"/>
  <c r="N59" i="12"/>
  <c r="N51" i="12"/>
  <c r="N50" i="12" s="1"/>
  <c r="N49" i="12" s="1"/>
  <c r="N48" i="12" s="1"/>
  <c r="N38" i="12"/>
  <c r="N37" i="12" s="1"/>
  <c r="N36" i="12" s="1"/>
  <c r="N35" i="12" s="1"/>
  <c r="N34" i="12" s="1"/>
  <c r="N32" i="12"/>
  <c r="N31" i="12" s="1"/>
  <c r="N30" i="12" s="1"/>
  <c r="N29" i="12" s="1"/>
  <c r="N28" i="12" s="1"/>
  <c r="R544" i="11"/>
  <c r="R542" i="11"/>
  <c r="R539" i="11"/>
  <c r="R538" i="11" s="1"/>
  <c r="R536" i="11"/>
  <c r="R535" i="11" s="1"/>
  <c r="R533" i="11"/>
  <c r="R532" i="11" s="1"/>
  <c r="R530" i="11"/>
  <c r="R529" i="11" s="1"/>
  <c r="R522" i="11"/>
  <c r="R521" i="11" s="1"/>
  <c r="R519" i="11"/>
  <c r="R517" i="11"/>
  <c r="R515" i="11"/>
  <c r="R514" i="11" s="1"/>
  <c r="R513" i="11" s="1"/>
  <c r="R509" i="11"/>
  <c r="R508" i="11" s="1"/>
  <c r="R503" i="11"/>
  <c r="R502" i="11" s="1"/>
  <c r="R500" i="11"/>
  <c r="R499" i="11" s="1"/>
  <c r="R497" i="11"/>
  <c r="R496" i="11" s="1"/>
  <c r="R494" i="11"/>
  <c r="R493" i="11" s="1"/>
  <c r="R491" i="11"/>
  <c r="R490" i="11" s="1"/>
  <c r="R488" i="11"/>
  <c r="R486" i="11"/>
  <c r="R483" i="11"/>
  <c r="R480" i="11" s="1"/>
  <c r="R479" i="11" s="1"/>
  <c r="R477" i="11"/>
  <c r="R476" i="11" s="1"/>
  <c r="R474" i="11"/>
  <c r="R473" i="11" s="1"/>
  <c r="R468" i="11"/>
  <c r="R467" i="11" s="1"/>
  <c r="R465" i="11"/>
  <c r="R464" i="11" s="1"/>
  <c r="R462" i="11"/>
  <c r="R461" i="11" s="1"/>
  <c r="R455" i="11"/>
  <c r="R450" i="11"/>
  <c r="R449" i="11" s="1"/>
  <c r="R444" i="11"/>
  <c r="R443" i="11" s="1"/>
  <c r="R435" i="11"/>
  <c r="R433" i="11"/>
  <c r="R431" i="11"/>
  <c r="R429" i="11"/>
  <c r="R428" i="11" s="1"/>
  <c r="R427" i="11" s="1"/>
  <c r="R424" i="11"/>
  <c r="R423" i="11" s="1"/>
  <c r="R422" i="11" s="1"/>
  <c r="R421" i="11"/>
  <c r="R420" i="11" s="1"/>
  <c r="R419" i="11" s="1"/>
  <c r="R418" i="11" s="1"/>
  <c r="R417" i="11" s="1"/>
  <c r="R415" i="11"/>
  <c r="R414" i="11" s="1"/>
  <c r="R413" i="11" s="1"/>
  <c r="R412" i="11" s="1"/>
  <c r="R410" i="11"/>
  <c r="R407" i="11" s="1"/>
  <c r="R401" i="11"/>
  <c r="R400" i="11" s="1"/>
  <c r="R398" i="11"/>
  <c r="R396" i="11" s="1"/>
  <c r="R394" i="11"/>
  <c r="R393" i="11" s="1"/>
  <c r="R391" i="11"/>
  <c r="R390" i="11" s="1"/>
  <c r="R389" i="11" s="1"/>
  <c r="R388" i="11" s="1"/>
  <c r="R386" i="11"/>
  <c r="R385" i="11" s="1"/>
  <c r="R381" i="11"/>
  <c r="R380" i="11" s="1"/>
  <c r="R378" i="11"/>
  <c r="R377" i="11" s="1"/>
  <c r="R376" i="11"/>
  <c r="R371" i="11"/>
  <c r="R369" i="11"/>
  <c r="R365" i="11"/>
  <c r="R364" i="11"/>
  <c r="R360" i="11"/>
  <c r="R355" i="11"/>
  <c r="R354" i="11" s="1"/>
  <c r="R353" i="11" s="1"/>
  <c r="R352" i="11" s="1"/>
  <c r="R343" i="11"/>
  <c r="R342" i="11" s="1"/>
  <c r="R341" i="11" s="1"/>
  <c r="R340" i="11" s="1"/>
  <c r="R335" i="11"/>
  <c r="R334" i="11" s="1"/>
  <c r="R333" i="11" s="1"/>
  <c r="R332" i="11" s="1"/>
  <c r="R330" i="11"/>
  <c r="R329" i="11" s="1"/>
  <c r="R328" i="11" s="1"/>
  <c r="R327" i="11" s="1"/>
  <c r="R311" i="11"/>
  <c r="R310" i="11" s="1"/>
  <c r="R308" i="11"/>
  <c r="R307" i="11" s="1"/>
  <c r="R302" i="11"/>
  <c r="R299" i="11"/>
  <c r="R296" i="11"/>
  <c r="R295" i="11" s="1"/>
  <c r="R290" i="11"/>
  <c r="R289" i="11" s="1"/>
  <c r="R288" i="11" s="1"/>
  <c r="R287" i="11" s="1"/>
  <c r="R285" i="11"/>
  <c r="R284" i="11" s="1"/>
  <c r="R280" i="11" s="1"/>
  <c r="R282" i="11"/>
  <c r="R281" i="11" s="1"/>
  <c r="R279" i="11"/>
  <c r="R277" i="11"/>
  <c r="R276" i="11" s="1"/>
  <c r="R274" i="11"/>
  <c r="R273" i="11" s="1"/>
  <c r="R270" i="11"/>
  <c r="R269" i="11" s="1"/>
  <c r="R267" i="11"/>
  <c r="R266" i="11" s="1"/>
  <c r="R265" i="11"/>
  <c r="R264" i="11" s="1"/>
  <c r="R261" i="11"/>
  <c r="R259" i="11" s="1"/>
  <c r="R258" i="11" s="1"/>
  <c r="R257" i="11" s="1"/>
  <c r="R255" i="11"/>
  <c r="R254" i="11" s="1"/>
  <c r="R253" i="11" s="1"/>
  <c r="R251" i="11"/>
  <c r="R250" i="11" s="1"/>
  <c r="R249" i="11" s="1"/>
  <c r="R247" i="11"/>
  <c r="R246" i="11" s="1"/>
  <c r="R245" i="11" s="1"/>
  <c r="R240" i="11"/>
  <c r="R239" i="11" s="1"/>
  <c r="R231" i="11"/>
  <c r="R229" i="11"/>
  <c r="R227" i="11"/>
  <c r="R221" i="11"/>
  <c r="R220" i="11" s="1"/>
  <c r="R219" i="11" s="1"/>
  <c r="R216" i="11" s="1"/>
  <c r="R208" i="11"/>
  <c r="R207" i="11" s="1"/>
  <c r="R202" i="11"/>
  <c r="R200" i="11" s="1"/>
  <c r="R199" i="11" s="1"/>
  <c r="R201" i="11"/>
  <c r="R196" i="11"/>
  <c r="R195" i="11" s="1"/>
  <c r="R194" i="11" s="1"/>
  <c r="R183" i="11"/>
  <c r="R182" i="11" s="1"/>
  <c r="R179" i="11"/>
  <c r="R178" i="11" s="1"/>
  <c r="R171" i="11"/>
  <c r="R170" i="11" s="1"/>
  <c r="R168" i="11"/>
  <c r="R167" i="11" s="1"/>
  <c r="R163" i="11"/>
  <c r="R162" i="11" s="1"/>
  <c r="R161" i="11" s="1"/>
  <c r="R160" i="11" s="1"/>
  <c r="R158" i="11"/>
  <c r="R156" i="11" s="1"/>
  <c r="R155" i="11" s="1"/>
  <c r="R154" i="11" s="1"/>
  <c r="R153" i="11" s="1"/>
  <c r="R150" i="11"/>
  <c r="R147" i="11" s="1"/>
  <c r="R146" i="11" s="1"/>
  <c r="R145" i="11" s="1"/>
  <c r="R144" i="11" s="1"/>
  <c r="R142" i="11"/>
  <c r="R141" i="11" s="1"/>
  <c r="R140" i="11" s="1"/>
  <c r="R139" i="11" s="1"/>
  <c r="R138" i="11"/>
  <c r="R137" i="11" s="1"/>
  <c r="R136" i="11"/>
  <c r="R135" i="11" s="1"/>
  <c r="R132" i="11"/>
  <c r="R131" i="11" s="1"/>
  <c r="R126" i="11"/>
  <c r="R125" i="11" s="1"/>
  <c r="R119" i="11"/>
  <c r="R118" i="11" s="1"/>
  <c r="R115" i="11"/>
  <c r="R113" i="11"/>
  <c r="R103" i="11"/>
  <c r="R101" i="11"/>
  <c r="R99" i="11"/>
  <c r="R96" i="11"/>
  <c r="R94" i="11" s="1"/>
  <c r="R91" i="11"/>
  <c r="R90" i="11" s="1"/>
  <c r="R88" i="11"/>
  <c r="R87" i="11" s="1"/>
  <c r="R86" i="11" s="1"/>
  <c r="R78" i="11"/>
  <c r="R77" i="11" s="1"/>
  <c r="R75" i="11"/>
  <c r="R73" i="11"/>
  <c r="R66" i="11"/>
  <c r="R65" i="11" s="1"/>
  <c r="R64" i="11" s="1"/>
  <c r="R61" i="11"/>
  <c r="R60" i="11" s="1"/>
  <c r="R59" i="11" s="1"/>
  <c r="R57" i="11"/>
  <c r="R56" i="11" s="1"/>
  <c r="R55" i="11" s="1"/>
  <c r="R50" i="11"/>
  <c r="R49" i="11" s="1"/>
  <c r="R48" i="11" s="1"/>
  <c r="R46" i="11"/>
  <c r="R45" i="11" s="1"/>
  <c r="R42" i="11"/>
  <c r="R39" i="11"/>
  <c r="R37" i="11"/>
  <c r="R35" i="11"/>
  <c r="R32" i="11"/>
  <c r="R27" i="11"/>
  <c r="R26" i="11" s="1"/>
  <c r="R25" i="11" s="1"/>
  <c r="Q544" i="11"/>
  <c r="Q542" i="11"/>
  <c r="Q539" i="11"/>
  <c r="Q538" i="11" s="1"/>
  <c r="Q536" i="11"/>
  <c r="Q535" i="11" s="1"/>
  <c r="Q533" i="11"/>
  <c r="Q532" i="11" s="1"/>
  <c r="Q530" i="11"/>
  <c r="Q529" i="11" s="1"/>
  <c r="Q527" i="11"/>
  <c r="Q525" i="11"/>
  <c r="Q522" i="11"/>
  <c r="Q521" i="11" s="1"/>
  <c r="Q519" i="11"/>
  <c r="Q517" i="11"/>
  <c r="Q515" i="11"/>
  <c r="Q514" i="11" s="1"/>
  <c r="Q513" i="11" s="1"/>
  <c r="Q509" i="11"/>
  <c r="Q508" i="11" s="1"/>
  <c r="Q503" i="11"/>
  <c r="Q502" i="11" s="1"/>
  <c r="Q500" i="11"/>
  <c r="Q499" i="11" s="1"/>
  <c r="Q497" i="11"/>
  <c r="Q496" i="11" s="1"/>
  <c r="Q494" i="11"/>
  <c r="Q493" i="11" s="1"/>
  <c r="Q491" i="11"/>
  <c r="Q490" i="11" s="1"/>
  <c r="Q488" i="11"/>
  <c r="Q486" i="11"/>
  <c r="Q483" i="11"/>
  <c r="Q480" i="11" s="1"/>
  <c r="Q479" i="11" s="1"/>
  <c r="Q477" i="11"/>
  <c r="Q476" i="11" s="1"/>
  <c r="Q474" i="11"/>
  <c r="Q473" i="11" s="1"/>
  <c r="Q468" i="11"/>
  <c r="Q467" i="11" s="1"/>
  <c r="Q465" i="11"/>
  <c r="Q464" i="11" s="1"/>
  <c r="Q462" i="11"/>
  <c r="Q461" i="11" s="1"/>
  <c r="Q455" i="11"/>
  <c r="Q450" i="11"/>
  <c r="Q449" i="11" s="1"/>
  <c r="Q444" i="11"/>
  <c r="Q443" i="11" s="1"/>
  <c r="Q435" i="11"/>
  <c r="Q433" i="11"/>
  <c r="Q431" i="11"/>
  <c r="Q429" i="11"/>
  <c r="Q428" i="11" s="1"/>
  <c r="Q427" i="11" s="1"/>
  <c r="Q424" i="11"/>
  <c r="Q423" i="11" s="1"/>
  <c r="Q422" i="11" s="1"/>
  <c r="Q421" i="11"/>
  <c r="Q420" i="11" s="1"/>
  <c r="Q419" i="11" s="1"/>
  <c r="Q418" i="11" s="1"/>
  <c r="Q417" i="11" s="1"/>
  <c r="Q415" i="11"/>
  <c r="Q414" i="11" s="1"/>
  <c r="Q413" i="11" s="1"/>
  <c r="Q412" i="11" s="1"/>
  <c r="Q410" i="11"/>
  <c r="Q407" i="11" s="1"/>
  <c r="Q401" i="11"/>
  <c r="Q400" i="11" s="1"/>
  <c r="Q398" i="11"/>
  <c r="Q396" i="11" s="1"/>
  <c r="Q394" i="11"/>
  <c r="Q393" i="11" s="1"/>
  <c r="Q391" i="11"/>
  <c r="Q390" i="11" s="1"/>
  <c r="Q389" i="11" s="1"/>
  <c r="Q388" i="11" s="1"/>
  <c r="Q386" i="11"/>
  <c r="Q385" i="11" s="1"/>
  <c r="Q381" i="11"/>
  <c r="Q380" i="11" s="1"/>
  <c r="Q378" i="11"/>
  <c r="Q377" i="11" s="1"/>
  <c r="Q376" i="11"/>
  <c r="Q371" i="11"/>
  <c r="Q369" i="11"/>
  <c r="Q365" i="11"/>
  <c r="Q364" i="11"/>
  <c r="Q360" i="11"/>
  <c r="Q355" i="11"/>
  <c r="Q354" i="11" s="1"/>
  <c r="Q353" i="11" s="1"/>
  <c r="Q352" i="11" s="1"/>
  <c r="Q343" i="11"/>
  <c r="Q342" i="11" s="1"/>
  <c r="Q341" i="11" s="1"/>
  <c r="Q340" i="11" s="1"/>
  <c r="Q335" i="11"/>
  <c r="Q334" i="11" s="1"/>
  <c r="Q333" i="11" s="1"/>
  <c r="Q332" i="11" s="1"/>
  <c r="Q330" i="11"/>
  <c r="Q329" i="11" s="1"/>
  <c r="Q328" i="11" s="1"/>
  <c r="Q327" i="11" s="1"/>
  <c r="Q311" i="11"/>
  <c r="Q310" i="11" s="1"/>
  <c r="Q308" i="11"/>
  <c r="Q307" i="11" s="1"/>
  <c r="Q302" i="11"/>
  <c r="Q299" i="11"/>
  <c r="Q296" i="11"/>
  <c r="Q295" i="11" s="1"/>
  <c r="Q290" i="11"/>
  <c r="Q289" i="11" s="1"/>
  <c r="Q288" i="11" s="1"/>
  <c r="Q287" i="11" s="1"/>
  <c r="Q285" i="11"/>
  <c r="Q284" i="11" s="1"/>
  <c r="Q280" i="11" s="1"/>
  <c r="Q282" i="11"/>
  <c r="Q281" i="11" s="1"/>
  <c r="Q279" i="11"/>
  <c r="Q277" i="11"/>
  <c r="Q276" i="11" s="1"/>
  <c r="Q274" i="11"/>
  <c r="Q273" i="11" s="1"/>
  <c r="Q270" i="11"/>
  <c r="Q269" i="11" s="1"/>
  <c r="Q267" i="11"/>
  <c r="Q266" i="11" s="1"/>
  <c r="Q265" i="11"/>
  <c r="Q264" i="11" s="1"/>
  <c r="Q261" i="11"/>
  <c r="Q259" i="11" s="1"/>
  <c r="Q258" i="11" s="1"/>
  <c r="Q257" i="11" s="1"/>
  <c r="Q255" i="11"/>
  <c r="Q254" i="11" s="1"/>
  <c r="Q253" i="11" s="1"/>
  <c r="Q251" i="11"/>
  <c r="Q250" i="11" s="1"/>
  <c r="Q249" i="11" s="1"/>
  <c r="Q247" i="11"/>
  <c r="Q246" i="11" s="1"/>
  <c r="Q245" i="11" s="1"/>
  <c r="Q240" i="11"/>
  <c r="Q239" i="11" s="1"/>
  <c r="Q231" i="11"/>
  <c r="Q229" i="11"/>
  <c r="Q227" i="11"/>
  <c r="Q221" i="11"/>
  <c r="Q220" i="11" s="1"/>
  <c r="Q219" i="11" s="1"/>
  <c r="Q216" i="11" s="1"/>
  <c r="Q208" i="11"/>
  <c r="Q207" i="11" s="1"/>
  <c r="Q202" i="11"/>
  <c r="Q200" i="11" s="1"/>
  <c r="Q199" i="11" s="1"/>
  <c r="Q201" i="11"/>
  <c r="Q196" i="11"/>
  <c r="Q195" i="11" s="1"/>
  <c r="Q194" i="11" s="1"/>
  <c r="Q183" i="11"/>
  <c r="Q182" i="11" s="1"/>
  <c r="Q179" i="11"/>
  <c r="Q178" i="11" s="1"/>
  <c r="Q171" i="11"/>
  <c r="Q170" i="11" s="1"/>
  <c r="Q168" i="11"/>
  <c r="Q167" i="11" s="1"/>
  <c r="Q163" i="11"/>
  <c r="Q162" i="11" s="1"/>
  <c r="Q161" i="11" s="1"/>
  <c r="Q160" i="11" s="1"/>
  <c r="Q158" i="11"/>
  <c r="Q156" i="11" s="1"/>
  <c r="Q155" i="11" s="1"/>
  <c r="Q154" i="11" s="1"/>
  <c r="Q153" i="11" s="1"/>
  <c r="Q150" i="11"/>
  <c r="Q147" i="11" s="1"/>
  <c r="Q146" i="11" s="1"/>
  <c r="Q145" i="11" s="1"/>
  <c r="Q144" i="11" s="1"/>
  <c r="Q142" i="11"/>
  <c r="Q141" i="11" s="1"/>
  <c r="Q140" i="11" s="1"/>
  <c r="Q139" i="11" s="1"/>
  <c r="Q138" i="11"/>
  <c r="Q137" i="11" s="1"/>
  <c r="Q136" i="11"/>
  <c r="Q135" i="11" s="1"/>
  <c r="Q132" i="11"/>
  <c r="Q131" i="11" s="1"/>
  <c r="Q126" i="11"/>
  <c r="Q125" i="11" s="1"/>
  <c r="Q119" i="11"/>
  <c r="Q118" i="11" s="1"/>
  <c r="Q115" i="11"/>
  <c r="Q113" i="11"/>
  <c r="Q103" i="11"/>
  <c r="Q101" i="11"/>
  <c r="Q99" i="11"/>
  <c r="Q96" i="11"/>
  <c r="Q94" i="11" s="1"/>
  <c r="Q91" i="11"/>
  <c r="Q90" i="11" s="1"/>
  <c r="Q88" i="11"/>
  <c r="Q87" i="11" s="1"/>
  <c r="Q86" i="11" s="1"/>
  <c r="Q78" i="11"/>
  <c r="Q77" i="11" s="1"/>
  <c r="Q75" i="11"/>
  <c r="Q73" i="11"/>
  <c r="Q66" i="11"/>
  <c r="Q65" i="11" s="1"/>
  <c r="Q64" i="11" s="1"/>
  <c r="Q61" i="11"/>
  <c r="Q60" i="11" s="1"/>
  <c r="Q59" i="11" s="1"/>
  <c r="Q57" i="11"/>
  <c r="Q56" i="11" s="1"/>
  <c r="Q55" i="11" s="1"/>
  <c r="Q50" i="11"/>
  <c r="Q49" i="11" s="1"/>
  <c r="Q48" i="11" s="1"/>
  <c r="Q46" i="11"/>
  <c r="Q45" i="11" s="1"/>
  <c r="Q42" i="11"/>
  <c r="Q39" i="11"/>
  <c r="Q37" i="11"/>
  <c r="Q35" i="11"/>
  <c r="Q32" i="11"/>
  <c r="Q27" i="11"/>
  <c r="Q26" i="11" s="1"/>
  <c r="Q25" i="11" s="1"/>
  <c r="R298" i="11" l="1"/>
  <c r="Q134" i="11"/>
  <c r="N317" i="12"/>
  <c r="N316" i="12" s="1"/>
  <c r="Q166" i="11"/>
  <c r="Q351" i="11"/>
  <c r="R134" i="11"/>
  <c r="R130" i="11" s="1"/>
  <c r="N342" i="12"/>
  <c r="N338" i="12" s="1"/>
  <c r="N337" i="12" s="1"/>
  <c r="N336" i="12" s="1"/>
  <c r="N327" i="12" s="1"/>
  <c r="N369" i="12"/>
  <c r="N368" i="12" s="1"/>
  <c r="N367" i="12" s="1"/>
  <c r="N366" i="12" s="1"/>
  <c r="N365" i="12" s="1"/>
  <c r="N364" i="12" s="1"/>
  <c r="N363" i="12" s="1"/>
  <c r="Q206" i="11"/>
  <c r="Q204" i="11" s="1"/>
  <c r="R98" i="11"/>
  <c r="R93" i="11" s="1"/>
  <c r="U204" i="12"/>
  <c r="U203" i="12" s="1"/>
  <c r="U202" i="12" s="1"/>
  <c r="R485" i="11"/>
  <c r="R516" i="11"/>
  <c r="Q31" i="11"/>
  <c r="Q30" i="11" s="1"/>
  <c r="Q21" i="11" s="1"/>
  <c r="Q516" i="11"/>
  <c r="U300" i="12"/>
  <c r="Q112" i="11"/>
  <c r="Q106" i="11" s="1"/>
  <c r="Q485" i="11"/>
  <c r="R117" i="11"/>
  <c r="R226" i="11"/>
  <c r="R225" i="11" s="1"/>
  <c r="R224" i="11" s="1"/>
  <c r="R223" i="11" s="1"/>
  <c r="N91" i="12"/>
  <c r="U253" i="12"/>
  <c r="U369" i="12"/>
  <c r="U368" i="12" s="1"/>
  <c r="U367" i="12" s="1"/>
  <c r="U366" i="12" s="1"/>
  <c r="U365" i="12" s="1"/>
  <c r="U364" i="12" s="1"/>
  <c r="U363" i="12" s="1"/>
  <c r="Q98" i="11"/>
  <c r="Q93" i="11" s="1"/>
  <c r="R31" i="11"/>
  <c r="R30" i="11" s="1"/>
  <c r="R21" i="11" s="1"/>
  <c r="Q72" i="11"/>
  <c r="Q71" i="11" s="1"/>
  <c r="Q70" i="11" s="1"/>
  <c r="Q69" i="11" s="1"/>
  <c r="Q117" i="11"/>
  <c r="Q226" i="11"/>
  <c r="Q298" i="11"/>
  <c r="Q294" i="11" s="1"/>
  <c r="Q293" i="11" s="1"/>
  <c r="Q541" i="11"/>
  <c r="R72" i="11"/>
  <c r="R71" i="11" s="1"/>
  <c r="R70" i="11" s="1"/>
  <c r="R69" i="11" s="1"/>
  <c r="R112" i="11"/>
  <c r="R106" i="11" s="1"/>
  <c r="R294" i="11"/>
  <c r="R293" i="11" s="1"/>
  <c r="R351" i="11"/>
  <c r="R541" i="11"/>
  <c r="U120" i="12"/>
  <c r="U119" i="12" s="1"/>
  <c r="U249" i="12"/>
  <c r="N300" i="12"/>
  <c r="R175" i="11"/>
  <c r="R174" i="11" s="1"/>
  <c r="Q225" i="11"/>
  <c r="Q224" i="11" s="1"/>
  <c r="N120" i="12"/>
  <c r="N119" i="12" s="1"/>
  <c r="N164" i="12"/>
  <c r="N160" i="12" s="1"/>
  <c r="N159" i="12" s="1"/>
  <c r="N296" i="12"/>
  <c r="N295" i="12" s="1"/>
  <c r="N287" i="12" s="1"/>
  <c r="N286" i="12" s="1"/>
  <c r="U296" i="12"/>
  <c r="U295" i="12" s="1"/>
  <c r="U287" i="12" s="1"/>
  <c r="U286" i="12" s="1"/>
  <c r="N245" i="12"/>
  <c r="N242" i="12" s="1"/>
  <c r="N241" i="12" s="1"/>
  <c r="N258" i="12"/>
  <c r="U263" i="12"/>
  <c r="U258" i="12" s="1"/>
  <c r="U342" i="12"/>
  <c r="U338" i="12" s="1"/>
  <c r="U337" i="12" s="1"/>
  <c r="U336" i="12" s="1"/>
  <c r="U327" i="12" s="1"/>
  <c r="N253" i="12"/>
  <c r="U164" i="12"/>
  <c r="U160" i="12" s="1"/>
  <c r="U159" i="12" s="1"/>
  <c r="U91" i="12"/>
  <c r="R85" i="11"/>
  <c r="R84" i="11" s="1"/>
  <c r="N183" i="12"/>
  <c r="N182" i="12" s="1"/>
  <c r="N181" i="12" s="1"/>
  <c r="N176" i="12" s="1"/>
  <c r="U183" i="12"/>
  <c r="U182" i="12" s="1"/>
  <c r="U181" i="12" s="1"/>
  <c r="U279" i="12"/>
  <c r="U278" i="12" s="1"/>
  <c r="U277" i="12" s="1"/>
  <c r="U276" i="12" s="1"/>
  <c r="N279" i="12"/>
  <c r="N278" i="12" s="1"/>
  <c r="N277" i="12" s="1"/>
  <c r="N276" i="12" s="1"/>
  <c r="U212" i="12"/>
  <c r="U176" i="12"/>
  <c r="U142" i="12" s="1"/>
  <c r="U154" i="12"/>
  <c r="U153" i="12" s="1"/>
  <c r="U144" i="12" s="1"/>
  <c r="N154" i="12"/>
  <c r="N153" i="12" s="1"/>
  <c r="N144" i="12" s="1"/>
  <c r="N58" i="12"/>
  <c r="N57" i="12" s="1"/>
  <c r="N56" i="12" s="1"/>
  <c r="N55" i="12" s="1"/>
  <c r="U58" i="12"/>
  <c r="U57" i="12" s="1"/>
  <c r="U56" i="12" s="1"/>
  <c r="U55" i="12" s="1"/>
  <c r="Q524" i="11"/>
  <c r="R350" i="11"/>
  <c r="R430" i="11"/>
  <c r="Q430" i="11"/>
  <c r="Q326" i="11"/>
  <c r="R306" i="11"/>
  <c r="R305" i="11" s="1"/>
  <c r="Q306" i="11"/>
  <c r="Q305" i="11" s="1"/>
  <c r="Q263" i="11"/>
  <c r="R263" i="11"/>
  <c r="Q244" i="11"/>
  <c r="Q243" i="11" s="1"/>
  <c r="R206" i="11"/>
  <c r="R204" i="11" s="1"/>
  <c r="R191" i="11"/>
  <c r="Q191" i="11"/>
  <c r="U35" i="12"/>
  <c r="U34" i="12" s="1"/>
  <c r="U317" i="12"/>
  <c r="U316" i="12" s="1"/>
  <c r="U309" i="12" s="1"/>
  <c r="U192" i="12"/>
  <c r="U137" i="12"/>
  <c r="U117" i="12"/>
  <c r="U116" i="12" s="1"/>
  <c r="N137" i="12"/>
  <c r="N117" i="12"/>
  <c r="N116" i="12" s="1"/>
  <c r="N192" i="12"/>
  <c r="N212" i="12"/>
  <c r="N309" i="12"/>
  <c r="N143" i="12"/>
  <c r="N248" i="12"/>
  <c r="R152" i="11"/>
  <c r="R166" i="11"/>
  <c r="R244" i="11"/>
  <c r="R243" i="11" s="1"/>
  <c r="R326" i="11"/>
  <c r="R238" i="11"/>
  <c r="R237" i="11"/>
  <c r="R233" i="11" s="1"/>
  <c r="R442" i="11"/>
  <c r="R441" i="11" s="1"/>
  <c r="Q238" i="11"/>
  <c r="Q237" i="11"/>
  <c r="Q233" i="11" s="1"/>
  <c r="Q223" i="11"/>
  <c r="Q152" i="11"/>
  <c r="Q85" i="11"/>
  <c r="Q84" i="11" s="1"/>
  <c r="Q130" i="11"/>
  <c r="Q175" i="11"/>
  <c r="R173" i="11" l="1"/>
  <c r="Q105" i="11"/>
  <c r="R105" i="11"/>
  <c r="U252" i="12"/>
  <c r="U247" i="12" s="1"/>
  <c r="U54" i="12"/>
  <c r="N21" i="12"/>
  <c r="N19" i="12" s="1"/>
  <c r="Q83" i="11"/>
  <c r="R83" i="11"/>
  <c r="U191" i="12"/>
  <c r="N252" i="12"/>
  <c r="N247" i="12" s="1"/>
  <c r="N191" i="12"/>
  <c r="R20" i="11"/>
  <c r="R11" i="11" s="1"/>
  <c r="N142" i="12"/>
  <c r="U21" i="12"/>
  <c r="U19" i="12" s="1"/>
  <c r="N54" i="12"/>
  <c r="Q442" i="11"/>
  <c r="Q441" i="11" s="1"/>
  <c r="Q350" i="11"/>
  <c r="U136" i="12"/>
  <c r="U135" i="12"/>
  <c r="N136" i="12"/>
  <c r="N135" i="12"/>
  <c r="R215" i="11"/>
  <c r="R190" i="11" s="1"/>
  <c r="Q174" i="11"/>
  <c r="Q173" i="11"/>
  <c r="Q215" i="11"/>
  <c r="Q190" i="11" s="1"/>
  <c r="U53" i="12" l="1"/>
  <c r="Q20" i="11"/>
  <c r="Q11" i="11" s="1"/>
  <c r="N53" i="12"/>
  <c r="N20" i="12"/>
  <c r="N18" i="12" s="1"/>
  <c r="U20" i="12"/>
  <c r="U18" i="12" s="1"/>
  <c r="R189" i="11"/>
  <c r="Q189" i="11"/>
  <c r="O492" i="13" l="1"/>
  <c r="L134" i="14"/>
  <c r="K134" i="14"/>
  <c r="L153" i="14"/>
  <c r="K153" i="14"/>
  <c r="H156" i="12"/>
  <c r="H175" i="12"/>
  <c r="P280" i="13"/>
  <c r="O280" i="13"/>
  <c r="P492" i="13"/>
  <c r="L249" i="14"/>
  <c r="K249" i="14"/>
  <c r="H301" i="12"/>
  <c r="P498" i="13"/>
  <c r="O498" i="13"/>
  <c r="H290" i="12" l="1"/>
  <c r="H300" i="12"/>
  <c r="N364" i="11"/>
  <c r="N371" i="11"/>
  <c r="P480" i="13" l="1"/>
  <c r="P479" i="13" s="1"/>
  <c r="O480" i="13"/>
  <c r="O479" i="13" s="1"/>
  <c r="P491" i="13"/>
  <c r="P490" i="13" s="1"/>
  <c r="O491" i="13"/>
  <c r="O490" i="13" s="1"/>
  <c r="P190" i="13" l="1"/>
  <c r="O190" i="13"/>
  <c r="P497" i="13"/>
  <c r="P496" i="13" s="1"/>
  <c r="P494" i="13" l="1"/>
  <c r="P493" i="13" s="1"/>
  <c r="P328" i="13"/>
  <c r="P410" i="13"/>
  <c r="O205" i="14"/>
  <c r="M205" i="14"/>
  <c r="L329" i="14" l="1"/>
  <c r="L328" i="14" s="1"/>
  <c r="L327" i="14" s="1"/>
  <c r="L326" i="14" s="1"/>
  <c r="L325" i="14" s="1"/>
  <c r="K329" i="14"/>
  <c r="K328" i="14" s="1"/>
  <c r="K199" i="14"/>
  <c r="L333" i="14" l="1"/>
  <c r="L206" i="14"/>
  <c r="N313" i="11"/>
  <c r="L195" i="11"/>
  <c r="L194" i="11" s="1"/>
  <c r="M195" i="11"/>
  <c r="M194" i="11" s="1"/>
  <c r="J196" i="11"/>
  <c r="J195" i="11" s="1"/>
  <c r="J194" i="11" s="1"/>
  <c r="N196" i="11"/>
  <c r="N195" i="11" s="1"/>
  <c r="N194" i="11" s="1"/>
  <c r="O196" i="11"/>
  <c r="O195" i="11" s="1"/>
  <c r="O194" i="11" s="1"/>
  <c r="P196" i="11"/>
  <c r="P195" i="11" s="1"/>
  <c r="P194" i="11" s="1"/>
  <c r="O235" i="14" l="1"/>
  <c r="M255" i="14"/>
  <c r="M235" i="14" s="1"/>
  <c r="O167" i="14"/>
  <c r="M167" i="14"/>
  <c r="O134" i="14"/>
  <c r="O183" i="14" l="1"/>
  <c r="M163" i="14"/>
  <c r="H97" i="12" l="1"/>
  <c r="K97" i="12"/>
  <c r="K96" i="12"/>
  <c r="H96" i="12" s="1"/>
  <c r="K307" i="12" l="1"/>
  <c r="K288" i="12" s="1"/>
  <c r="H240" i="12"/>
  <c r="H143" i="12"/>
  <c r="V36" i="4" l="1"/>
  <c r="W48" i="4" l="1"/>
  <c r="V48" i="4"/>
  <c r="W36" i="4"/>
  <c r="W34" i="4" s="1"/>
  <c r="V50" i="4"/>
  <c r="W98" i="4"/>
  <c r="V98" i="4"/>
  <c r="W94" i="4"/>
  <c r="V94" i="4"/>
  <c r="W38" i="4"/>
  <c r="W41" i="4"/>
  <c r="W51" i="4"/>
  <c r="W57" i="4"/>
  <c r="W76" i="4"/>
  <c r="W82" i="4"/>
  <c r="V82" i="4"/>
  <c r="V76" i="4"/>
  <c r="V57" i="4"/>
  <c r="V51" i="4"/>
  <c r="V41" i="4"/>
  <c r="V38" i="4"/>
  <c r="V34" i="4"/>
  <c r="K36" i="4"/>
  <c r="W102" i="4"/>
  <c r="V102" i="4"/>
  <c r="K102" i="4"/>
  <c r="O121" i="14"/>
  <c r="M183" i="14"/>
  <c r="O207" i="14"/>
  <c r="M211" i="14"/>
  <c r="M207" i="14" s="1"/>
  <c r="M121" i="14"/>
  <c r="O98" i="14"/>
  <c r="M98" i="14"/>
  <c r="O114" i="14"/>
  <c r="M114" i="14"/>
  <c r="M87" i="14"/>
  <c r="O18" i="14"/>
  <c r="M18" i="14"/>
  <c r="H329" i="14"/>
  <c r="H328" i="14" s="1"/>
  <c r="H327" i="14" s="1"/>
  <c r="H326" i="14" s="1"/>
  <c r="H325" i="14" s="1"/>
  <c r="O47" i="14"/>
  <c r="M47" i="14"/>
  <c r="O23" i="14"/>
  <c r="M23" i="14"/>
  <c r="K60" i="12"/>
  <c r="K61" i="12"/>
  <c r="L55" i="12"/>
  <c r="K40" i="12"/>
  <c r="O20" i="14" l="1"/>
  <c r="O17" i="14" s="1"/>
  <c r="M20" i="14"/>
  <c r="M17" i="14" s="1"/>
  <c r="W45" i="4"/>
  <c r="W32" i="4" s="1"/>
  <c r="W116" i="4" s="1"/>
  <c r="V45" i="4"/>
  <c r="V32" i="4" s="1"/>
  <c r="V116" i="4" s="1"/>
  <c r="K246" i="12" l="1"/>
  <c r="K241" i="12" s="1"/>
  <c r="K218" i="12"/>
  <c r="K213" i="12"/>
  <c r="K183" i="12"/>
  <c r="K177" i="12"/>
  <c r="K145" i="12"/>
  <c r="K139" i="12"/>
  <c r="K118" i="12"/>
  <c r="K72" i="12" l="1"/>
  <c r="K55" i="12" s="1"/>
  <c r="M55" i="12" s="1"/>
  <c r="K33" i="12"/>
  <c r="K21" i="12" l="1"/>
  <c r="K18" i="12" s="1"/>
  <c r="K28" i="12"/>
  <c r="L28" i="12" s="1"/>
  <c r="L248" i="14"/>
  <c r="L246" i="14"/>
  <c r="K246" i="14"/>
  <c r="K248" i="14"/>
  <c r="O497" i="13"/>
  <c r="O496" i="13" s="1"/>
  <c r="O494" i="13" s="1"/>
  <c r="O493" i="13" s="1"/>
  <c r="N497" i="13"/>
  <c r="N496" i="13" s="1"/>
  <c r="N494" i="13"/>
  <c r="N493" i="13" s="1"/>
  <c r="M494" i="13"/>
  <c r="M493" i="13" s="1"/>
  <c r="N536" i="11"/>
  <c r="N535" i="11" s="1"/>
  <c r="H213" i="14"/>
  <c r="H212" i="14" s="1"/>
  <c r="H206" i="14" s="1"/>
  <c r="H208" i="14"/>
  <c r="H207" i="14" s="1"/>
  <c r="H267" i="12"/>
  <c r="H266" i="12" s="1"/>
  <c r="H272" i="12"/>
  <c r="H271" i="12" s="1"/>
  <c r="H265" i="12" s="1"/>
  <c r="P326" i="13"/>
  <c r="P325" i="13" s="1"/>
  <c r="P324" i="13" s="1"/>
  <c r="P323" i="13" s="1"/>
  <c r="O326" i="13"/>
  <c r="O325" i="13" s="1"/>
  <c r="O324" i="13" s="1"/>
  <c r="O323" i="13" s="1"/>
  <c r="P321" i="13"/>
  <c r="P320" i="13" s="1"/>
  <c r="P319" i="13" s="1"/>
  <c r="P318" i="13" s="1"/>
  <c r="O321" i="13"/>
  <c r="O320" i="13" s="1"/>
  <c r="O319" i="13" s="1"/>
  <c r="O318" i="13" s="1"/>
  <c r="N326" i="13"/>
  <c r="N325" i="13" s="1"/>
  <c r="N324" i="13" s="1"/>
  <c r="N323" i="13" s="1"/>
  <c r="N321" i="13"/>
  <c r="N320" i="13" s="1"/>
  <c r="N319" i="13" s="1"/>
  <c r="N318" i="13" s="1"/>
  <c r="N330" i="11"/>
  <c r="N329" i="11" s="1"/>
  <c r="N328" i="11" s="1"/>
  <c r="N327" i="11" s="1"/>
  <c r="N324" i="11"/>
  <c r="N323" i="11" s="1"/>
  <c r="N322" i="11" s="1"/>
  <c r="N321" i="11" s="1"/>
  <c r="N320" i="11" s="1"/>
  <c r="O328" i="13" l="1"/>
  <c r="O189" i="13" s="1"/>
  <c r="O410" i="13"/>
  <c r="K245" i="14"/>
  <c r="K244" i="14" s="1"/>
  <c r="K243" i="14" s="1"/>
  <c r="P317" i="13"/>
  <c r="L245" i="14"/>
  <c r="L244" i="14" s="1"/>
  <c r="L243" i="14" s="1"/>
  <c r="O317" i="13"/>
  <c r="N317" i="13"/>
  <c r="L322" i="14" l="1"/>
  <c r="L321" i="14" s="1"/>
  <c r="L320" i="14" s="1"/>
  <c r="L319" i="14" s="1"/>
  <c r="L318" i="14" s="1"/>
  <c r="K322" i="14"/>
  <c r="K321" i="14" s="1"/>
  <c r="K320" i="14" s="1"/>
  <c r="K319" i="14" s="1"/>
  <c r="K318" i="14" s="1"/>
  <c r="J322" i="14"/>
  <c r="J321" i="14" s="1"/>
  <c r="J320" i="14" s="1"/>
  <c r="J319" i="14" s="1"/>
  <c r="J318" i="14" s="1"/>
  <c r="I322" i="14"/>
  <c r="I321" i="14" s="1"/>
  <c r="I320" i="14" s="1"/>
  <c r="I319" i="14" s="1"/>
  <c r="I318" i="14" s="1"/>
  <c r="H322" i="14"/>
  <c r="H321" i="14" s="1"/>
  <c r="H320" i="14" s="1"/>
  <c r="H319" i="14" s="1"/>
  <c r="H318" i="14" s="1"/>
  <c r="J315" i="14"/>
  <c r="J314" i="14" s="1"/>
  <c r="J313" i="14" s="1"/>
  <c r="J312" i="14" s="1"/>
  <c r="J311" i="14" s="1"/>
  <c r="J310" i="14" s="1"/>
  <c r="I315" i="14"/>
  <c r="I314" i="14" s="1"/>
  <c r="I313" i="14" s="1"/>
  <c r="I312" i="14" s="1"/>
  <c r="I311" i="14" s="1"/>
  <c r="I310" i="14" s="1"/>
  <c r="L314" i="14"/>
  <c r="L313" i="14" s="1"/>
  <c r="L312" i="14" s="1"/>
  <c r="L311" i="14" s="1"/>
  <c r="L310" i="14" s="1"/>
  <c r="K314" i="14"/>
  <c r="K313" i="14" s="1"/>
  <c r="K312" i="14" s="1"/>
  <c r="K311" i="14" s="1"/>
  <c r="K310" i="14" s="1"/>
  <c r="H314" i="14"/>
  <c r="H313" i="14" s="1"/>
  <c r="H312" i="14" s="1"/>
  <c r="H311" i="14" s="1"/>
  <c r="H310" i="14" s="1"/>
  <c r="L306" i="14"/>
  <c r="L305" i="14" s="1"/>
  <c r="L304" i="14" s="1"/>
  <c r="K306" i="14"/>
  <c r="K305" i="14" s="1"/>
  <c r="K304" i="14" s="1"/>
  <c r="J306" i="14"/>
  <c r="J305" i="14" s="1"/>
  <c r="J304" i="14" s="1"/>
  <c r="I306" i="14"/>
  <c r="I305" i="14" s="1"/>
  <c r="I304" i="14" s="1"/>
  <c r="H306" i="14"/>
  <c r="H305" i="14" s="1"/>
  <c r="H304" i="14" s="1"/>
  <c r="L302" i="14"/>
  <c r="L301" i="14" s="1"/>
  <c r="K302" i="14"/>
  <c r="J302" i="14"/>
  <c r="J301" i="14" s="1"/>
  <c r="I302" i="14"/>
  <c r="I301" i="14" s="1"/>
  <c r="H302" i="14"/>
  <c r="H301" i="14" s="1"/>
  <c r="K301" i="14"/>
  <c r="J300" i="14"/>
  <c r="I300" i="14"/>
  <c r="I299" i="14" s="1"/>
  <c r="I298" i="14" s="1"/>
  <c r="L299" i="14"/>
  <c r="L298" i="14" s="1"/>
  <c r="K299" i="14"/>
  <c r="K298" i="14" s="1"/>
  <c r="K297" i="14" s="1"/>
  <c r="J299" i="14"/>
  <c r="J298" i="14" s="1"/>
  <c r="H299" i="14"/>
  <c r="H298" i="14" s="1"/>
  <c r="L295" i="14"/>
  <c r="K295" i="14"/>
  <c r="J295" i="14"/>
  <c r="I295" i="14"/>
  <c r="H295" i="14"/>
  <c r="L293" i="14"/>
  <c r="K293" i="14"/>
  <c r="J293" i="14"/>
  <c r="I293" i="14"/>
  <c r="H293" i="14"/>
  <c r="L290" i="14"/>
  <c r="L289" i="14" s="1"/>
  <c r="K290" i="14"/>
  <c r="K289" i="14" s="1"/>
  <c r="J290" i="14"/>
  <c r="J289" i="14" s="1"/>
  <c r="I290" i="14"/>
  <c r="I289" i="14" s="1"/>
  <c r="H290" i="14"/>
  <c r="H289" i="14" s="1"/>
  <c r="J284" i="14"/>
  <c r="I284" i="14"/>
  <c r="J283" i="14"/>
  <c r="I283" i="14"/>
  <c r="L282" i="14"/>
  <c r="L281" i="14" s="1"/>
  <c r="L280" i="14" s="1"/>
  <c r="L279" i="14" s="1"/>
  <c r="L278" i="14" s="1"/>
  <c r="K282" i="14"/>
  <c r="K281" i="14" s="1"/>
  <c r="K280" i="14" s="1"/>
  <c r="K279" i="14" s="1"/>
  <c r="K278" i="14" s="1"/>
  <c r="H282" i="14"/>
  <c r="H281" i="14" s="1"/>
  <c r="H280" i="14" s="1"/>
  <c r="H279" i="14" s="1"/>
  <c r="H278" i="14" s="1"/>
  <c r="L273" i="14"/>
  <c r="L272" i="14" s="1"/>
  <c r="L271" i="14" s="1"/>
  <c r="L270" i="14" s="1"/>
  <c r="L269" i="14" s="1"/>
  <c r="K273" i="14"/>
  <c r="K272" i="14" s="1"/>
  <c r="K271" i="14" s="1"/>
  <c r="K270" i="14" s="1"/>
  <c r="K269" i="14" s="1"/>
  <c r="J273" i="14"/>
  <c r="J272" i="14" s="1"/>
  <c r="J271" i="14" s="1"/>
  <c r="J270" i="14" s="1"/>
  <c r="J269" i="14" s="1"/>
  <c r="I273" i="14"/>
  <c r="I272" i="14" s="1"/>
  <c r="I271" i="14" s="1"/>
  <c r="I270" i="14" s="1"/>
  <c r="I269" i="14" s="1"/>
  <c r="H273" i="14"/>
  <c r="H272" i="14" s="1"/>
  <c r="H271" i="14" s="1"/>
  <c r="H270" i="14" s="1"/>
  <c r="H269" i="14" s="1"/>
  <c r="L267" i="14"/>
  <c r="L266" i="14" s="1"/>
  <c r="L265" i="14" s="1"/>
  <c r="L264" i="14" s="1"/>
  <c r="L263" i="14" s="1"/>
  <c r="K267" i="14"/>
  <c r="K266" i="14" s="1"/>
  <c r="K265" i="14" s="1"/>
  <c r="K264" i="14" s="1"/>
  <c r="K263" i="14" s="1"/>
  <c r="J267" i="14"/>
  <c r="I267" i="14"/>
  <c r="I266" i="14" s="1"/>
  <c r="I265" i="14" s="1"/>
  <c r="I264" i="14" s="1"/>
  <c r="I263" i="14" s="1"/>
  <c r="H267" i="14"/>
  <c r="H266" i="14" s="1"/>
  <c r="H265" i="14" s="1"/>
  <c r="H264" i="14" s="1"/>
  <c r="H263" i="14" s="1"/>
  <c r="J266" i="14"/>
  <c r="J265" i="14" s="1"/>
  <c r="J264" i="14" s="1"/>
  <c r="J263" i="14" s="1"/>
  <c r="L260" i="14"/>
  <c r="K260" i="14"/>
  <c r="J260" i="14"/>
  <c r="I260" i="14"/>
  <c r="H260" i="14"/>
  <c r="L258" i="14"/>
  <c r="K258" i="14"/>
  <c r="J258" i="14"/>
  <c r="I258" i="14"/>
  <c r="H258" i="14"/>
  <c r="L254" i="14"/>
  <c r="L253" i="14" s="1"/>
  <c r="L252" i="14" s="1"/>
  <c r="L251" i="14" s="1"/>
  <c r="L250" i="14" s="1"/>
  <c r="K254" i="14"/>
  <c r="J254" i="14"/>
  <c r="J253" i="14" s="1"/>
  <c r="J252" i="14" s="1"/>
  <c r="J251" i="14" s="1"/>
  <c r="J250" i="14" s="1"/>
  <c r="I254" i="14"/>
  <c r="I253" i="14" s="1"/>
  <c r="I252" i="14" s="1"/>
  <c r="I251" i="14" s="1"/>
  <c r="I250" i="14" s="1"/>
  <c r="H254" i="14"/>
  <c r="H253" i="14" s="1"/>
  <c r="H252" i="14" s="1"/>
  <c r="H251" i="14" s="1"/>
  <c r="H250" i="14" s="1"/>
  <c r="K253" i="14"/>
  <c r="K252" i="14" s="1"/>
  <c r="K251" i="14" s="1"/>
  <c r="K250" i="14" s="1"/>
  <c r="J240" i="14"/>
  <c r="J239" i="14" s="1"/>
  <c r="J238" i="14" s="1"/>
  <c r="J237" i="14" s="1"/>
  <c r="J236" i="14" s="1"/>
  <c r="J235" i="14" s="1"/>
  <c r="J234" i="14" s="1"/>
  <c r="I240" i="14"/>
  <c r="I239" i="14" s="1"/>
  <c r="I238" i="14" s="1"/>
  <c r="I237" i="14" s="1"/>
  <c r="I236" i="14" s="1"/>
  <c r="I235" i="14" s="1"/>
  <c r="L239" i="14"/>
  <c r="L238" i="14" s="1"/>
  <c r="K239" i="14"/>
  <c r="K238" i="14" s="1"/>
  <c r="K237" i="14" s="1"/>
  <c r="K236" i="14" s="1"/>
  <c r="K235" i="14" s="1"/>
  <c r="H239" i="14"/>
  <c r="H238" i="14" s="1"/>
  <c r="H237" i="14" s="1"/>
  <c r="H236" i="14" s="1"/>
  <c r="H235" i="14" s="1"/>
  <c r="L232" i="14"/>
  <c r="L231" i="14" s="1"/>
  <c r="K232" i="14"/>
  <c r="K231" i="14" s="1"/>
  <c r="J232" i="14"/>
  <c r="J231" i="14" s="1"/>
  <c r="I232" i="14"/>
  <c r="I231" i="14" s="1"/>
  <c r="H232" i="14"/>
  <c r="H231" i="14" s="1"/>
  <c r="L229" i="14"/>
  <c r="L228" i="14" s="1"/>
  <c r="K229" i="14"/>
  <c r="K228" i="14" s="1"/>
  <c r="J229" i="14"/>
  <c r="J228" i="14" s="1"/>
  <c r="I229" i="14"/>
  <c r="I228" i="14" s="1"/>
  <c r="H229" i="14"/>
  <c r="H228" i="14" s="1"/>
  <c r="L222" i="14"/>
  <c r="K222" i="14"/>
  <c r="J222" i="14"/>
  <c r="I222" i="14"/>
  <c r="H222" i="14"/>
  <c r="L218" i="14"/>
  <c r="K218" i="14"/>
  <c r="J218" i="14"/>
  <c r="I218" i="14"/>
  <c r="H218" i="14"/>
  <c r="K213" i="14"/>
  <c r="K212" i="14" s="1"/>
  <c r="J215" i="14"/>
  <c r="I215" i="14"/>
  <c r="J213" i="14"/>
  <c r="I213" i="14"/>
  <c r="L209" i="14"/>
  <c r="K209" i="14"/>
  <c r="J209" i="14"/>
  <c r="J208" i="14" s="1"/>
  <c r="J207" i="14" s="1"/>
  <c r="I209" i="14"/>
  <c r="I208" i="14" s="1"/>
  <c r="I207" i="14" s="1"/>
  <c r="L204" i="14"/>
  <c r="K204" i="14"/>
  <c r="H204" i="14"/>
  <c r="L202" i="14"/>
  <c r="K202" i="14"/>
  <c r="J202" i="14"/>
  <c r="J201" i="14" s="1"/>
  <c r="J200" i="14" s="1"/>
  <c r="I202" i="14"/>
  <c r="I201" i="14" s="1"/>
  <c r="I200" i="14" s="1"/>
  <c r="H202" i="14"/>
  <c r="L197" i="14"/>
  <c r="K197" i="14"/>
  <c r="H197" i="14"/>
  <c r="J194" i="14"/>
  <c r="I194" i="14"/>
  <c r="L193" i="14"/>
  <c r="L192" i="14" s="1"/>
  <c r="L191" i="14" s="1"/>
  <c r="L190" i="14" s="1"/>
  <c r="K193" i="14"/>
  <c r="K192" i="14" s="1"/>
  <c r="K191" i="14" s="1"/>
  <c r="K190" i="14" s="1"/>
  <c r="H193" i="14"/>
  <c r="H192" i="14" s="1"/>
  <c r="H191" i="14" s="1"/>
  <c r="H190" i="14" s="1"/>
  <c r="J192" i="14"/>
  <c r="I192" i="14"/>
  <c r="L188" i="14"/>
  <c r="L186" i="14" s="1"/>
  <c r="L185" i="14" s="1"/>
  <c r="K188" i="14"/>
  <c r="K186" i="14" s="1"/>
  <c r="K185" i="14" s="1"/>
  <c r="J188" i="14"/>
  <c r="J186" i="14" s="1"/>
  <c r="J185" i="14" s="1"/>
  <c r="I188" i="14"/>
  <c r="I186" i="14" s="1"/>
  <c r="I185" i="14" s="1"/>
  <c r="H188" i="14"/>
  <c r="H186" i="14" s="1"/>
  <c r="H185" i="14" s="1"/>
  <c r="L184" i="14"/>
  <c r="K184" i="14"/>
  <c r="H184" i="14"/>
  <c r="K182" i="14"/>
  <c r="K181" i="14" s="1"/>
  <c r="K180" i="14" s="1"/>
  <c r="L182" i="14"/>
  <c r="L181" i="14" s="1"/>
  <c r="L180" i="14" s="1"/>
  <c r="J182" i="14"/>
  <c r="J181" i="14" s="1"/>
  <c r="J180" i="14" s="1"/>
  <c r="I182" i="14"/>
  <c r="I181" i="14" s="1"/>
  <c r="I180" i="14" s="1"/>
  <c r="H182" i="14"/>
  <c r="H181" i="14" s="1"/>
  <c r="H180" i="14" s="1"/>
  <c r="L177" i="14"/>
  <c r="K177" i="14"/>
  <c r="J177" i="14"/>
  <c r="I177" i="14"/>
  <c r="H177" i="14"/>
  <c r="L175" i="14"/>
  <c r="K175" i="14"/>
  <c r="J175" i="14"/>
  <c r="I175" i="14"/>
  <c r="H175" i="14"/>
  <c r="L173" i="14"/>
  <c r="K173" i="14"/>
  <c r="J173" i="14"/>
  <c r="I173" i="14"/>
  <c r="H173" i="14"/>
  <c r="K166" i="14"/>
  <c r="L166" i="14"/>
  <c r="J166" i="14"/>
  <c r="I166" i="14"/>
  <c r="H166" i="14"/>
  <c r="L164" i="14"/>
  <c r="K164" i="14"/>
  <c r="J164" i="14"/>
  <c r="I164" i="14"/>
  <c r="H164" i="14"/>
  <c r="K162" i="14"/>
  <c r="L162" i="14"/>
  <c r="J162" i="14"/>
  <c r="I162" i="14"/>
  <c r="H162" i="14"/>
  <c r="L157" i="14"/>
  <c r="L156" i="14" s="1"/>
  <c r="L155" i="14" s="1"/>
  <c r="K157" i="14"/>
  <c r="K156" i="14" s="1"/>
  <c r="K155" i="14" s="1"/>
  <c r="J157" i="14"/>
  <c r="J156" i="14" s="1"/>
  <c r="J155" i="14" s="1"/>
  <c r="I157" i="14"/>
  <c r="I156" i="14" s="1"/>
  <c r="I155" i="14" s="1"/>
  <c r="H157" i="14"/>
  <c r="H156" i="14" s="1"/>
  <c r="H155" i="14" s="1"/>
  <c r="L152" i="14"/>
  <c r="L151" i="14" s="1"/>
  <c r="L150" i="14" s="1"/>
  <c r="L149" i="14" s="1"/>
  <c r="K152" i="14"/>
  <c r="K151" i="14" s="1"/>
  <c r="K150" i="14" s="1"/>
  <c r="K149" i="14" s="1"/>
  <c r="J152" i="14"/>
  <c r="J151" i="14" s="1"/>
  <c r="J150" i="14" s="1"/>
  <c r="J149" i="14" s="1"/>
  <c r="I152" i="14"/>
  <c r="I151" i="14" s="1"/>
  <c r="I150" i="14" s="1"/>
  <c r="I149" i="14" s="1"/>
  <c r="H152" i="14"/>
  <c r="H151" i="14" s="1"/>
  <c r="H150" i="14" s="1"/>
  <c r="H149" i="14" s="1"/>
  <c r="L147" i="14"/>
  <c r="K147" i="14"/>
  <c r="J147" i="14"/>
  <c r="I147" i="14"/>
  <c r="H147" i="14"/>
  <c r="L145" i="14"/>
  <c r="K145" i="14"/>
  <c r="J145" i="14"/>
  <c r="I145" i="14"/>
  <c r="H145" i="14"/>
  <c r="L143" i="14"/>
  <c r="K143" i="14"/>
  <c r="J143" i="14"/>
  <c r="I143" i="14"/>
  <c r="H143" i="14"/>
  <c r="L140" i="14"/>
  <c r="L139" i="14" s="1"/>
  <c r="K140" i="14"/>
  <c r="K139" i="14" s="1"/>
  <c r="J140" i="14"/>
  <c r="J139" i="14" s="1"/>
  <c r="I140" i="14"/>
  <c r="I139" i="14" s="1"/>
  <c r="H140" i="14"/>
  <c r="H139" i="14" s="1"/>
  <c r="L135" i="14"/>
  <c r="K135" i="14"/>
  <c r="H135" i="14"/>
  <c r="L133" i="14"/>
  <c r="K133" i="14"/>
  <c r="H133" i="14"/>
  <c r="L129" i="14"/>
  <c r="K129" i="14"/>
  <c r="H129" i="14"/>
  <c r="L127" i="14"/>
  <c r="K127" i="14"/>
  <c r="H127" i="14"/>
  <c r="L125" i="14"/>
  <c r="K125" i="14"/>
  <c r="H125" i="14"/>
  <c r="J124" i="14"/>
  <c r="J123" i="14" s="1"/>
  <c r="J122" i="14" s="1"/>
  <c r="I124" i="14"/>
  <c r="I123" i="14" s="1"/>
  <c r="I122" i="14" s="1"/>
  <c r="L117" i="14"/>
  <c r="L116" i="14" s="1"/>
  <c r="L115" i="14" s="1"/>
  <c r="L114" i="14" s="1"/>
  <c r="K117" i="14"/>
  <c r="K116" i="14" s="1"/>
  <c r="K115" i="14" s="1"/>
  <c r="K114" i="14" s="1"/>
  <c r="J118" i="14"/>
  <c r="J117" i="14" s="1"/>
  <c r="J116" i="14" s="1"/>
  <c r="I118" i="14"/>
  <c r="I117" i="14" s="1"/>
  <c r="I116" i="14" s="1"/>
  <c r="J114" i="14"/>
  <c r="I114" i="14"/>
  <c r="L112" i="14"/>
  <c r="L111" i="14" s="1"/>
  <c r="L110" i="14" s="1"/>
  <c r="K112" i="14"/>
  <c r="J112" i="14"/>
  <c r="J111" i="14" s="1"/>
  <c r="J110" i="14" s="1"/>
  <c r="I112" i="14"/>
  <c r="I111" i="14" s="1"/>
  <c r="I110" i="14" s="1"/>
  <c r="H112" i="14"/>
  <c r="H111" i="14" s="1"/>
  <c r="H110" i="14" s="1"/>
  <c r="K111" i="14"/>
  <c r="K110" i="14" s="1"/>
  <c r="J108" i="14"/>
  <c r="I108" i="14"/>
  <c r="L107" i="14"/>
  <c r="L106" i="14" s="1"/>
  <c r="K107" i="14"/>
  <c r="K106" i="14" s="1"/>
  <c r="J107" i="14"/>
  <c r="J106" i="14" s="1"/>
  <c r="I107" i="14"/>
  <c r="I106" i="14" s="1"/>
  <c r="H107" i="14"/>
  <c r="H106" i="14" s="1"/>
  <c r="L104" i="14"/>
  <c r="K104" i="14"/>
  <c r="J104" i="14"/>
  <c r="I104" i="14"/>
  <c r="H104" i="14"/>
  <c r="L102" i="14"/>
  <c r="K102" i="14"/>
  <c r="J102" i="14"/>
  <c r="I102" i="14"/>
  <c r="H102" i="14"/>
  <c r="J101" i="14"/>
  <c r="J100" i="14" s="1"/>
  <c r="I101" i="14"/>
  <c r="I100" i="14" s="1"/>
  <c r="L100" i="14"/>
  <c r="K100" i="14"/>
  <c r="H100" i="14"/>
  <c r="L97" i="14"/>
  <c r="L96" i="14" s="1"/>
  <c r="K97" i="14"/>
  <c r="L92" i="14"/>
  <c r="L91" i="14" s="1"/>
  <c r="L90" i="14" s="1"/>
  <c r="L89" i="14" s="1"/>
  <c r="L88" i="14" s="1"/>
  <c r="L87" i="14" s="1"/>
  <c r="K92" i="14"/>
  <c r="K91" i="14" s="1"/>
  <c r="K90" i="14" s="1"/>
  <c r="K89" i="14" s="1"/>
  <c r="K88" i="14" s="1"/>
  <c r="K87" i="14" s="1"/>
  <c r="H92" i="14"/>
  <c r="H91" i="14" s="1"/>
  <c r="H90" i="14" s="1"/>
  <c r="H89" i="14" s="1"/>
  <c r="H88" i="14" s="1"/>
  <c r="H87" i="14" s="1"/>
  <c r="L84" i="14"/>
  <c r="L79" i="14" s="1"/>
  <c r="L78" i="14" s="1"/>
  <c r="L77" i="14" s="1"/>
  <c r="K84" i="14"/>
  <c r="K79" i="14" s="1"/>
  <c r="K78" i="14" s="1"/>
  <c r="K77" i="14" s="1"/>
  <c r="J84" i="14"/>
  <c r="I84" i="14"/>
  <c r="H84" i="14"/>
  <c r="H79" i="14" s="1"/>
  <c r="H78" i="14" s="1"/>
  <c r="H77" i="14" s="1"/>
  <c r="L82" i="14"/>
  <c r="K82" i="14"/>
  <c r="J82" i="14"/>
  <c r="I82" i="14"/>
  <c r="H82" i="14"/>
  <c r="L80" i="14"/>
  <c r="K80" i="14"/>
  <c r="J80" i="14"/>
  <c r="I80" i="14"/>
  <c r="H80" i="14"/>
  <c r="J76" i="14"/>
  <c r="J74" i="14" s="1"/>
  <c r="J73" i="14" s="1"/>
  <c r="J72" i="14" s="1"/>
  <c r="J71" i="14" s="1"/>
  <c r="I76" i="14"/>
  <c r="I74" i="14" s="1"/>
  <c r="I73" i="14" s="1"/>
  <c r="I72" i="14" s="1"/>
  <c r="I71" i="14" s="1"/>
  <c r="L74" i="14"/>
  <c r="L73" i="14" s="1"/>
  <c r="L72" i="14" s="1"/>
  <c r="L71" i="14" s="1"/>
  <c r="K74" i="14"/>
  <c r="K73" i="14" s="1"/>
  <c r="K72" i="14" s="1"/>
  <c r="K71" i="14" s="1"/>
  <c r="H74" i="14"/>
  <c r="H73" i="14" s="1"/>
  <c r="H72" i="14" s="1"/>
  <c r="H71" i="14" s="1"/>
  <c r="L68" i="14"/>
  <c r="L67" i="14" s="1"/>
  <c r="L66" i="14" s="1"/>
  <c r="L65" i="14" s="1"/>
  <c r="L64" i="14" s="1"/>
  <c r="K68" i="14"/>
  <c r="K67" i="14" s="1"/>
  <c r="K66" i="14" s="1"/>
  <c r="J68" i="14"/>
  <c r="J67" i="14" s="1"/>
  <c r="J66" i="14" s="1"/>
  <c r="J65" i="14" s="1"/>
  <c r="J64" i="14" s="1"/>
  <c r="I68" i="14"/>
  <c r="I67" i="14" s="1"/>
  <c r="I66" i="14" s="1"/>
  <c r="I65" i="14" s="1"/>
  <c r="I64" i="14" s="1"/>
  <c r="H68" i="14"/>
  <c r="H67" i="14" s="1"/>
  <c r="H66" i="14" s="1"/>
  <c r="H65" i="14" s="1"/>
  <c r="H64" i="14" s="1"/>
  <c r="K65" i="14"/>
  <c r="K64" i="14" s="1"/>
  <c r="L62" i="14"/>
  <c r="L61" i="14" s="1"/>
  <c r="L60" i="14" s="1"/>
  <c r="K62" i="14"/>
  <c r="K61" i="14" s="1"/>
  <c r="K60" i="14" s="1"/>
  <c r="H62" i="14"/>
  <c r="H61" i="14" s="1"/>
  <c r="H60" i="14" s="1"/>
  <c r="L58" i="14"/>
  <c r="K58" i="14"/>
  <c r="H58" i="14"/>
  <c r="L56" i="14"/>
  <c r="K56" i="14"/>
  <c r="J56" i="14"/>
  <c r="I56" i="14"/>
  <c r="H56" i="14"/>
  <c r="L54" i="14"/>
  <c r="K54" i="14"/>
  <c r="J54" i="14"/>
  <c r="I54" i="14"/>
  <c r="H54" i="14"/>
  <c r="L51" i="14"/>
  <c r="K51" i="14"/>
  <c r="J51" i="14"/>
  <c r="J50" i="14" s="1"/>
  <c r="J49" i="14" s="1"/>
  <c r="J48" i="14" s="1"/>
  <c r="J47" i="14" s="1"/>
  <c r="I51" i="14"/>
  <c r="I50" i="14" s="1"/>
  <c r="I49" i="14" s="1"/>
  <c r="I48" i="14" s="1"/>
  <c r="I47" i="14" s="1"/>
  <c r="H51" i="14"/>
  <c r="L43" i="14"/>
  <c r="L42" i="14" s="1"/>
  <c r="L41" i="14" s="1"/>
  <c r="L40" i="14" s="1"/>
  <c r="L39" i="14" s="1"/>
  <c r="K43" i="14"/>
  <c r="K42" i="14" s="1"/>
  <c r="K41" i="14" s="1"/>
  <c r="K40" i="14" s="1"/>
  <c r="K39" i="14" s="1"/>
  <c r="J43" i="14"/>
  <c r="J42" i="14" s="1"/>
  <c r="J41" i="14" s="1"/>
  <c r="J40" i="14" s="1"/>
  <c r="J39" i="14" s="1"/>
  <c r="I43" i="14"/>
  <c r="I42" i="14" s="1"/>
  <c r="I41" i="14" s="1"/>
  <c r="I40" i="14" s="1"/>
  <c r="I39" i="14" s="1"/>
  <c r="H43" i="14"/>
  <c r="H42" i="14" s="1"/>
  <c r="H41" i="14" s="1"/>
  <c r="H40" i="14" s="1"/>
  <c r="H39" i="14" s="1"/>
  <c r="J37" i="14"/>
  <c r="J36" i="14" s="1"/>
  <c r="J35" i="14" s="1"/>
  <c r="I37" i="14"/>
  <c r="I36" i="14" s="1"/>
  <c r="I35" i="14" s="1"/>
  <c r="H37" i="14"/>
  <c r="H36" i="14" s="1"/>
  <c r="H35" i="14" s="1"/>
  <c r="J34" i="14"/>
  <c r="I34" i="14"/>
  <c r="L32" i="14"/>
  <c r="L31" i="14" s="1"/>
  <c r="L30" i="14" s="1"/>
  <c r="L29" i="14" s="1"/>
  <c r="L28" i="14" s="1"/>
  <c r="K32" i="14"/>
  <c r="J32" i="14"/>
  <c r="J31" i="14" s="1"/>
  <c r="J30" i="14" s="1"/>
  <c r="I32" i="14"/>
  <c r="I31" i="14" s="1"/>
  <c r="I30" i="14" s="1"/>
  <c r="H32" i="14"/>
  <c r="H31" i="14" s="1"/>
  <c r="H30" i="14" s="1"/>
  <c r="K31" i="14"/>
  <c r="K30" i="14" s="1"/>
  <c r="K29" i="14" s="1"/>
  <c r="K28" i="14" s="1"/>
  <c r="L26" i="14"/>
  <c r="L25" i="14" s="1"/>
  <c r="L24" i="14" s="1"/>
  <c r="L23" i="14" s="1"/>
  <c r="L22" i="14" s="1"/>
  <c r="K26" i="14"/>
  <c r="J26" i="14"/>
  <c r="J25" i="14" s="1"/>
  <c r="J24" i="14" s="1"/>
  <c r="J23" i="14" s="1"/>
  <c r="J22" i="14" s="1"/>
  <c r="I26" i="14"/>
  <c r="I25" i="14" s="1"/>
  <c r="I24" i="14" s="1"/>
  <c r="I23" i="14" s="1"/>
  <c r="I22" i="14" s="1"/>
  <c r="H26" i="14"/>
  <c r="H25" i="14" s="1"/>
  <c r="H24" i="14" s="1"/>
  <c r="H23" i="14" s="1"/>
  <c r="H22" i="14" s="1"/>
  <c r="K25" i="14"/>
  <c r="K24" i="14" s="1"/>
  <c r="K23" i="14" s="1"/>
  <c r="K22" i="14" s="1"/>
  <c r="V14" i="14"/>
  <c r="U14" i="14"/>
  <c r="J12" i="14"/>
  <c r="H11" i="14"/>
  <c r="N489" i="13"/>
  <c r="J489" i="13"/>
  <c r="J488" i="13" s="1"/>
  <c r="P488" i="13"/>
  <c r="O488" i="13"/>
  <c r="N488" i="13"/>
  <c r="N487" i="13"/>
  <c r="J487" i="13"/>
  <c r="J486" i="13" s="1"/>
  <c r="P486" i="13"/>
  <c r="O486" i="13"/>
  <c r="N486" i="13"/>
  <c r="M485" i="13"/>
  <c r="L485" i="13"/>
  <c r="P483" i="13"/>
  <c r="O483" i="13"/>
  <c r="O482" i="13" s="1"/>
  <c r="N483" i="13"/>
  <c r="N482" i="13" s="1"/>
  <c r="J483" i="13"/>
  <c r="J482" i="13" s="1"/>
  <c r="P482" i="13"/>
  <c r="J478" i="13"/>
  <c r="P477" i="13"/>
  <c r="O477" i="13"/>
  <c r="N477" i="13"/>
  <c r="J477" i="13"/>
  <c r="J476" i="13"/>
  <c r="J475" i="13" s="1"/>
  <c r="P475" i="13"/>
  <c r="O475" i="13"/>
  <c r="N475" i="13"/>
  <c r="P470" i="13"/>
  <c r="P469" i="13" s="1"/>
  <c r="O470" i="13"/>
  <c r="O469" i="13" s="1"/>
  <c r="N470" i="13"/>
  <c r="N469" i="13" s="1"/>
  <c r="M470" i="13"/>
  <c r="M469" i="13" s="1"/>
  <c r="L470" i="13"/>
  <c r="L469" i="13" s="1"/>
  <c r="J470" i="13"/>
  <c r="J469" i="13" s="1"/>
  <c r="M466" i="13"/>
  <c r="L466" i="13"/>
  <c r="P464" i="13"/>
  <c r="P463" i="13" s="1"/>
  <c r="O464" i="13"/>
  <c r="O463" i="13" s="1"/>
  <c r="N464" i="13"/>
  <c r="N463" i="13" s="1"/>
  <c r="M463" i="13"/>
  <c r="L463" i="13"/>
  <c r="J462" i="13"/>
  <c r="J461" i="13" s="1"/>
  <c r="J460" i="13" s="1"/>
  <c r="P461" i="13"/>
  <c r="P460" i="13" s="1"/>
  <c r="O461" i="13"/>
  <c r="O460" i="13" s="1"/>
  <c r="N461" i="13"/>
  <c r="N460" i="13" s="1"/>
  <c r="AC458" i="13"/>
  <c r="P458" i="13"/>
  <c r="P457" i="13" s="1"/>
  <c r="O458" i="13"/>
  <c r="O457" i="13" s="1"/>
  <c r="N458" i="13"/>
  <c r="N457" i="13" s="1"/>
  <c r="J458" i="13"/>
  <c r="J457" i="13" s="1"/>
  <c r="P455" i="13"/>
  <c r="O455" i="13"/>
  <c r="N455" i="13"/>
  <c r="N454" i="13" s="1"/>
  <c r="J455" i="13"/>
  <c r="J454" i="13" s="1"/>
  <c r="P454" i="13"/>
  <c r="O454" i="13"/>
  <c r="P452" i="13"/>
  <c r="O452" i="13"/>
  <c r="N452" i="13"/>
  <c r="M452" i="13"/>
  <c r="L452" i="13"/>
  <c r="K452" i="13"/>
  <c r="J452" i="13"/>
  <c r="J449" i="13" s="1"/>
  <c r="P450" i="13"/>
  <c r="O450" i="13"/>
  <c r="N450" i="13"/>
  <c r="J448" i="13"/>
  <c r="J447" i="13" s="1"/>
  <c r="J444" i="13" s="1"/>
  <c r="J443" i="13" s="1"/>
  <c r="P447" i="13"/>
  <c r="P444" i="13" s="1"/>
  <c r="P443" i="13" s="1"/>
  <c r="O447" i="13"/>
  <c r="O444" i="13" s="1"/>
  <c r="O443" i="13" s="1"/>
  <c r="N447" i="13"/>
  <c r="N444" i="13" s="1"/>
  <c r="N443" i="13" s="1"/>
  <c r="M444" i="13"/>
  <c r="M443" i="13" s="1"/>
  <c r="L444" i="13"/>
  <c r="L443" i="13" s="1"/>
  <c r="P441" i="13"/>
  <c r="P440" i="13" s="1"/>
  <c r="N441" i="13"/>
  <c r="N440" i="13" s="1"/>
  <c r="J441" i="13"/>
  <c r="J440" i="13" s="1"/>
  <c r="M440" i="13"/>
  <c r="L440" i="13"/>
  <c r="P438" i="13"/>
  <c r="O438" i="13"/>
  <c r="O437" i="13" s="1"/>
  <c r="N438" i="13"/>
  <c r="J438" i="13"/>
  <c r="J437" i="13" s="1"/>
  <c r="P437" i="13"/>
  <c r="N437" i="13"/>
  <c r="M437" i="13"/>
  <c r="L437" i="13"/>
  <c r="O435" i="13"/>
  <c r="O434" i="13" s="1"/>
  <c r="P435" i="13"/>
  <c r="P434" i="13" s="1"/>
  <c r="N435" i="13"/>
  <c r="N434" i="13" s="1"/>
  <c r="J435" i="13"/>
  <c r="J434" i="13" s="1"/>
  <c r="M434" i="13"/>
  <c r="L434" i="13"/>
  <c r="P428" i="13"/>
  <c r="O428" i="13"/>
  <c r="N428" i="13"/>
  <c r="J428" i="13"/>
  <c r="J424" i="13"/>
  <c r="J423" i="13" s="1"/>
  <c r="J422" i="13" s="1"/>
  <c r="P423" i="13"/>
  <c r="P422" i="13" s="1"/>
  <c r="O423" i="13"/>
  <c r="O422" i="13" s="1"/>
  <c r="N423" i="13"/>
  <c r="N422" i="13" s="1"/>
  <c r="M422" i="13"/>
  <c r="L422" i="13"/>
  <c r="P417" i="13"/>
  <c r="P416" i="13" s="1"/>
  <c r="O417" i="13"/>
  <c r="O416" i="13" s="1"/>
  <c r="N417" i="13"/>
  <c r="N416" i="13" s="1"/>
  <c r="M417" i="13"/>
  <c r="L417" i="13"/>
  <c r="K417" i="13"/>
  <c r="J417" i="13"/>
  <c r="J416" i="13" s="1"/>
  <c r="N410" i="13"/>
  <c r="N415" i="13" s="1"/>
  <c r="N414" i="13" s="1"/>
  <c r="J409" i="13"/>
  <c r="P408" i="13"/>
  <c r="O408" i="13"/>
  <c r="N408" i="13"/>
  <c r="J408" i="13"/>
  <c r="P406" i="13"/>
  <c r="O406" i="13"/>
  <c r="N406" i="13"/>
  <c r="J406" i="13"/>
  <c r="P404" i="13"/>
  <c r="P403" i="13" s="1"/>
  <c r="O404" i="13"/>
  <c r="O403" i="13" s="1"/>
  <c r="N404" i="13"/>
  <c r="N403" i="13" s="1"/>
  <c r="J404" i="13"/>
  <c r="J403" i="13" s="1"/>
  <c r="M403" i="13"/>
  <c r="L403" i="13"/>
  <c r="L400" i="13" s="1"/>
  <c r="N402" i="13"/>
  <c r="N401" i="13" s="1"/>
  <c r="N400" i="13" s="1"/>
  <c r="J402" i="13"/>
  <c r="J400" i="13" s="1"/>
  <c r="M400" i="13"/>
  <c r="J399" i="13"/>
  <c r="P398" i="13"/>
  <c r="O398" i="13"/>
  <c r="O397" i="13" s="1"/>
  <c r="O396" i="13" s="1"/>
  <c r="O395" i="13" s="1"/>
  <c r="N398" i="13"/>
  <c r="N397" i="13" s="1"/>
  <c r="N396" i="13" s="1"/>
  <c r="N395" i="13" s="1"/>
  <c r="J398" i="13"/>
  <c r="J397" i="13" s="1"/>
  <c r="J396" i="13" s="1"/>
  <c r="J395" i="13" s="1"/>
  <c r="P397" i="13"/>
  <c r="P396" i="13" s="1"/>
  <c r="P395" i="13" s="1"/>
  <c r="M397" i="13"/>
  <c r="L397" i="13"/>
  <c r="N393" i="13"/>
  <c r="N392" i="13" s="1"/>
  <c r="N391" i="13" s="1"/>
  <c r="N390" i="13" s="1"/>
  <c r="N329" i="13" s="1"/>
  <c r="P388" i="13"/>
  <c r="O388" i="13"/>
  <c r="O387" i="13" s="1"/>
  <c r="O386" i="13" s="1"/>
  <c r="O385" i="13" s="1"/>
  <c r="N388" i="13"/>
  <c r="N387" i="13" s="1"/>
  <c r="N386" i="13" s="1"/>
  <c r="N385" i="13" s="1"/>
  <c r="J388" i="13"/>
  <c r="J387" i="13" s="1"/>
  <c r="J386" i="13" s="1"/>
  <c r="J385" i="13" s="1"/>
  <c r="P387" i="13"/>
  <c r="P386" i="13" s="1"/>
  <c r="P385" i="13" s="1"/>
  <c r="M387" i="13"/>
  <c r="M386" i="13" s="1"/>
  <c r="M385" i="13" s="1"/>
  <c r="L387" i="13"/>
  <c r="L386" i="13" s="1"/>
  <c r="L385" i="13" s="1"/>
  <c r="J384" i="13"/>
  <c r="P383" i="13"/>
  <c r="O383" i="13"/>
  <c r="N383" i="13"/>
  <c r="J383" i="13"/>
  <c r="P381" i="13"/>
  <c r="P380" i="13" s="1"/>
  <c r="O381" i="13"/>
  <c r="O380" i="13" s="1"/>
  <c r="M382" i="13"/>
  <c r="L382" i="13"/>
  <c r="J382" i="13"/>
  <c r="J381" i="13" s="1"/>
  <c r="N381" i="13"/>
  <c r="M381" i="13"/>
  <c r="M380" i="13" s="1"/>
  <c r="L381" i="13"/>
  <c r="L380" i="13" s="1"/>
  <c r="P378" i="13"/>
  <c r="O378" i="13"/>
  <c r="N378" i="13"/>
  <c r="P377" i="13"/>
  <c r="O377" i="13"/>
  <c r="N377" i="13"/>
  <c r="J377" i="13"/>
  <c r="P374" i="13"/>
  <c r="O374" i="13"/>
  <c r="N374" i="13"/>
  <c r="N373" i="13" s="1"/>
  <c r="J374" i="13"/>
  <c r="J373" i="13" s="1"/>
  <c r="P373" i="13"/>
  <c r="O373" i="13"/>
  <c r="M373" i="13"/>
  <c r="L373" i="13"/>
  <c r="P371" i="13"/>
  <c r="P369" i="13" s="1"/>
  <c r="O371" i="13"/>
  <c r="O369" i="13" s="1"/>
  <c r="N371" i="13"/>
  <c r="N369" i="13" s="1"/>
  <c r="J371" i="13"/>
  <c r="J369" i="13" s="1"/>
  <c r="M369" i="13"/>
  <c r="L369" i="13"/>
  <c r="P367" i="13"/>
  <c r="P366" i="13" s="1"/>
  <c r="O367" i="13"/>
  <c r="O366" i="13" s="1"/>
  <c r="N367" i="13"/>
  <c r="N366" i="13" s="1"/>
  <c r="J367" i="13"/>
  <c r="J366" i="13" s="1"/>
  <c r="M366" i="13"/>
  <c r="L366" i="13"/>
  <c r="P364" i="13"/>
  <c r="P363" i="13" s="1"/>
  <c r="P362" i="13" s="1"/>
  <c r="P361" i="13" s="1"/>
  <c r="O364" i="13"/>
  <c r="O363" i="13" s="1"/>
  <c r="O362" i="13" s="1"/>
  <c r="O361" i="13" s="1"/>
  <c r="N364" i="13"/>
  <c r="N363" i="13" s="1"/>
  <c r="N362" i="13" s="1"/>
  <c r="N361" i="13" s="1"/>
  <c r="J364" i="13"/>
  <c r="J363" i="13" s="1"/>
  <c r="J362" i="13" s="1"/>
  <c r="J361" i="13" s="1"/>
  <c r="M363" i="13"/>
  <c r="L363" i="13"/>
  <c r="P359" i="13"/>
  <c r="O359" i="13"/>
  <c r="O358" i="13" s="1"/>
  <c r="N359" i="13"/>
  <c r="N358" i="13" s="1"/>
  <c r="J359" i="13"/>
  <c r="J358" i="13" s="1"/>
  <c r="P358" i="13"/>
  <c r="P354" i="13"/>
  <c r="P353" i="13" s="1"/>
  <c r="O354" i="13"/>
  <c r="O353" i="13" s="1"/>
  <c r="N354" i="13"/>
  <c r="N353" i="13" s="1"/>
  <c r="J354" i="13"/>
  <c r="J353" i="13" s="1"/>
  <c r="P351" i="13"/>
  <c r="O351" i="13"/>
  <c r="N351" i="13"/>
  <c r="N350" i="13" s="1"/>
  <c r="J351" i="13"/>
  <c r="J350" i="13" s="1"/>
  <c r="P350" i="13"/>
  <c r="O350" i="13"/>
  <c r="N349" i="13"/>
  <c r="M349" i="13"/>
  <c r="L349" i="13"/>
  <c r="J349" i="13"/>
  <c r="L347" i="13"/>
  <c r="M347" i="13" s="1"/>
  <c r="P349" i="13"/>
  <c r="O349" i="13"/>
  <c r="N344" i="13"/>
  <c r="J344" i="13"/>
  <c r="J343" i="13"/>
  <c r="J341" i="13" s="1"/>
  <c r="N342" i="13"/>
  <c r="N341" i="13"/>
  <c r="M341" i="13"/>
  <c r="L341" i="13"/>
  <c r="J340" i="13"/>
  <c r="J339" i="13"/>
  <c r="P338" i="13"/>
  <c r="O338" i="13"/>
  <c r="N338" i="13"/>
  <c r="M338" i="13"/>
  <c r="L338" i="13"/>
  <c r="P333" i="13"/>
  <c r="P332" i="13" s="1"/>
  <c r="P331" i="13" s="1"/>
  <c r="P330" i="13" s="1"/>
  <c r="O333" i="13"/>
  <c r="O332" i="13" s="1"/>
  <c r="O331" i="13" s="1"/>
  <c r="O330" i="13" s="1"/>
  <c r="P310" i="13"/>
  <c r="O310" i="13"/>
  <c r="N310" i="13"/>
  <c r="J310" i="13"/>
  <c r="J309" i="13" s="1"/>
  <c r="J308" i="13" s="1"/>
  <c r="J307" i="13" s="1"/>
  <c r="P309" i="13"/>
  <c r="P308" i="13" s="1"/>
  <c r="P307" i="13" s="1"/>
  <c r="O309" i="13"/>
  <c r="O308" i="13" s="1"/>
  <c r="O307" i="13" s="1"/>
  <c r="N309" i="13"/>
  <c r="N308" i="13" s="1"/>
  <c r="N307" i="13" s="1"/>
  <c r="M309" i="13"/>
  <c r="M307" i="13" s="1"/>
  <c r="L309" i="13"/>
  <c r="L307" i="13" s="1"/>
  <c r="P305" i="13"/>
  <c r="P304" i="13" s="1"/>
  <c r="O305" i="13"/>
  <c r="O304" i="13" s="1"/>
  <c r="N306" i="13"/>
  <c r="N305" i="13" s="1"/>
  <c r="N304" i="13" s="1"/>
  <c r="N303" i="13"/>
  <c r="N302" i="13" s="1"/>
  <c r="N301" i="13" s="1"/>
  <c r="P302" i="13"/>
  <c r="P301" i="13" s="1"/>
  <c r="O302" i="13"/>
  <c r="O301" i="13" s="1"/>
  <c r="P296" i="13"/>
  <c r="P295" i="13" s="1"/>
  <c r="O296" i="13"/>
  <c r="O295" i="13" s="1"/>
  <c r="N296" i="13"/>
  <c r="N295" i="13" s="1"/>
  <c r="J296" i="13"/>
  <c r="J295" i="13" s="1"/>
  <c r="M295" i="13"/>
  <c r="L295" i="13"/>
  <c r="P293" i="13"/>
  <c r="P292" i="13" s="1"/>
  <c r="O293" i="13"/>
  <c r="O292" i="13" s="1"/>
  <c r="N293" i="13"/>
  <c r="N292" i="13" s="1"/>
  <c r="J293" i="13"/>
  <c r="J292" i="13" s="1"/>
  <c r="M292" i="13"/>
  <c r="L292" i="13"/>
  <c r="O287" i="13"/>
  <c r="O286" i="13" s="1"/>
  <c r="O285" i="13" s="1"/>
  <c r="O284" i="13" s="1"/>
  <c r="P287" i="13"/>
  <c r="P286" i="13" s="1"/>
  <c r="P285" i="13" s="1"/>
  <c r="P284" i="13" s="1"/>
  <c r="N287" i="13"/>
  <c r="N286" i="13" s="1"/>
  <c r="N285" i="13" s="1"/>
  <c r="N284" i="13" s="1"/>
  <c r="J287" i="13"/>
  <c r="J286" i="13" s="1"/>
  <c r="J285" i="13" s="1"/>
  <c r="J284" i="13" s="1"/>
  <c r="M286" i="13"/>
  <c r="M284" i="13" s="1"/>
  <c r="L286" i="13"/>
  <c r="L284" i="13" s="1"/>
  <c r="O282" i="13"/>
  <c r="O281" i="13" s="1"/>
  <c r="O277" i="13" s="1"/>
  <c r="N282" i="13"/>
  <c r="N281" i="13" s="1"/>
  <c r="N277" i="13" s="1"/>
  <c r="J282" i="13"/>
  <c r="J281" i="13" s="1"/>
  <c r="J277" i="13" s="1"/>
  <c r="J276" i="13" s="1"/>
  <c r="P279" i="13"/>
  <c r="P278" i="13" s="1"/>
  <c r="O279" i="13"/>
  <c r="O278" i="13" s="1"/>
  <c r="N279" i="13"/>
  <c r="N278" i="13" s="1"/>
  <c r="M277" i="13"/>
  <c r="M276" i="13" s="1"/>
  <c r="L277" i="13"/>
  <c r="L276" i="13" s="1"/>
  <c r="O276" i="13"/>
  <c r="N276" i="13"/>
  <c r="P274" i="13"/>
  <c r="P273" i="13" s="1"/>
  <c r="O274" i="13"/>
  <c r="O273" i="13" s="1"/>
  <c r="N274" i="13"/>
  <c r="N273" i="13" s="1"/>
  <c r="J274" i="13"/>
  <c r="J273" i="13" s="1"/>
  <c r="P271" i="13"/>
  <c r="O271" i="13"/>
  <c r="N271" i="13"/>
  <c r="J271" i="13"/>
  <c r="J270" i="13" s="1"/>
  <c r="P270" i="13"/>
  <c r="O270" i="13"/>
  <c r="N270" i="13"/>
  <c r="L269" i="13"/>
  <c r="P267" i="13"/>
  <c r="P266" i="13" s="1"/>
  <c r="O267" i="13"/>
  <c r="O266" i="13" s="1"/>
  <c r="N267" i="13"/>
  <c r="N266" i="13" s="1"/>
  <c r="L267" i="13"/>
  <c r="L263" i="13" s="1"/>
  <c r="L261" i="13" s="1"/>
  <c r="J267" i="13"/>
  <c r="J266" i="13" s="1"/>
  <c r="P264" i="13"/>
  <c r="P263" i="13" s="1"/>
  <c r="O264" i="13"/>
  <c r="O263" i="13" s="1"/>
  <c r="N264" i="13"/>
  <c r="N263" i="13" s="1"/>
  <c r="J264" i="13"/>
  <c r="J263" i="13" s="1"/>
  <c r="M263" i="13"/>
  <c r="M261" i="13" s="1"/>
  <c r="P262" i="13"/>
  <c r="P261" i="13" s="1"/>
  <c r="O262" i="13"/>
  <c r="O261" i="13" s="1"/>
  <c r="N262" i="13"/>
  <c r="N261" i="13" s="1"/>
  <c r="J262" i="13"/>
  <c r="J261" i="13" s="1"/>
  <c r="P258" i="13"/>
  <c r="P256" i="13" s="1"/>
  <c r="P255" i="13" s="1"/>
  <c r="P254" i="13" s="1"/>
  <c r="O258" i="13"/>
  <c r="O256" i="13" s="1"/>
  <c r="O255" i="13" s="1"/>
  <c r="O254" i="13" s="1"/>
  <c r="N258" i="13"/>
  <c r="N256" i="13" s="1"/>
  <c r="N255" i="13" s="1"/>
  <c r="N254" i="13" s="1"/>
  <c r="M256" i="13"/>
  <c r="M254" i="13" s="1"/>
  <c r="L256" i="13"/>
  <c r="L254" i="13" s="1"/>
  <c r="J256" i="13"/>
  <c r="J254" i="13" s="1"/>
  <c r="J255" i="13" s="1"/>
  <c r="P252" i="13"/>
  <c r="P251" i="13" s="1"/>
  <c r="P250" i="13" s="1"/>
  <c r="O252" i="13"/>
  <c r="O251" i="13" s="1"/>
  <c r="O250" i="13" s="1"/>
  <c r="N252" i="13"/>
  <c r="N251" i="13" s="1"/>
  <c r="N250" i="13" s="1"/>
  <c r="J252" i="13"/>
  <c r="J251" i="13" s="1"/>
  <c r="J246" i="13" s="1"/>
  <c r="M251" i="13"/>
  <c r="L251" i="13"/>
  <c r="P248" i="13"/>
  <c r="P247" i="13" s="1"/>
  <c r="O248" i="13"/>
  <c r="O247" i="13" s="1"/>
  <c r="N248" i="13"/>
  <c r="N247" i="13" s="1"/>
  <c r="P244" i="13"/>
  <c r="O244" i="13"/>
  <c r="O243" i="13" s="1"/>
  <c r="O242" i="13" s="1"/>
  <c r="N244" i="13"/>
  <c r="N243" i="13" s="1"/>
  <c r="N242" i="13" s="1"/>
  <c r="J244" i="13"/>
  <c r="J243" i="13" s="1"/>
  <c r="P243" i="13"/>
  <c r="P242" i="13" s="1"/>
  <c r="M243" i="13"/>
  <c r="L243" i="13"/>
  <c r="P237" i="13"/>
  <c r="O237" i="13"/>
  <c r="N237" i="13"/>
  <c r="J237" i="13"/>
  <c r="J236" i="13" s="1"/>
  <c r="P236" i="13"/>
  <c r="P234" i="13" s="1"/>
  <c r="P233" i="13" s="1"/>
  <c r="O236" i="13"/>
  <c r="O235" i="13" s="1"/>
  <c r="N236" i="13"/>
  <c r="N235" i="13" s="1"/>
  <c r="M236" i="13"/>
  <c r="M234" i="13" s="1"/>
  <c r="M233" i="13" s="1"/>
  <c r="L236" i="13"/>
  <c r="L234" i="13" s="1"/>
  <c r="L233" i="13" s="1"/>
  <c r="M232" i="13"/>
  <c r="P231" i="13"/>
  <c r="O231" i="13"/>
  <c r="N231" i="13"/>
  <c r="J231" i="13"/>
  <c r="O229" i="13"/>
  <c r="P229" i="13"/>
  <c r="N229" i="13"/>
  <c r="L229" i="13"/>
  <c r="L232" i="13" s="1"/>
  <c r="J229" i="13"/>
  <c r="O227" i="13"/>
  <c r="P227" i="13"/>
  <c r="N227" i="13"/>
  <c r="J227" i="13"/>
  <c r="M226" i="13"/>
  <c r="M224" i="13" s="1"/>
  <c r="M223" i="13" s="1"/>
  <c r="P221" i="13"/>
  <c r="P220" i="13" s="1"/>
  <c r="P219" i="13" s="1"/>
  <c r="P216" i="13" s="1"/>
  <c r="O221" i="13"/>
  <c r="O220" i="13" s="1"/>
  <c r="O219" i="13" s="1"/>
  <c r="O216" i="13" s="1"/>
  <c r="N221" i="13"/>
  <c r="N220" i="13" s="1"/>
  <c r="N219" i="13" s="1"/>
  <c r="N216" i="13" s="1"/>
  <c r="J221" i="13"/>
  <c r="J220" i="13" s="1"/>
  <c r="M220" i="13"/>
  <c r="M216" i="13" s="1"/>
  <c r="L220" i="13"/>
  <c r="L216" i="13" s="1"/>
  <c r="P208" i="13"/>
  <c r="P206" i="13" s="1"/>
  <c r="P204" i="13" s="1"/>
  <c r="O208" i="13"/>
  <c r="O207" i="13" s="1"/>
  <c r="N208" i="13"/>
  <c r="N206" i="13" s="1"/>
  <c r="N204" i="13" s="1"/>
  <c r="J208" i="13"/>
  <c r="J206" i="13" s="1"/>
  <c r="J204" i="13" s="1"/>
  <c r="P207" i="13"/>
  <c r="M206" i="13"/>
  <c r="M204" i="13" s="1"/>
  <c r="L206" i="13"/>
  <c r="L204" i="13" s="1"/>
  <c r="P202" i="13"/>
  <c r="P200" i="13" s="1"/>
  <c r="P199" i="13" s="1"/>
  <c r="O202" i="13"/>
  <c r="O200" i="13" s="1"/>
  <c r="O199" i="13" s="1"/>
  <c r="N202" i="13"/>
  <c r="N200" i="13" s="1"/>
  <c r="N199" i="13" s="1"/>
  <c r="J202" i="13"/>
  <c r="J200" i="13" s="1"/>
  <c r="J199" i="13" s="1"/>
  <c r="P201" i="13"/>
  <c r="O201" i="13"/>
  <c r="N201" i="13"/>
  <c r="J201" i="13"/>
  <c r="L200" i="13"/>
  <c r="L199" i="13" s="1"/>
  <c r="M199" i="13"/>
  <c r="P196" i="13"/>
  <c r="P195" i="13" s="1"/>
  <c r="P194" i="13" s="1"/>
  <c r="O196" i="13"/>
  <c r="N196" i="13"/>
  <c r="N195" i="13" s="1"/>
  <c r="N194" i="13" s="1"/>
  <c r="J196" i="13"/>
  <c r="J195" i="13" s="1"/>
  <c r="J194" i="13" s="1"/>
  <c r="O195" i="13"/>
  <c r="O194" i="13" s="1"/>
  <c r="M195" i="13"/>
  <c r="M194" i="13" s="1"/>
  <c r="L195" i="13"/>
  <c r="L194" i="13" s="1"/>
  <c r="P183" i="13"/>
  <c r="P182" i="13" s="1"/>
  <c r="O183" i="13"/>
  <c r="O182" i="13" s="1"/>
  <c r="N183" i="13"/>
  <c r="N182" i="13" s="1"/>
  <c r="L183" i="13"/>
  <c r="L182" i="13" s="1"/>
  <c r="J183" i="13"/>
  <c r="J182" i="13" s="1"/>
  <c r="M182" i="13"/>
  <c r="P179" i="13"/>
  <c r="P178" i="13" s="1"/>
  <c r="O179" i="13"/>
  <c r="O178" i="13" s="1"/>
  <c r="N179" i="13"/>
  <c r="N178" i="13" s="1"/>
  <c r="M179" i="13"/>
  <c r="M178" i="13" s="1"/>
  <c r="L179" i="13"/>
  <c r="L178" i="13" s="1"/>
  <c r="J179" i="13"/>
  <c r="J178" i="13" s="1"/>
  <c r="P171" i="13"/>
  <c r="P170" i="13" s="1"/>
  <c r="O171" i="13"/>
  <c r="O170" i="13" s="1"/>
  <c r="N171" i="13"/>
  <c r="N170" i="13" s="1"/>
  <c r="M171" i="13"/>
  <c r="M170" i="13" s="1"/>
  <c r="L171" i="13"/>
  <c r="L170" i="13" s="1"/>
  <c r="J171" i="13"/>
  <c r="J170" i="13" s="1"/>
  <c r="P168" i="13"/>
  <c r="P167" i="13" s="1"/>
  <c r="O168" i="13"/>
  <c r="O167" i="13" s="1"/>
  <c r="N168" i="13"/>
  <c r="N167" i="13" s="1"/>
  <c r="M168" i="13"/>
  <c r="M167" i="13" s="1"/>
  <c r="L168" i="13"/>
  <c r="L167" i="13" s="1"/>
  <c r="J168" i="13"/>
  <c r="J167" i="13" s="1"/>
  <c r="P163" i="13"/>
  <c r="P162" i="13" s="1"/>
  <c r="P161" i="13" s="1"/>
  <c r="P160" i="13" s="1"/>
  <c r="O163" i="13"/>
  <c r="O162" i="13" s="1"/>
  <c r="O161" i="13" s="1"/>
  <c r="O160" i="13" s="1"/>
  <c r="N163" i="13"/>
  <c r="N162" i="13" s="1"/>
  <c r="N161" i="13" s="1"/>
  <c r="N160" i="13" s="1"/>
  <c r="M163" i="13"/>
  <c r="M162" i="13" s="1"/>
  <c r="M161" i="13" s="1"/>
  <c r="M160" i="13" s="1"/>
  <c r="L163" i="13"/>
  <c r="L162" i="13" s="1"/>
  <c r="L161" i="13" s="1"/>
  <c r="L160" i="13" s="1"/>
  <c r="J163" i="13"/>
  <c r="J162" i="13" s="1"/>
  <c r="J161" i="13" s="1"/>
  <c r="J160" i="13" s="1"/>
  <c r="P158" i="13"/>
  <c r="P156" i="13" s="1"/>
  <c r="P155" i="13" s="1"/>
  <c r="P154" i="13" s="1"/>
  <c r="P153" i="13" s="1"/>
  <c r="O158" i="13"/>
  <c r="O156" i="13" s="1"/>
  <c r="O155" i="13" s="1"/>
  <c r="O154" i="13" s="1"/>
  <c r="O153" i="13" s="1"/>
  <c r="N158" i="13"/>
  <c r="N156" i="13" s="1"/>
  <c r="N155" i="13" s="1"/>
  <c r="N154" i="13" s="1"/>
  <c r="N153" i="13" s="1"/>
  <c r="L158" i="13"/>
  <c r="L156" i="13" s="1"/>
  <c r="L155" i="13" s="1"/>
  <c r="L154" i="13" s="1"/>
  <c r="L153" i="13" s="1"/>
  <c r="J158" i="13"/>
  <c r="J156" i="13" s="1"/>
  <c r="J155" i="13" s="1"/>
  <c r="J154" i="13" s="1"/>
  <c r="J153" i="13" s="1"/>
  <c r="M156" i="13"/>
  <c r="M155" i="13" s="1"/>
  <c r="M154" i="13" s="1"/>
  <c r="M153" i="13" s="1"/>
  <c r="P150" i="13"/>
  <c r="P147" i="13" s="1"/>
  <c r="P146" i="13" s="1"/>
  <c r="P145" i="13" s="1"/>
  <c r="P144" i="13" s="1"/>
  <c r="O150" i="13"/>
  <c r="O147" i="13" s="1"/>
  <c r="O146" i="13" s="1"/>
  <c r="O145" i="13" s="1"/>
  <c r="O144" i="13" s="1"/>
  <c r="N150" i="13"/>
  <c r="M150" i="13"/>
  <c r="L150" i="13"/>
  <c r="L147" i="13" s="1"/>
  <c r="L146" i="13" s="1"/>
  <c r="L145" i="13" s="1"/>
  <c r="L144" i="13" s="1"/>
  <c r="J150" i="13"/>
  <c r="J147" i="13" s="1"/>
  <c r="J146" i="13" s="1"/>
  <c r="J145" i="13" s="1"/>
  <c r="J144" i="13" s="1"/>
  <c r="N147" i="13"/>
  <c r="N146" i="13" s="1"/>
  <c r="N145" i="13" s="1"/>
  <c r="N144" i="13" s="1"/>
  <c r="M147" i="13"/>
  <c r="M146" i="13" s="1"/>
  <c r="M145" i="13" s="1"/>
  <c r="M144" i="13" s="1"/>
  <c r="P142" i="13"/>
  <c r="P141" i="13" s="1"/>
  <c r="P140" i="13" s="1"/>
  <c r="P139" i="13" s="1"/>
  <c r="O142" i="13"/>
  <c r="O141" i="13" s="1"/>
  <c r="O140" i="13" s="1"/>
  <c r="O139" i="13" s="1"/>
  <c r="N142" i="13"/>
  <c r="N141" i="13" s="1"/>
  <c r="N140" i="13" s="1"/>
  <c r="N139" i="13" s="1"/>
  <c r="M142" i="13"/>
  <c r="M141" i="13" s="1"/>
  <c r="M140" i="13" s="1"/>
  <c r="M139" i="13" s="1"/>
  <c r="L142" i="13"/>
  <c r="L141" i="13" s="1"/>
  <c r="L140" i="13" s="1"/>
  <c r="L139" i="13" s="1"/>
  <c r="J142" i="13"/>
  <c r="J141" i="13" s="1"/>
  <c r="J140" i="13" s="1"/>
  <c r="J139" i="13" s="1"/>
  <c r="P138" i="13"/>
  <c r="P137" i="13" s="1"/>
  <c r="O138" i="13"/>
  <c r="O137" i="13" s="1"/>
  <c r="N138" i="13"/>
  <c r="N137" i="13" s="1"/>
  <c r="J138" i="13"/>
  <c r="J137" i="13" s="1"/>
  <c r="M137" i="13"/>
  <c r="L137" i="13"/>
  <c r="P136" i="13"/>
  <c r="P135" i="13" s="1"/>
  <c r="O136" i="13"/>
  <c r="O135" i="13" s="1"/>
  <c r="N136" i="13"/>
  <c r="N135" i="13" s="1"/>
  <c r="J136" i="13"/>
  <c r="J135" i="13" s="1"/>
  <c r="M135" i="13"/>
  <c r="L135" i="13"/>
  <c r="P132" i="13"/>
  <c r="P131" i="13" s="1"/>
  <c r="O132" i="13"/>
  <c r="O131" i="13" s="1"/>
  <c r="N132" i="13"/>
  <c r="M132" i="13"/>
  <c r="L132" i="13"/>
  <c r="L131" i="13" s="1"/>
  <c r="J132" i="13"/>
  <c r="J131" i="13" s="1"/>
  <c r="N131" i="13"/>
  <c r="M131" i="13"/>
  <c r="P126" i="13"/>
  <c r="P125" i="13" s="1"/>
  <c r="O126" i="13"/>
  <c r="O125" i="13" s="1"/>
  <c r="N126" i="13"/>
  <c r="N125" i="13" s="1"/>
  <c r="M126" i="13"/>
  <c r="M125" i="13" s="1"/>
  <c r="L126" i="13"/>
  <c r="L125" i="13" s="1"/>
  <c r="J126" i="13"/>
  <c r="J125" i="13" s="1"/>
  <c r="P119" i="13"/>
  <c r="P118" i="13" s="1"/>
  <c r="O119" i="13"/>
  <c r="O118" i="13" s="1"/>
  <c r="N119" i="13"/>
  <c r="N118" i="13" s="1"/>
  <c r="M119" i="13"/>
  <c r="M118" i="13" s="1"/>
  <c r="L119" i="13"/>
  <c r="L118" i="13" s="1"/>
  <c r="J119" i="13"/>
  <c r="J118" i="13" s="1"/>
  <c r="P115" i="13"/>
  <c r="O115" i="13"/>
  <c r="N115" i="13"/>
  <c r="M115" i="13"/>
  <c r="L115" i="13"/>
  <c r="J115" i="13"/>
  <c r="P113" i="13"/>
  <c r="O113" i="13"/>
  <c r="N113" i="13"/>
  <c r="M113" i="13"/>
  <c r="L113" i="13"/>
  <c r="J113" i="13"/>
  <c r="P103" i="13"/>
  <c r="O103" i="13"/>
  <c r="N103" i="13"/>
  <c r="M103" i="13"/>
  <c r="L103" i="13"/>
  <c r="J103" i="13"/>
  <c r="P101" i="13"/>
  <c r="O101" i="13"/>
  <c r="N101" i="13"/>
  <c r="M101" i="13"/>
  <c r="L101" i="13"/>
  <c r="J101" i="13"/>
  <c r="P99" i="13"/>
  <c r="O99" i="13"/>
  <c r="N99" i="13"/>
  <c r="M99" i="13"/>
  <c r="L99" i="13"/>
  <c r="J99" i="13"/>
  <c r="P96" i="13"/>
  <c r="P94" i="13" s="1"/>
  <c r="O96" i="13"/>
  <c r="O94" i="13" s="1"/>
  <c r="N96" i="13"/>
  <c r="N94" i="13" s="1"/>
  <c r="M96" i="13"/>
  <c r="M94" i="13" s="1"/>
  <c r="L96" i="13"/>
  <c r="L94" i="13" s="1"/>
  <c r="J96" i="13"/>
  <c r="J94" i="13" s="1"/>
  <c r="P91" i="13"/>
  <c r="P90" i="13" s="1"/>
  <c r="O91" i="13"/>
  <c r="O90" i="13" s="1"/>
  <c r="N91" i="13"/>
  <c r="M91" i="13"/>
  <c r="L91" i="13"/>
  <c r="L90" i="13" s="1"/>
  <c r="J91" i="13"/>
  <c r="J90" i="13" s="1"/>
  <c r="N90" i="13"/>
  <c r="M90" i="13"/>
  <c r="P88" i="13"/>
  <c r="P87" i="13" s="1"/>
  <c r="P86" i="13" s="1"/>
  <c r="P85" i="13" s="1"/>
  <c r="P84" i="13" s="1"/>
  <c r="O88" i="13"/>
  <c r="O87" i="13" s="1"/>
  <c r="O86" i="13" s="1"/>
  <c r="O85" i="13" s="1"/>
  <c r="O84" i="13" s="1"/>
  <c r="N88" i="13"/>
  <c r="N87" i="13" s="1"/>
  <c r="N86" i="13" s="1"/>
  <c r="N85" i="13" s="1"/>
  <c r="N84" i="13" s="1"/>
  <c r="L88" i="13"/>
  <c r="L87" i="13" s="1"/>
  <c r="L86" i="13" s="1"/>
  <c r="J88" i="13"/>
  <c r="J87" i="13" s="1"/>
  <c r="J86" i="13" s="1"/>
  <c r="M87" i="13"/>
  <c r="M86" i="13" s="1"/>
  <c r="P78" i="13"/>
  <c r="P77" i="13" s="1"/>
  <c r="O78" i="13"/>
  <c r="O77" i="13" s="1"/>
  <c r="N78" i="13"/>
  <c r="N77" i="13" s="1"/>
  <c r="M78" i="13"/>
  <c r="M77" i="13" s="1"/>
  <c r="L78" i="13"/>
  <c r="L77" i="13" s="1"/>
  <c r="J78" i="13"/>
  <c r="J77" i="13" s="1"/>
  <c r="P75" i="13"/>
  <c r="O75" i="13"/>
  <c r="N75" i="13"/>
  <c r="M75" i="13"/>
  <c r="L75" i="13"/>
  <c r="J75" i="13"/>
  <c r="P73" i="13"/>
  <c r="O73" i="13"/>
  <c r="N73" i="13"/>
  <c r="M73" i="13"/>
  <c r="L73" i="13"/>
  <c r="J73" i="13"/>
  <c r="P66" i="13"/>
  <c r="P65" i="13" s="1"/>
  <c r="P64" i="13" s="1"/>
  <c r="O66" i="13"/>
  <c r="O65" i="13" s="1"/>
  <c r="O64" i="13" s="1"/>
  <c r="N66" i="13"/>
  <c r="N65" i="13" s="1"/>
  <c r="N64" i="13" s="1"/>
  <c r="M66" i="13"/>
  <c r="M65" i="13" s="1"/>
  <c r="M64" i="13" s="1"/>
  <c r="L66" i="13"/>
  <c r="L65" i="13" s="1"/>
  <c r="L64" i="13" s="1"/>
  <c r="J66" i="13"/>
  <c r="J65" i="13" s="1"/>
  <c r="J64" i="13" s="1"/>
  <c r="P61" i="13"/>
  <c r="P60" i="13" s="1"/>
  <c r="P59" i="13" s="1"/>
  <c r="O61" i="13"/>
  <c r="O60" i="13" s="1"/>
  <c r="O59" i="13" s="1"/>
  <c r="N61" i="13"/>
  <c r="N60" i="13" s="1"/>
  <c r="N59" i="13" s="1"/>
  <c r="M61" i="13"/>
  <c r="M60" i="13" s="1"/>
  <c r="M59" i="13" s="1"/>
  <c r="L61" i="13"/>
  <c r="L60" i="13" s="1"/>
  <c r="L59" i="13" s="1"/>
  <c r="J61" i="13"/>
  <c r="J60" i="13" s="1"/>
  <c r="J59" i="13" s="1"/>
  <c r="P57" i="13"/>
  <c r="P56" i="13" s="1"/>
  <c r="P55" i="13" s="1"/>
  <c r="O57" i="13"/>
  <c r="O56" i="13" s="1"/>
  <c r="O55" i="13" s="1"/>
  <c r="N57" i="13"/>
  <c r="N56" i="13" s="1"/>
  <c r="N55" i="13" s="1"/>
  <c r="M57" i="13"/>
  <c r="M56" i="13" s="1"/>
  <c r="M55" i="13" s="1"/>
  <c r="L57" i="13"/>
  <c r="L56" i="13" s="1"/>
  <c r="L55" i="13" s="1"/>
  <c r="J57" i="13"/>
  <c r="J56" i="13" s="1"/>
  <c r="J55" i="13" s="1"/>
  <c r="P50" i="13"/>
  <c r="P49" i="13" s="1"/>
  <c r="P48" i="13" s="1"/>
  <c r="O50" i="13"/>
  <c r="O49" i="13" s="1"/>
  <c r="O48" i="13" s="1"/>
  <c r="N50" i="13"/>
  <c r="N49" i="13" s="1"/>
  <c r="N48" i="13" s="1"/>
  <c r="M50" i="13"/>
  <c r="M49" i="13" s="1"/>
  <c r="M48" i="13" s="1"/>
  <c r="L50" i="13"/>
  <c r="L49" i="13" s="1"/>
  <c r="L48" i="13" s="1"/>
  <c r="J50" i="13"/>
  <c r="J49" i="13" s="1"/>
  <c r="J48" i="13" s="1"/>
  <c r="P46" i="13"/>
  <c r="P45" i="13" s="1"/>
  <c r="O46" i="13"/>
  <c r="O45" i="13" s="1"/>
  <c r="N46" i="13"/>
  <c r="N45" i="13" s="1"/>
  <c r="M46" i="13"/>
  <c r="M45" i="13" s="1"/>
  <c r="L46" i="13"/>
  <c r="L45" i="13" s="1"/>
  <c r="J46" i="13"/>
  <c r="J45" i="13" s="1"/>
  <c r="P42" i="13"/>
  <c r="O42" i="13"/>
  <c r="N42" i="13"/>
  <c r="M42" i="13"/>
  <c r="L42" i="13"/>
  <c r="J42" i="13"/>
  <c r="P39" i="13"/>
  <c r="O39" i="13"/>
  <c r="N39" i="13"/>
  <c r="M39" i="13"/>
  <c r="L39" i="13"/>
  <c r="J39" i="13"/>
  <c r="P37" i="13"/>
  <c r="O37" i="13"/>
  <c r="N37" i="13"/>
  <c r="M37" i="13"/>
  <c r="L37" i="13"/>
  <c r="J37" i="13"/>
  <c r="L36" i="13"/>
  <c r="L35" i="13" s="1"/>
  <c r="P35" i="13"/>
  <c r="O35" i="13"/>
  <c r="N35" i="13"/>
  <c r="J35" i="13"/>
  <c r="L34" i="13"/>
  <c r="M34" i="13" s="1"/>
  <c r="L33" i="13"/>
  <c r="M33" i="13" s="1"/>
  <c r="P32" i="13"/>
  <c r="O32" i="13"/>
  <c r="N32" i="13"/>
  <c r="J32" i="13"/>
  <c r="L29" i="13"/>
  <c r="M29" i="13" s="1"/>
  <c r="L28" i="13"/>
  <c r="M28" i="13" s="1"/>
  <c r="P27" i="13"/>
  <c r="P26" i="13" s="1"/>
  <c r="P25" i="13" s="1"/>
  <c r="O27" i="13"/>
  <c r="O26" i="13" s="1"/>
  <c r="O25" i="13" s="1"/>
  <c r="N27" i="13"/>
  <c r="N26" i="13" s="1"/>
  <c r="N25" i="13" s="1"/>
  <c r="J27" i="13"/>
  <c r="J26" i="13" s="1"/>
  <c r="J25" i="13" s="1"/>
  <c r="H292" i="14" l="1"/>
  <c r="L292" i="14"/>
  <c r="J207" i="13"/>
  <c r="O234" i="13"/>
  <c r="O233" i="13" s="1"/>
  <c r="N207" i="13"/>
  <c r="O206" i="13"/>
  <c r="O204" i="13" s="1"/>
  <c r="N260" i="13"/>
  <c r="J485" i="13"/>
  <c r="H124" i="14"/>
  <c r="H123" i="14" s="1"/>
  <c r="L161" i="14"/>
  <c r="L160" i="14" s="1"/>
  <c r="N234" i="13"/>
  <c r="N233" i="13" s="1"/>
  <c r="M175" i="13"/>
  <c r="M174" i="13" s="1"/>
  <c r="J338" i="13"/>
  <c r="J336" i="13" s="1"/>
  <c r="J337" i="13" s="1"/>
  <c r="K70" i="14"/>
  <c r="J142" i="14"/>
  <c r="J380" i="13"/>
  <c r="I99" i="14"/>
  <c r="I98" i="14" s="1"/>
  <c r="I97" i="14" s="1"/>
  <c r="I96" i="14" s="1"/>
  <c r="I95" i="14" s="1"/>
  <c r="J85" i="13"/>
  <c r="J84" i="13" s="1"/>
  <c r="J342" i="13"/>
  <c r="K124" i="14"/>
  <c r="M27" i="13"/>
  <c r="M26" i="13" s="1"/>
  <c r="M25" i="13" s="1"/>
  <c r="K99" i="14"/>
  <c r="K98" i="14" s="1"/>
  <c r="I257" i="14"/>
  <c r="L124" i="14"/>
  <c r="H161" i="14"/>
  <c r="H160" i="14" s="1"/>
  <c r="H159" i="14" s="1"/>
  <c r="H154" i="14" s="1"/>
  <c r="J72" i="13"/>
  <c r="J71" i="13" s="1"/>
  <c r="J70" i="13" s="1"/>
  <c r="J69" i="13" s="1"/>
  <c r="O98" i="13"/>
  <c r="O93" i="13" s="1"/>
  <c r="O83" i="13" s="1"/>
  <c r="J112" i="13"/>
  <c r="J106" i="13" s="1"/>
  <c r="O112" i="13"/>
  <c r="O106" i="13" s="1"/>
  <c r="H257" i="14"/>
  <c r="L257" i="14"/>
  <c r="M290" i="13"/>
  <c r="O260" i="13"/>
  <c r="P226" i="13"/>
  <c r="P224" i="13" s="1"/>
  <c r="P223" i="13" s="1"/>
  <c r="P112" i="13"/>
  <c r="P106" i="13" s="1"/>
  <c r="P134" i="13"/>
  <c r="P130" i="13" s="1"/>
  <c r="N291" i="13"/>
  <c r="N290" i="13" s="1"/>
  <c r="P329" i="13"/>
  <c r="P335" i="13" s="1"/>
  <c r="J474" i="13"/>
  <c r="J410" i="13" s="1"/>
  <c r="J415" i="13" s="1"/>
  <c r="J414" i="13" s="1"/>
  <c r="N175" i="13"/>
  <c r="N173" i="13" s="1"/>
  <c r="N226" i="13"/>
  <c r="N224" i="13" s="1"/>
  <c r="P152" i="13"/>
  <c r="L336" i="13"/>
  <c r="L329" i="13" s="1"/>
  <c r="K234" i="14"/>
  <c r="J282" i="14"/>
  <c r="J281" i="14" s="1"/>
  <c r="J280" i="14" s="1"/>
  <c r="J279" i="14" s="1"/>
  <c r="J278" i="14" s="1"/>
  <c r="J99" i="14"/>
  <c r="J98" i="14" s="1"/>
  <c r="J97" i="14" s="1"/>
  <c r="J96" i="14" s="1"/>
  <c r="J95" i="14" s="1"/>
  <c r="K161" i="14"/>
  <c r="K160" i="14" s="1"/>
  <c r="L237" i="14"/>
  <c r="L236" i="14" s="1"/>
  <c r="P291" i="13"/>
  <c r="P290" i="13" s="1"/>
  <c r="P474" i="13"/>
  <c r="L50" i="14"/>
  <c r="L49" i="14" s="1"/>
  <c r="N485" i="13"/>
  <c r="O474" i="13"/>
  <c r="K309" i="14"/>
  <c r="K308" i="14" s="1"/>
  <c r="J161" i="14"/>
  <c r="J160" i="14" s="1"/>
  <c r="J159" i="14" s="1"/>
  <c r="J154" i="14" s="1"/>
  <c r="J191" i="14"/>
  <c r="J190" i="14" s="1"/>
  <c r="J184" i="14" s="1"/>
  <c r="J179" i="14" s="1"/>
  <c r="K262" i="14"/>
  <c r="K201" i="14"/>
  <c r="K200" i="14" s="1"/>
  <c r="I282" i="14"/>
  <c r="I281" i="14" s="1"/>
  <c r="I280" i="14" s="1"/>
  <c r="I279" i="14" s="1"/>
  <c r="I278" i="14" s="1"/>
  <c r="L297" i="14"/>
  <c r="J29" i="14"/>
  <c r="J28" i="14" s="1"/>
  <c r="J21" i="14" s="1"/>
  <c r="J19" i="14" s="1"/>
  <c r="I29" i="14"/>
  <c r="I28" i="14" s="1"/>
  <c r="I21" i="14" s="1"/>
  <c r="J138" i="14"/>
  <c r="J137" i="14" s="1"/>
  <c r="J121" i="14" s="1"/>
  <c r="H297" i="14"/>
  <c r="H50" i="14"/>
  <c r="H49" i="14" s="1"/>
  <c r="H48" i="14" s="1"/>
  <c r="H47" i="14" s="1"/>
  <c r="H227" i="14"/>
  <c r="H226" i="14" s="1"/>
  <c r="H225" i="14" s="1"/>
  <c r="H224" i="14" s="1"/>
  <c r="L227" i="14"/>
  <c r="L226" i="14" s="1"/>
  <c r="L225" i="14" s="1"/>
  <c r="L224" i="14" s="1"/>
  <c r="I234" i="14"/>
  <c r="J292" i="14"/>
  <c r="I292" i="14"/>
  <c r="I288" i="14" s="1"/>
  <c r="H29" i="14"/>
  <c r="H28" i="14" s="1"/>
  <c r="H21" i="14" s="1"/>
  <c r="H262" i="14"/>
  <c r="I297" i="14"/>
  <c r="K50" i="14"/>
  <c r="K49" i="14" s="1"/>
  <c r="K48" i="14" s="1"/>
  <c r="K47" i="14" s="1"/>
  <c r="K46" i="14" s="1"/>
  <c r="L70" i="14"/>
  <c r="H132" i="14"/>
  <c r="H131" i="14" s="1"/>
  <c r="J172" i="14"/>
  <c r="J171" i="14" s="1"/>
  <c r="J170" i="14" s="1"/>
  <c r="J169" i="14" s="1"/>
  <c r="K292" i="14"/>
  <c r="K288" i="14" s="1"/>
  <c r="K287" i="14" s="1"/>
  <c r="K286" i="14" s="1"/>
  <c r="K277" i="14" s="1"/>
  <c r="L208" i="14"/>
  <c r="L207" i="14" s="1"/>
  <c r="L213" i="14"/>
  <c r="L212" i="14" s="1"/>
  <c r="H142" i="14"/>
  <c r="H138" i="14" s="1"/>
  <c r="H137" i="14" s="1"/>
  <c r="L142" i="14"/>
  <c r="L138" i="14" s="1"/>
  <c r="L137" i="14" s="1"/>
  <c r="I161" i="14"/>
  <c r="I160" i="14" s="1"/>
  <c r="I159" i="14" s="1"/>
  <c r="I154" i="14" s="1"/>
  <c r="K179" i="14"/>
  <c r="L179" i="14"/>
  <c r="L48" i="14"/>
  <c r="L47" i="14" s="1"/>
  <c r="H217" i="14"/>
  <c r="L217" i="14"/>
  <c r="I217" i="14"/>
  <c r="H201" i="14"/>
  <c r="H200" i="14" s="1"/>
  <c r="H199" i="14" s="1"/>
  <c r="L201" i="14"/>
  <c r="L200" i="14" s="1"/>
  <c r="L199" i="14" s="1"/>
  <c r="N191" i="13"/>
  <c r="J166" i="13"/>
  <c r="J242" i="13"/>
  <c r="J241" i="13" s="1"/>
  <c r="J240" i="13" s="1"/>
  <c r="N336" i="13"/>
  <c r="N337" i="13" s="1"/>
  <c r="O344" i="13"/>
  <c r="O72" i="13"/>
  <c r="O71" i="13" s="1"/>
  <c r="O70" i="13" s="1"/>
  <c r="O69" i="13" s="1"/>
  <c r="N134" i="13"/>
  <c r="N130" i="13" s="1"/>
  <c r="J175" i="13"/>
  <c r="J174" i="13" s="1"/>
  <c r="L191" i="13"/>
  <c r="O300" i="13"/>
  <c r="O299" i="13" s="1"/>
  <c r="L72" i="13"/>
  <c r="L71" i="13" s="1"/>
  <c r="L70" i="13" s="1"/>
  <c r="L69" i="13" s="1"/>
  <c r="P117" i="13"/>
  <c r="M134" i="13"/>
  <c r="M130" i="13" s="1"/>
  <c r="J134" i="13"/>
  <c r="J130" i="13" s="1"/>
  <c r="L152" i="13"/>
  <c r="M191" i="13"/>
  <c r="L241" i="13"/>
  <c r="L240" i="13" s="1"/>
  <c r="P402" i="13"/>
  <c r="P401" i="13" s="1"/>
  <c r="P400" i="13" s="1"/>
  <c r="O449" i="13"/>
  <c r="N474" i="13"/>
  <c r="O485" i="13"/>
  <c r="O415" i="13" s="1"/>
  <c r="O414" i="13" s="1"/>
  <c r="M166" i="13"/>
  <c r="J262" i="14"/>
  <c r="K159" i="14"/>
  <c r="K154" i="14" s="1"/>
  <c r="I227" i="14"/>
  <c r="I226" i="14" s="1"/>
  <c r="I225" i="14" s="1"/>
  <c r="I224" i="14" s="1"/>
  <c r="J288" i="14"/>
  <c r="J79" i="14"/>
  <c r="J78" i="14" s="1"/>
  <c r="J77" i="14" s="1"/>
  <c r="J70" i="14" s="1"/>
  <c r="J46" i="14" s="1"/>
  <c r="I79" i="14"/>
  <c r="I78" i="14" s="1"/>
  <c r="I77" i="14" s="1"/>
  <c r="I70" i="14" s="1"/>
  <c r="I46" i="14" s="1"/>
  <c r="H99" i="14"/>
  <c r="H98" i="14" s="1"/>
  <c r="H97" i="14" s="1"/>
  <c r="H96" i="14" s="1"/>
  <c r="H95" i="14" s="1"/>
  <c r="L99" i="14"/>
  <c r="L98" i="14" s="1"/>
  <c r="L132" i="14"/>
  <c r="L131" i="14" s="1"/>
  <c r="L122" i="14" s="1"/>
  <c r="L121" i="14" s="1"/>
  <c r="K217" i="14"/>
  <c r="J217" i="14"/>
  <c r="K227" i="14"/>
  <c r="K226" i="14" s="1"/>
  <c r="K225" i="14" s="1"/>
  <c r="K224" i="14" s="1"/>
  <c r="J297" i="14"/>
  <c r="I142" i="14"/>
  <c r="I138" i="14" s="1"/>
  <c r="I137" i="14" s="1"/>
  <c r="I121" i="14" s="1"/>
  <c r="K142" i="14"/>
  <c r="K138" i="14" s="1"/>
  <c r="K137" i="14" s="1"/>
  <c r="I191" i="14"/>
  <c r="I190" i="14" s="1"/>
  <c r="I184" i="14" s="1"/>
  <c r="I179" i="14" s="1"/>
  <c r="H288" i="14"/>
  <c r="L288" i="14"/>
  <c r="I309" i="14"/>
  <c r="L159" i="14"/>
  <c r="L154" i="14" s="1"/>
  <c r="I172" i="14"/>
  <c r="I171" i="14" s="1"/>
  <c r="I170" i="14" s="1"/>
  <c r="I169" i="14" s="1"/>
  <c r="H172" i="14"/>
  <c r="H171" i="14" s="1"/>
  <c r="H170" i="14" s="1"/>
  <c r="H169" i="14" s="1"/>
  <c r="L172" i="14"/>
  <c r="L171" i="14" s="1"/>
  <c r="L170" i="14" s="1"/>
  <c r="L169" i="14" s="1"/>
  <c r="K172" i="14"/>
  <c r="K171" i="14" s="1"/>
  <c r="K170" i="14" s="1"/>
  <c r="K169" i="14" s="1"/>
  <c r="H179" i="14"/>
  <c r="J212" i="14"/>
  <c r="I212" i="14"/>
  <c r="K257" i="14"/>
  <c r="J257" i="14"/>
  <c r="J309" i="14"/>
  <c r="M98" i="13"/>
  <c r="M93" i="13" s="1"/>
  <c r="J98" i="13"/>
  <c r="J93" i="13" s="1"/>
  <c r="N112" i="13"/>
  <c r="N106" i="13" s="1"/>
  <c r="L112" i="13"/>
  <c r="L106" i="13" s="1"/>
  <c r="O117" i="13"/>
  <c r="L134" i="13"/>
  <c r="L130" i="13" s="1"/>
  <c r="J226" i="13"/>
  <c r="J225" i="13" s="1"/>
  <c r="P235" i="13"/>
  <c r="M241" i="13"/>
  <c r="M240" i="13" s="1"/>
  <c r="N380" i="13"/>
  <c r="O402" i="13"/>
  <c r="O401" i="13" s="1"/>
  <c r="O400" i="13" s="1"/>
  <c r="J117" i="13"/>
  <c r="O166" i="13"/>
  <c r="P191" i="13"/>
  <c r="M215" i="13"/>
  <c r="N246" i="13"/>
  <c r="N241" i="13" s="1"/>
  <c r="N240" i="13" s="1"/>
  <c r="P300" i="13"/>
  <c r="P299" i="13" s="1"/>
  <c r="M336" i="13"/>
  <c r="M329" i="13" s="1"/>
  <c r="M410" i="13"/>
  <c r="P31" i="13"/>
  <c r="P30" i="13" s="1"/>
  <c r="P21" i="13" s="1"/>
  <c r="N31" i="13"/>
  <c r="N30" i="13" s="1"/>
  <c r="N21" i="13" s="1"/>
  <c r="N72" i="13"/>
  <c r="N71" i="13" s="1"/>
  <c r="N70" i="13" s="1"/>
  <c r="N69" i="13" s="1"/>
  <c r="L98" i="13"/>
  <c r="L93" i="13" s="1"/>
  <c r="P98" i="13"/>
  <c r="P93" i="13" s="1"/>
  <c r="P83" i="13" s="1"/>
  <c r="N117" i="13"/>
  <c r="L166" i="13"/>
  <c r="P166" i="13"/>
  <c r="O175" i="13"/>
  <c r="O174" i="13" s="1"/>
  <c r="O246" i="13"/>
  <c r="O241" i="13" s="1"/>
  <c r="O240" i="13" s="1"/>
  <c r="J260" i="13"/>
  <c r="L290" i="13"/>
  <c r="P341" i="13"/>
  <c r="P336" i="13" s="1"/>
  <c r="P337" i="13" s="1"/>
  <c r="O152" i="13"/>
  <c r="O291" i="13"/>
  <c r="O290" i="13" s="1"/>
  <c r="J173" i="13"/>
  <c r="N335" i="13"/>
  <c r="N328" i="13"/>
  <c r="N152" i="13"/>
  <c r="M173" i="13"/>
  <c r="J216" i="13"/>
  <c r="J219" i="13"/>
  <c r="J291" i="13"/>
  <c r="J290" i="13" s="1"/>
  <c r="L32" i="13"/>
  <c r="L31" i="13" s="1"/>
  <c r="L30" i="13" s="1"/>
  <c r="M36" i="13"/>
  <c r="M35" i="13" s="1"/>
  <c r="J31" i="13"/>
  <c r="J30" i="13" s="1"/>
  <c r="J21" i="13" s="1"/>
  <c r="O31" i="13"/>
  <c r="O30" i="13" s="1"/>
  <c r="O21" i="13" s="1"/>
  <c r="M112" i="13"/>
  <c r="M106" i="13" s="1"/>
  <c r="M117" i="13"/>
  <c r="O134" i="13"/>
  <c r="O130" i="13" s="1"/>
  <c r="M152" i="13"/>
  <c r="L226" i="13"/>
  <c r="L224" i="13" s="1"/>
  <c r="L223" i="13" s="1"/>
  <c r="P276" i="13"/>
  <c r="P260" i="13" s="1"/>
  <c r="L260" i="13"/>
  <c r="M260" i="13"/>
  <c r="P449" i="13"/>
  <c r="P72" i="13"/>
  <c r="P71" i="13" s="1"/>
  <c r="P70" i="13" s="1"/>
  <c r="P69" i="13" s="1"/>
  <c r="M72" i="13"/>
  <c r="M71" i="13" s="1"/>
  <c r="M70" i="13" s="1"/>
  <c r="M69" i="13" s="1"/>
  <c r="M85" i="13"/>
  <c r="M84" i="13" s="1"/>
  <c r="N98" i="13"/>
  <c r="N93" i="13" s="1"/>
  <c r="N83" i="13" s="1"/>
  <c r="L117" i="13"/>
  <c r="J152" i="13"/>
  <c r="N166" i="13"/>
  <c r="O226" i="13"/>
  <c r="O224" i="13" s="1"/>
  <c r="P246" i="13"/>
  <c r="P241" i="13" s="1"/>
  <c r="P240" i="13" s="1"/>
  <c r="O329" i="13"/>
  <c r="O341" i="13"/>
  <c r="O336" i="13" s="1"/>
  <c r="O337" i="13" s="1"/>
  <c r="N449" i="13"/>
  <c r="P485" i="13"/>
  <c r="H70" i="14"/>
  <c r="K96" i="14"/>
  <c r="K95" i="14"/>
  <c r="L95" i="14"/>
  <c r="K132" i="14"/>
  <c r="K131" i="14" s="1"/>
  <c r="K122" i="14" s="1"/>
  <c r="K121" i="14" s="1"/>
  <c r="J227" i="14"/>
  <c r="J226" i="14" s="1"/>
  <c r="J225" i="14" s="1"/>
  <c r="J224" i="14" s="1"/>
  <c r="H234" i="14"/>
  <c r="L262" i="14"/>
  <c r="H309" i="14"/>
  <c r="H308" i="14" s="1"/>
  <c r="I262" i="14"/>
  <c r="L309" i="14"/>
  <c r="L308" i="14" s="1"/>
  <c r="M32" i="13"/>
  <c r="L85" i="13"/>
  <c r="L84" i="13" s="1"/>
  <c r="L27" i="13"/>
  <c r="L26" i="13" s="1"/>
  <c r="L25" i="13" s="1"/>
  <c r="L175" i="13"/>
  <c r="P175" i="13"/>
  <c r="J191" i="13"/>
  <c r="O191" i="13"/>
  <c r="J235" i="13"/>
  <c r="J234" i="13"/>
  <c r="N300" i="13"/>
  <c r="N299" i="13" s="1"/>
  <c r="P282" i="13"/>
  <c r="P281" i="13" s="1"/>
  <c r="P277" i="13" s="1"/>
  <c r="P344" i="13"/>
  <c r="L410" i="13"/>
  <c r="O441" i="13"/>
  <c r="O440" i="13" s="1"/>
  <c r="H122" i="14" l="1"/>
  <c r="H121" i="14" s="1"/>
  <c r="M328" i="13"/>
  <c r="J83" i="13"/>
  <c r="L287" i="14"/>
  <c r="L286" i="14" s="1"/>
  <c r="L277" i="14" s="1"/>
  <c r="H46" i="14"/>
  <c r="P225" i="13"/>
  <c r="M31" i="13"/>
  <c r="M30" i="13" s="1"/>
  <c r="J329" i="13"/>
  <c r="J335" i="13" s="1"/>
  <c r="N223" i="13"/>
  <c r="N215" i="13"/>
  <c r="N190" i="13" s="1"/>
  <c r="N189" i="13" s="1"/>
  <c r="M21" i="13"/>
  <c r="N174" i="13"/>
  <c r="O105" i="13"/>
  <c r="O173" i="13"/>
  <c r="N225" i="13"/>
  <c r="H287" i="14"/>
  <c r="H286" i="14" s="1"/>
  <c r="H277" i="14" s="1"/>
  <c r="J224" i="13"/>
  <c r="J223" i="13" s="1"/>
  <c r="L235" i="14"/>
  <c r="L234" i="14" s="1"/>
  <c r="P105" i="13"/>
  <c r="O225" i="13"/>
  <c r="L120" i="14"/>
  <c r="M83" i="13"/>
  <c r="J287" i="14"/>
  <c r="J286" i="14" s="1"/>
  <c r="J277" i="14" s="1"/>
  <c r="M190" i="13"/>
  <c r="M189" i="13" s="1"/>
  <c r="I287" i="14"/>
  <c r="I286" i="14" s="1"/>
  <c r="I277" i="14" s="1"/>
  <c r="N105" i="13"/>
  <c r="N20" i="13" s="1"/>
  <c r="N11" i="13" s="1"/>
  <c r="O335" i="13"/>
  <c r="L215" i="13"/>
  <c r="L190" i="13" s="1"/>
  <c r="I211" i="14"/>
  <c r="I206" i="14" s="1"/>
  <c r="I199" i="14" s="1"/>
  <c r="I20" i="14"/>
  <c r="L46" i="14"/>
  <c r="I19" i="14"/>
  <c r="J20" i="14"/>
  <c r="J120" i="14"/>
  <c r="K206" i="14"/>
  <c r="K168" i="14" s="1"/>
  <c r="K208" i="14"/>
  <c r="K207" i="14" s="1"/>
  <c r="L21" i="14"/>
  <c r="L19" i="14" s="1"/>
  <c r="L168" i="14"/>
  <c r="I120" i="14"/>
  <c r="K120" i="14"/>
  <c r="I168" i="14"/>
  <c r="J211" i="14"/>
  <c r="J206" i="14" s="1"/>
  <c r="J199" i="14" s="1"/>
  <c r="J168" i="14" s="1"/>
  <c r="H168" i="14"/>
  <c r="H120" i="14"/>
  <c r="L328" i="13"/>
  <c r="L21" i="13"/>
  <c r="L105" i="13"/>
  <c r="J105" i="13"/>
  <c r="J20" i="13" s="1"/>
  <c r="J11" i="13" s="1"/>
  <c r="M105" i="13"/>
  <c r="L83" i="13"/>
  <c r="P215" i="13"/>
  <c r="H20" i="14"/>
  <c r="H19" i="14"/>
  <c r="K21" i="14"/>
  <c r="O215" i="13"/>
  <c r="O223" i="13"/>
  <c r="P174" i="13"/>
  <c r="P173" i="13"/>
  <c r="J233" i="13"/>
  <c r="L174" i="13"/>
  <c r="L173" i="13"/>
  <c r="P20" i="13" l="1"/>
  <c r="P11" i="13" s="1"/>
  <c r="O20" i="13"/>
  <c r="O11" i="13" s="1"/>
  <c r="J215" i="13"/>
  <c r="J190" i="13" s="1"/>
  <c r="J189" i="13" s="1"/>
  <c r="M20" i="13"/>
  <c r="M12" i="13" s="1"/>
  <c r="J328" i="13"/>
  <c r="L20" i="14"/>
  <c r="L189" i="13"/>
  <c r="P415" i="13"/>
  <c r="P414" i="13" s="1"/>
  <c r="P189" i="13"/>
  <c r="I45" i="14"/>
  <c r="I18" i="14" s="1"/>
  <c r="K45" i="14"/>
  <c r="J45" i="14"/>
  <c r="J18" i="14" s="1"/>
  <c r="H45" i="14"/>
  <c r="H18" i="14" s="1"/>
  <c r="L18" i="14"/>
  <c r="O12" i="14" s="1"/>
  <c r="L45" i="14"/>
  <c r="L20" i="13"/>
  <c r="L12" i="13" s="1"/>
  <c r="K19" i="14"/>
  <c r="R15" i="13" l="1"/>
  <c r="Q15" i="13"/>
  <c r="J382" i="12"/>
  <c r="J381" i="12" s="1"/>
  <c r="J380" i="12" s="1"/>
  <c r="J379" i="12" s="1"/>
  <c r="J378" i="12" s="1"/>
  <c r="I382" i="12"/>
  <c r="I381" i="12" s="1"/>
  <c r="I380" i="12" s="1"/>
  <c r="I379" i="12" s="1"/>
  <c r="I378" i="12" s="1"/>
  <c r="H382" i="12"/>
  <c r="H381" i="12" s="1"/>
  <c r="H380" i="12" s="1"/>
  <c r="H379" i="12" s="1"/>
  <c r="H378" i="12" s="1"/>
  <c r="H376" i="12"/>
  <c r="H375" i="12" s="1"/>
  <c r="H374" i="12" s="1"/>
  <c r="H373" i="12" s="1"/>
  <c r="H371" i="12"/>
  <c r="H370" i="12"/>
  <c r="J369" i="12"/>
  <c r="J368" i="12" s="1"/>
  <c r="J367" i="12" s="1"/>
  <c r="J366" i="12" s="1"/>
  <c r="J365" i="12" s="1"/>
  <c r="I369" i="12"/>
  <c r="I368" i="12" s="1"/>
  <c r="I367" i="12" s="1"/>
  <c r="I366" i="12" s="1"/>
  <c r="I365" i="12" s="1"/>
  <c r="J360" i="12"/>
  <c r="J359" i="12" s="1"/>
  <c r="J358" i="12" s="1"/>
  <c r="I360" i="12"/>
  <c r="I359" i="12" s="1"/>
  <c r="I358" i="12" s="1"/>
  <c r="H360" i="12"/>
  <c r="H359" i="12" s="1"/>
  <c r="H358" i="12" s="1"/>
  <c r="J355" i="12"/>
  <c r="J354" i="12" s="1"/>
  <c r="I355" i="12"/>
  <c r="I354" i="12" s="1"/>
  <c r="H355" i="12"/>
  <c r="H354" i="12" s="1"/>
  <c r="H353" i="12" s="1"/>
  <c r="H352" i="12" s="1"/>
  <c r="H351" i="12" s="1"/>
  <c r="J349" i="12"/>
  <c r="J348" i="12" s="1"/>
  <c r="I349" i="12"/>
  <c r="I348" i="12" s="1"/>
  <c r="H349" i="12"/>
  <c r="H348" i="12" s="1"/>
  <c r="H347" i="12" s="1"/>
  <c r="J345" i="12"/>
  <c r="I345" i="12"/>
  <c r="H345" i="12"/>
  <c r="J343" i="12"/>
  <c r="I343" i="12"/>
  <c r="H343" i="12"/>
  <c r="J340" i="12"/>
  <c r="J339" i="12" s="1"/>
  <c r="I340" i="12"/>
  <c r="I339" i="12" s="1"/>
  <c r="H340" i="12"/>
  <c r="H339" i="12" s="1"/>
  <c r="J332" i="12"/>
  <c r="J331" i="12" s="1"/>
  <c r="J330" i="12" s="1"/>
  <c r="J329" i="12" s="1"/>
  <c r="J328" i="12" s="1"/>
  <c r="I332" i="12"/>
  <c r="I331" i="12" s="1"/>
  <c r="I330" i="12" s="1"/>
  <c r="I329" i="12" s="1"/>
  <c r="I328" i="12" s="1"/>
  <c r="H332" i="12"/>
  <c r="H331" i="12" s="1"/>
  <c r="H330" i="12" s="1"/>
  <c r="H329" i="12" s="1"/>
  <c r="H328" i="12" s="1"/>
  <c r="H324" i="12"/>
  <c r="H323" i="12" s="1"/>
  <c r="H322" i="12" s="1"/>
  <c r="J320" i="12"/>
  <c r="J319" i="12" s="1"/>
  <c r="J318" i="12" s="1"/>
  <c r="J317" i="12" s="1"/>
  <c r="J316" i="12" s="1"/>
  <c r="I320" i="12"/>
  <c r="I319" i="12" s="1"/>
  <c r="I318" i="12" s="1"/>
  <c r="I317" i="12" s="1"/>
  <c r="I316" i="12" s="1"/>
  <c r="H320" i="12"/>
  <c r="H319" i="12" s="1"/>
  <c r="H318" i="12" s="1"/>
  <c r="J314" i="12"/>
  <c r="J313" i="12" s="1"/>
  <c r="J312" i="12" s="1"/>
  <c r="J311" i="12" s="1"/>
  <c r="J310" i="12" s="1"/>
  <c r="I314" i="12"/>
  <c r="I313" i="12" s="1"/>
  <c r="I312" i="12" s="1"/>
  <c r="I311" i="12" s="1"/>
  <c r="I310" i="12" s="1"/>
  <c r="H314" i="12"/>
  <c r="H313" i="12" s="1"/>
  <c r="H312" i="12" s="1"/>
  <c r="H311" i="12" s="1"/>
  <c r="H310" i="12" s="1"/>
  <c r="J307" i="12"/>
  <c r="I307" i="12"/>
  <c r="H306" i="12"/>
  <c r="H305" i="12" s="1"/>
  <c r="H304" i="12" s="1"/>
  <c r="H303" i="12" s="1"/>
  <c r="H302" i="12" s="1"/>
  <c r="J305" i="12"/>
  <c r="I305" i="12"/>
  <c r="J302" i="12"/>
  <c r="J299" i="12" s="1"/>
  <c r="I302" i="12"/>
  <c r="I299" i="12" s="1"/>
  <c r="H298" i="12"/>
  <c r="J292" i="12"/>
  <c r="J291" i="12" s="1"/>
  <c r="J290" i="12" s="1"/>
  <c r="J289" i="12" s="1"/>
  <c r="J288" i="12" s="1"/>
  <c r="I292" i="12"/>
  <c r="I291" i="12" s="1"/>
  <c r="I290" i="12" s="1"/>
  <c r="I289" i="12" s="1"/>
  <c r="I288" i="12" s="1"/>
  <c r="H289" i="12"/>
  <c r="H288" i="12" s="1"/>
  <c r="J284" i="12"/>
  <c r="J283" i="12" s="1"/>
  <c r="I284" i="12"/>
  <c r="I283" i="12" s="1"/>
  <c r="H284" i="12"/>
  <c r="H283" i="12" s="1"/>
  <c r="J281" i="12"/>
  <c r="J280" i="12" s="1"/>
  <c r="I281" i="12"/>
  <c r="I280" i="12" s="1"/>
  <c r="H281" i="12"/>
  <c r="H280" i="12" s="1"/>
  <c r="H264" i="12"/>
  <c r="H263" i="12" s="1"/>
  <c r="J263" i="12"/>
  <c r="I263" i="12"/>
  <c r="J259" i="12"/>
  <c r="I259" i="12"/>
  <c r="H259" i="12"/>
  <c r="J256" i="12"/>
  <c r="I256" i="12"/>
  <c r="H256" i="12"/>
  <c r="J254" i="12"/>
  <c r="I254" i="12"/>
  <c r="H254" i="12"/>
  <c r="J250" i="12"/>
  <c r="J249" i="12" s="1"/>
  <c r="J248" i="12" s="1"/>
  <c r="I250" i="12"/>
  <c r="I249" i="12" s="1"/>
  <c r="I248" i="12" s="1"/>
  <c r="H250" i="12"/>
  <c r="H249" i="12" s="1"/>
  <c r="J245" i="12"/>
  <c r="I245" i="12"/>
  <c r="H243" i="12"/>
  <c r="J243" i="12"/>
  <c r="I243" i="12"/>
  <c r="H238" i="12"/>
  <c r="H233" i="12"/>
  <c r="H229" i="12"/>
  <c r="H228" i="12" s="1"/>
  <c r="H227" i="12" s="1"/>
  <c r="H226" i="12" s="1"/>
  <c r="H225" i="12" s="1"/>
  <c r="J228" i="12"/>
  <c r="J227" i="12" s="1"/>
  <c r="J226" i="12" s="1"/>
  <c r="J225" i="12" s="1"/>
  <c r="I228" i="12"/>
  <c r="I227" i="12" s="1"/>
  <c r="I226" i="12" s="1"/>
  <c r="I225" i="12" s="1"/>
  <c r="J221" i="12"/>
  <c r="J219" i="12" s="1"/>
  <c r="J218" i="12" s="1"/>
  <c r="J217" i="12" s="1"/>
  <c r="I221" i="12"/>
  <c r="I219" i="12" s="1"/>
  <c r="I218" i="12" s="1"/>
  <c r="I217" i="12" s="1"/>
  <c r="H221" i="12"/>
  <c r="H215" i="12"/>
  <c r="H214" i="12" s="1"/>
  <c r="H213" i="12" s="1"/>
  <c r="J215" i="12"/>
  <c r="J214" i="12" s="1"/>
  <c r="J213" i="12" s="1"/>
  <c r="I215" i="12"/>
  <c r="I214" i="12" s="1"/>
  <c r="I213" i="12" s="1"/>
  <c r="H211" i="12"/>
  <c r="J209" i="12"/>
  <c r="I209" i="12"/>
  <c r="H209" i="12"/>
  <c r="J207" i="12"/>
  <c r="I207" i="12"/>
  <c r="H207" i="12"/>
  <c r="J205" i="12"/>
  <c r="I205" i="12"/>
  <c r="H205" i="12"/>
  <c r="H200" i="12"/>
  <c r="H199" i="12" s="1"/>
  <c r="H198" i="12" s="1"/>
  <c r="H196" i="12"/>
  <c r="H195" i="12" s="1"/>
  <c r="H194" i="12" s="1"/>
  <c r="H188" i="12"/>
  <c r="J188" i="12"/>
  <c r="I188" i="12"/>
  <c r="J186" i="12"/>
  <c r="I186" i="12"/>
  <c r="H186" i="12"/>
  <c r="H184" i="12"/>
  <c r="J184" i="12"/>
  <c r="J183" i="12" s="1"/>
  <c r="J182" i="12" s="1"/>
  <c r="J181" i="12" s="1"/>
  <c r="I184" i="12"/>
  <c r="I183" i="12" s="1"/>
  <c r="I182" i="12" s="1"/>
  <c r="I181" i="12" s="1"/>
  <c r="H179" i="12"/>
  <c r="H178" i="12" s="1"/>
  <c r="H177" i="12" s="1"/>
  <c r="J179" i="12"/>
  <c r="J178" i="12" s="1"/>
  <c r="J177" i="12" s="1"/>
  <c r="I179" i="12"/>
  <c r="I178" i="12" s="1"/>
  <c r="I177" i="12" s="1"/>
  <c r="H174" i="12"/>
  <c r="H173" i="12" s="1"/>
  <c r="H172" i="12" s="1"/>
  <c r="H171" i="12" s="1"/>
  <c r="J174" i="12"/>
  <c r="J173" i="12" s="1"/>
  <c r="J172" i="12" s="1"/>
  <c r="J171" i="12" s="1"/>
  <c r="I174" i="12"/>
  <c r="I173" i="12" s="1"/>
  <c r="I172" i="12" s="1"/>
  <c r="I171" i="12" s="1"/>
  <c r="J169" i="12"/>
  <c r="I169" i="12"/>
  <c r="H169" i="12"/>
  <c r="J167" i="12"/>
  <c r="I167" i="12"/>
  <c r="H167" i="12"/>
  <c r="J165" i="12"/>
  <c r="I165" i="12"/>
  <c r="H165" i="12"/>
  <c r="J162" i="12"/>
  <c r="J161" i="12" s="1"/>
  <c r="I162" i="12"/>
  <c r="I161" i="12" s="1"/>
  <c r="H162" i="12"/>
  <c r="H161" i="12" s="1"/>
  <c r="J157" i="12"/>
  <c r="I157" i="12"/>
  <c r="H157" i="12"/>
  <c r="H155" i="12"/>
  <c r="J155" i="12"/>
  <c r="J154" i="12" s="1"/>
  <c r="J153" i="12" s="1"/>
  <c r="I155" i="12"/>
  <c r="I154" i="12" s="1"/>
  <c r="I153" i="12" s="1"/>
  <c r="J151" i="12"/>
  <c r="I151" i="12"/>
  <c r="H151" i="12"/>
  <c r="H149" i="12"/>
  <c r="J149" i="12"/>
  <c r="I149" i="12"/>
  <c r="H147" i="12"/>
  <c r="J147" i="12"/>
  <c r="I147" i="12"/>
  <c r="J140" i="12"/>
  <c r="J139" i="12" s="1"/>
  <c r="J138" i="12" s="1"/>
  <c r="I140" i="12"/>
  <c r="I139" i="12" s="1"/>
  <c r="I138" i="12" s="1"/>
  <c r="H139" i="12"/>
  <c r="H138" i="12" s="1"/>
  <c r="H137" i="12" s="1"/>
  <c r="H135" i="12" s="1"/>
  <c r="J135" i="12"/>
  <c r="I135" i="12"/>
  <c r="J133" i="12"/>
  <c r="I133" i="12"/>
  <c r="H133" i="12"/>
  <c r="H132" i="12" s="1"/>
  <c r="H131" i="12" s="1"/>
  <c r="J128" i="12"/>
  <c r="J127" i="12" s="1"/>
  <c r="I128" i="12"/>
  <c r="I127" i="12" s="1"/>
  <c r="H128" i="12"/>
  <c r="H127" i="12" s="1"/>
  <c r="J125" i="12"/>
  <c r="I125" i="12"/>
  <c r="H125" i="12"/>
  <c r="J123" i="12"/>
  <c r="I123" i="12"/>
  <c r="H123" i="12"/>
  <c r="J121" i="12"/>
  <c r="I121" i="12"/>
  <c r="H121" i="12"/>
  <c r="H118" i="12"/>
  <c r="H113" i="12"/>
  <c r="H112" i="12" s="1"/>
  <c r="H111" i="12" s="1"/>
  <c r="H110" i="12" s="1"/>
  <c r="H109" i="12" s="1"/>
  <c r="H108" i="12" s="1"/>
  <c r="J113" i="12"/>
  <c r="J112" i="12" s="1"/>
  <c r="J111" i="12" s="1"/>
  <c r="J110" i="12" s="1"/>
  <c r="J109" i="12" s="1"/>
  <c r="J108" i="12" s="1"/>
  <c r="I113" i="12"/>
  <c r="I112" i="12" s="1"/>
  <c r="I111" i="12" s="1"/>
  <c r="I110" i="12" s="1"/>
  <c r="I109" i="12" s="1"/>
  <c r="I108" i="12" s="1"/>
  <c r="J105" i="12"/>
  <c r="J100" i="12" s="1"/>
  <c r="J99" i="12" s="1"/>
  <c r="J98" i="12" s="1"/>
  <c r="I105" i="12"/>
  <c r="I100" i="12" s="1"/>
  <c r="I99" i="12" s="1"/>
  <c r="I98" i="12" s="1"/>
  <c r="H105" i="12"/>
  <c r="H100" i="12" s="1"/>
  <c r="H99" i="12" s="1"/>
  <c r="H98" i="12" s="1"/>
  <c r="J103" i="12"/>
  <c r="I103" i="12"/>
  <c r="H103" i="12"/>
  <c r="J101" i="12"/>
  <c r="I101" i="12"/>
  <c r="H101" i="12"/>
  <c r="H95" i="12"/>
  <c r="H94" i="12" s="1"/>
  <c r="H93" i="12" s="1"/>
  <c r="H92" i="12" s="1"/>
  <c r="J95" i="12"/>
  <c r="J94" i="12" s="1"/>
  <c r="J93" i="12" s="1"/>
  <c r="J92" i="12" s="1"/>
  <c r="I95" i="12"/>
  <c r="I94" i="12" s="1"/>
  <c r="I93" i="12" s="1"/>
  <c r="I92" i="12" s="1"/>
  <c r="J89" i="12"/>
  <c r="J88" i="12" s="1"/>
  <c r="J87" i="12" s="1"/>
  <c r="J86" i="12" s="1"/>
  <c r="J85" i="12" s="1"/>
  <c r="I89" i="12"/>
  <c r="I88" i="12" s="1"/>
  <c r="I87" i="12" s="1"/>
  <c r="I86" i="12" s="1"/>
  <c r="I85" i="12" s="1"/>
  <c r="H89" i="12"/>
  <c r="H88" i="12" s="1"/>
  <c r="H87" i="12" s="1"/>
  <c r="H86" i="12" s="1"/>
  <c r="H85" i="12" s="1"/>
  <c r="H83" i="12"/>
  <c r="H82" i="12" s="1"/>
  <c r="H81" i="12" s="1"/>
  <c r="H80" i="12" s="1"/>
  <c r="H79" i="12" s="1"/>
  <c r="H77" i="12"/>
  <c r="H76" i="12" s="1"/>
  <c r="H75" i="12" s="1"/>
  <c r="H74" i="12" s="1"/>
  <c r="H73" i="12" s="1"/>
  <c r="J71" i="12"/>
  <c r="J70" i="12" s="1"/>
  <c r="J69" i="12" s="1"/>
  <c r="I71" i="12"/>
  <c r="I70" i="12" s="1"/>
  <c r="I69" i="12" s="1"/>
  <c r="H71" i="12"/>
  <c r="H70" i="12" s="1"/>
  <c r="H69" i="12" s="1"/>
  <c r="J67" i="12"/>
  <c r="I67" i="12"/>
  <c r="H67" i="12"/>
  <c r="J65" i="12"/>
  <c r="I65" i="12"/>
  <c r="H65" i="12"/>
  <c r="J63" i="12"/>
  <c r="I63" i="12"/>
  <c r="H63" i="12"/>
  <c r="J59" i="12"/>
  <c r="I59" i="12"/>
  <c r="J51" i="12"/>
  <c r="J50" i="12" s="1"/>
  <c r="J49" i="12" s="1"/>
  <c r="J48" i="12" s="1"/>
  <c r="J47" i="12" s="1"/>
  <c r="I51" i="12"/>
  <c r="I50" i="12" s="1"/>
  <c r="I49" i="12" s="1"/>
  <c r="I48" i="12" s="1"/>
  <c r="I47" i="12" s="1"/>
  <c r="H51" i="12"/>
  <c r="H50" i="12" s="1"/>
  <c r="H49" i="12" s="1"/>
  <c r="H48" i="12" s="1"/>
  <c r="J45" i="12"/>
  <c r="J44" i="12" s="1"/>
  <c r="J43" i="12" s="1"/>
  <c r="I45" i="12"/>
  <c r="I44" i="12" s="1"/>
  <c r="I43" i="12" s="1"/>
  <c r="H45" i="12"/>
  <c r="H44" i="12" s="1"/>
  <c r="H43" i="12" s="1"/>
  <c r="H38" i="12"/>
  <c r="H37" i="12" s="1"/>
  <c r="H36" i="12" s="1"/>
  <c r="J38" i="12"/>
  <c r="J37" i="12" s="1"/>
  <c r="J36" i="12" s="1"/>
  <c r="I38" i="12"/>
  <c r="I37" i="12" s="1"/>
  <c r="I36" i="12" s="1"/>
  <c r="H32" i="12"/>
  <c r="H31" i="12" s="1"/>
  <c r="H30" i="12" s="1"/>
  <c r="H29" i="12" s="1"/>
  <c r="H28" i="12" s="1"/>
  <c r="J26" i="12"/>
  <c r="J25" i="12" s="1"/>
  <c r="J24" i="12" s="1"/>
  <c r="J23" i="12" s="1"/>
  <c r="J22" i="12" s="1"/>
  <c r="I26" i="12"/>
  <c r="I25" i="12" s="1"/>
  <c r="I24" i="12" s="1"/>
  <c r="I23" i="12" s="1"/>
  <c r="I22" i="12" s="1"/>
  <c r="I12" i="12"/>
  <c r="P545" i="11"/>
  <c r="P544" i="11" s="1"/>
  <c r="O545" i="11"/>
  <c r="O544" i="11" s="1"/>
  <c r="J545" i="11"/>
  <c r="J544" i="11" s="1"/>
  <c r="N544" i="11"/>
  <c r="P543" i="11"/>
  <c r="P542" i="11" s="1"/>
  <c r="O543" i="11"/>
  <c r="O542" i="11" s="1"/>
  <c r="O541" i="11" s="1"/>
  <c r="J543" i="11"/>
  <c r="J542" i="11" s="1"/>
  <c r="N542" i="11"/>
  <c r="M541" i="11"/>
  <c r="L541" i="11"/>
  <c r="P539" i="11"/>
  <c r="O539" i="11"/>
  <c r="O538" i="11" s="1"/>
  <c r="N539" i="11"/>
  <c r="J539" i="11"/>
  <c r="J538" i="11" s="1"/>
  <c r="P538" i="11"/>
  <c r="N538" i="11"/>
  <c r="N533" i="11"/>
  <c r="N532" i="11" s="1"/>
  <c r="M533" i="11"/>
  <c r="M532" i="11" s="1"/>
  <c r="N530" i="11"/>
  <c r="N529" i="11" s="1"/>
  <c r="J528" i="11"/>
  <c r="J527" i="11" s="1"/>
  <c r="N527" i="11"/>
  <c r="N525" i="11"/>
  <c r="J526" i="11"/>
  <c r="J525" i="11" s="1"/>
  <c r="M524" i="11"/>
  <c r="L524" i="11"/>
  <c r="J523" i="11"/>
  <c r="N522" i="11"/>
  <c r="N521" i="11" s="1"/>
  <c r="J520" i="11"/>
  <c r="P519" i="11"/>
  <c r="O519" i="11"/>
  <c r="N519" i="11"/>
  <c r="J519" i="11"/>
  <c r="J518" i="11"/>
  <c r="P517" i="11"/>
  <c r="O517" i="11"/>
  <c r="N517" i="11"/>
  <c r="J517" i="11"/>
  <c r="N515" i="11"/>
  <c r="N514" i="11" s="1"/>
  <c r="N513" i="11" s="1"/>
  <c r="P509" i="11"/>
  <c r="P508" i="11" s="1"/>
  <c r="O509" i="11"/>
  <c r="O508" i="11" s="1"/>
  <c r="N509" i="11"/>
  <c r="N508" i="11" s="1"/>
  <c r="M509" i="11"/>
  <c r="M508" i="11" s="1"/>
  <c r="L509" i="11"/>
  <c r="L508" i="11" s="1"/>
  <c r="J509" i="11"/>
  <c r="J508" i="11" s="1"/>
  <c r="M505" i="11"/>
  <c r="L505" i="11"/>
  <c r="P503" i="11"/>
  <c r="P502" i="11" s="1"/>
  <c r="O503" i="11"/>
  <c r="O502" i="11" s="1"/>
  <c r="N503" i="11"/>
  <c r="N502" i="11" s="1"/>
  <c r="M502" i="11"/>
  <c r="L502" i="11"/>
  <c r="N500" i="11"/>
  <c r="N499" i="11" s="1"/>
  <c r="J498" i="11"/>
  <c r="P497" i="11"/>
  <c r="P496" i="11" s="1"/>
  <c r="O497" i="11"/>
  <c r="O496" i="11" s="1"/>
  <c r="N497" i="11"/>
  <c r="N496" i="11" s="1"/>
  <c r="J497" i="11"/>
  <c r="J496" i="11" s="1"/>
  <c r="AC494" i="11"/>
  <c r="P494" i="11"/>
  <c r="P493" i="11" s="1"/>
  <c r="O494" i="11"/>
  <c r="O493" i="11" s="1"/>
  <c r="N494" i="11"/>
  <c r="N493" i="11" s="1"/>
  <c r="J494" i="11"/>
  <c r="J493" i="11" s="1"/>
  <c r="P491" i="11"/>
  <c r="P490" i="11" s="1"/>
  <c r="O491" i="11"/>
  <c r="O490" i="11" s="1"/>
  <c r="N491" i="11"/>
  <c r="N490" i="11" s="1"/>
  <c r="J491" i="11"/>
  <c r="J490" i="11" s="1"/>
  <c r="P488" i="11"/>
  <c r="O488" i="11"/>
  <c r="N488" i="11"/>
  <c r="M488" i="11"/>
  <c r="L488" i="11"/>
  <c r="K488" i="11"/>
  <c r="J488" i="11"/>
  <c r="J485" i="11" s="1"/>
  <c r="P486" i="11"/>
  <c r="O486" i="11"/>
  <c r="N486" i="11"/>
  <c r="J484" i="11"/>
  <c r="P483" i="11"/>
  <c r="P480" i="11" s="1"/>
  <c r="P479" i="11" s="1"/>
  <c r="O483" i="11"/>
  <c r="O480" i="11" s="1"/>
  <c r="O479" i="11" s="1"/>
  <c r="N483" i="11"/>
  <c r="N480" i="11" s="1"/>
  <c r="N479" i="11" s="1"/>
  <c r="J483" i="11"/>
  <c r="J480" i="11" s="1"/>
  <c r="J479" i="11" s="1"/>
  <c r="M480" i="11"/>
  <c r="M479" i="11" s="1"/>
  <c r="L480" i="11"/>
  <c r="L479" i="11" s="1"/>
  <c r="P477" i="11"/>
  <c r="P476" i="11" s="1"/>
  <c r="O477" i="11"/>
  <c r="O476" i="11" s="1"/>
  <c r="J477" i="11"/>
  <c r="J476" i="11" s="1"/>
  <c r="M476" i="11"/>
  <c r="L476" i="11"/>
  <c r="N474" i="11"/>
  <c r="N473" i="11" s="1"/>
  <c r="N471" i="11"/>
  <c r="N470" i="11" s="1"/>
  <c r="N468" i="11"/>
  <c r="N467" i="11" s="1"/>
  <c r="P465" i="11"/>
  <c r="O465" i="11"/>
  <c r="O464" i="11" s="1"/>
  <c r="N465" i="11"/>
  <c r="N464" i="11" s="1"/>
  <c r="J465" i="11"/>
  <c r="J464" i="11" s="1"/>
  <c r="P464" i="11"/>
  <c r="M464" i="11"/>
  <c r="L464" i="11"/>
  <c r="P462" i="11"/>
  <c r="O462" i="11"/>
  <c r="O461" i="11" s="1"/>
  <c r="N462" i="11"/>
  <c r="N461" i="11" s="1"/>
  <c r="J462" i="11"/>
  <c r="J461" i="11" s="1"/>
  <c r="P461" i="11"/>
  <c r="M461" i="11"/>
  <c r="L461" i="11"/>
  <c r="P455" i="11"/>
  <c r="O455" i="11"/>
  <c r="N455" i="11"/>
  <c r="J455" i="11"/>
  <c r="J451" i="11"/>
  <c r="J450" i="11" s="1"/>
  <c r="J449" i="11" s="1"/>
  <c r="P450" i="11"/>
  <c r="P449" i="11" s="1"/>
  <c r="O450" i="11"/>
  <c r="O449" i="11" s="1"/>
  <c r="N450" i="11"/>
  <c r="N449" i="11" s="1"/>
  <c r="M449" i="11"/>
  <c r="L449" i="11"/>
  <c r="P444" i="11"/>
  <c r="P443" i="11" s="1"/>
  <c r="O444" i="11"/>
  <c r="O443" i="11" s="1"/>
  <c r="N444" i="11"/>
  <c r="N443" i="11" s="1"/>
  <c r="M444" i="11"/>
  <c r="L444" i="11"/>
  <c r="K444" i="11"/>
  <c r="J444" i="11"/>
  <c r="J443" i="11" s="1"/>
  <c r="P437" i="11"/>
  <c r="P442" i="11" s="1"/>
  <c r="P441" i="11" s="1"/>
  <c r="O437" i="11"/>
  <c r="O442" i="11" s="1"/>
  <c r="O441" i="11" s="1"/>
  <c r="J436" i="11"/>
  <c r="J429" i="11" s="1"/>
  <c r="J427" i="11" s="1"/>
  <c r="P435" i="11"/>
  <c r="O435" i="11"/>
  <c r="N435" i="11"/>
  <c r="P433" i="11"/>
  <c r="O433" i="11"/>
  <c r="N433" i="11"/>
  <c r="J433" i="11"/>
  <c r="N431" i="11"/>
  <c r="P431" i="11"/>
  <c r="P430" i="11" s="1"/>
  <c r="O431" i="11"/>
  <c r="O430" i="11" s="1"/>
  <c r="J431" i="11"/>
  <c r="J430" i="11" s="1"/>
  <c r="M430" i="11"/>
  <c r="M427" i="11" s="1"/>
  <c r="L430" i="11"/>
  <c r="L427" i="11" s="1"/>
  <c r="P429" i="11"/>
  <c r="P428" i="11" s="1"/>
  <c r="P427" i="11" s="1"/>
  <c r="O429" i="11"/>
  <c r="O428" i="11" s="1"/>
  <c r="O427" i="11" s="1"/>
  <c r="N429" i="11"/>
  <c r="N428" i="11" s="1"/>
  <c r="N427" i="11" s="1"/>
  <c r="J426" i="11"/>
  <c r="J425" i="11" s="1"/>
  <c r="J424" i="11" s="1"/>
  <c r="J423" i="11" s="1"/>
  <c r="J422" i="11" s="1"/>
  <c r="P425" i="11"/>
  <c r="P424" i="11" s="1"/>
  <c r="P423" i="11" s="1"/>
  <c r="P422" i="11" s="1"/>
  <c r="O425" i="11"/>
  <c r="O424" i="11" s="1"/>
  <c r="O423" i="11" s="1"/>
  <c r="O422" i="11" s="1"/>
  <c r="N425" i="11"/>
  <c r="N424" i="11" s="1"/>
  <c r="N423" i="11" s="1"/>
  <c r="N422" i="11" s="1"/>
  <c r="M424" i="11"/>
  <c r="L424" i="11"/>
  <c r="N421" i="11"/>
  <c r="N420" i="11" s="1"/>
  <c r="N419" i="11" s="1"/>
  <c r="N418" i="11" s="1"/>
  <c r="N417" i="11" s="1"/>
  <c r="P420" i="11"/>
  <c r="P419" i="11" s="1"/>
  <c r="P418" i="11" s="1"/>
  <c r="P417" i="11" s="1"/>
  <c r="P351" i="11" s="1"/>
  <c r="O420" i="11"/>
  <c r="O419" i="11" s="1"/>
  <c r="O418" i="11" s="1"/>
  <c r="O417" i="11" s="1"/>
  <c r="O351" i="11" s="1"/>
  <c r="P415" i="11"/>
  <c r="P414" i="11" s="1"/>
  <c r="P413" i="11" s="1"/>
  <c r="P412" i="11" s="1"/>
  <c r="O415" i="11"/>
  <c r="O414" i="11" s="1"/>
  <c r="O413" i="11" s="1"/>
  <c r="O412" i="11" s="1"/>
  <c r="N415" i="11"/>
  <c r="N414" i="11" s="1"/>
  <c r="N413" i="11" s="1"/>
  <c r="N412" i="11" s="1"/>
  <c r="J415" i="11"/>
  <c r="J414" i="11" s="1"/>
  <c r="J413" i="11" s="1"/>
  <c r="J412" i="11" s="1"/>
  <c r="M414" i="11"/>
  <c r="M413" i="11" s="1"/>
  <c r="M412" i="11" s="1"/>
  <c r="L414" i="11"/>
  <c r="L413" i="11" s="1"/>
  <c r="L412" i="11" s="1"/>
  <c r="J411" i="11"/>
  <c r="P410" i="11"/>
  <c r="O410" i="11"/>
  <c r="N410" i="11"/>
  <c r="J410" i="11"/>
  <c r="N408" i="11"/>
  <c r="M409" i="11"/>
  <c r="L409" i="11"/>
  <c r="J409" i="11"/>
  <c r="J408" i="11" s="1"/>
  <c r="J407" i="11" s="1"/>
  <c r="P408" i="11"/>
  <c r="P407" i="11" s="1"/>
  <c r="O408" i="11"/>
  <c r="O407" i="11" s="1"/>
  <c r="M408" i="11"/>
  <c r="M407" i="11" s="1"/>
  <c r="L408" i="11"/>
  <c r="L407" i="11" s="1"/>
  <c r="P405" i="11"/>
  <c r="O405" i="11"/>
  <c r="N405" i="11"/>
  <c r="P404" i="11"/>
  <c r="O404" i="11"/>
  <c r="N404" i="11"/>
  <c r="J404" i="11"/>
  <c r="P401" i="11"/>
  <c r="O401" i="11"/>
  <c r="N401" i="11"/>
  <c r="N400" i="11" s="1"/>
  <c r="J401" i="11"/>
  <c r="J400" i="11" s="1"/>
  <c r="P400" i="11"/>
  <c r="O400" i="11"/>
  <c r="M400" i="11"/>
  <c r="L400" i="11"/>
  <c r="P398" i="11"/>
  <c r="O398" i="11"/>
  <c r="N398" i="11"/>
  <c r="N396" i="11" s="1"/>
  <c r="J398" i="11"/>
  <c r="J396" i="11" s="1"/>
  <c r="P396" i="11"/>
  <c r="O396" i="11"/>
  <c r="M396" i="11"/>
  <c r="L396" i="11"/>
  <c r="P394" i="11"/>
  <c r="O394" i="11"/>
  <c r="O393" i="11" s="1"/>
  <c r="N394" i="11"/>
  <c r="N393" i="11" s="1"/>
  <c r="J394" i="11"/>
  <c r="J393" i="11" s="1"/>
  <c r="P393" i="11"/>
  <c r="M393" i="11"/>
  <c r="L393" i="11"/>
  <c r="P391" i="11"/>
  <c r="P390" i="11" s="1"/>
  <c r="P389" i="11" s="1"/>
  <c r="P388" i="11" s="1"/>
  <c r="O391" i="11"/>
  <c r="O390" i="11" s="1"/>
  <c r="O389" i="11" s="1"/>
  <c r="O388" i="11" s="1"/>
  <c r="N391" i="11"/>
  <c r="N390" i="11" s="1"/>
  <c r="N389" i="11" s="1"/>
  <c r="N388" i="11" s="1"/>
  <c r="J391" i="11"/>
  <c r="J390" i="11" s="1"/>
  <c r="J389" i="11" s="1"/>
  <c r="J388" i="11" s="1"/>
  <c r="M390" i="11"/>
  <c r="L390" i="11"/>
  <c r="P386" i="11"/>
  <c r="O386" i="11"/>
  <c r="N386" i="11"/>
  <c r="N385" i="11" s="1"/>
  <c r="J386" i="11"/>
  <c r="J385" i="11" s="1"/>
  <c r="P385" i="11"/>
  <c r="O385" i="11"/>
  <c r="P381" i="11"/>
  <c r="O381" i="11"/>
  <c r="O380" i="11" s="1"/>
  <c r="N381" i="11"/>
  <c r="N380" i="11" s="1"/>
  <c r="J381" i="11"/>
  <c r="J380" i="11" s="1"/>
  <c r="P380" i="11"/>
  <c r="P378" i="11"/>
  <c r="P377" i="11" s="1"/>
  <c r="O378" i="11"/>
  <c r="O377" i="11" s="1"/>
  <c r="N378" i="11"/>
  <c r="N377" i="11" s="1"/>
  <c r="J378" i="11"/>
  <c r="J377" i="11" s="1"/>
  <c r="P376" i="11"/>
  <c r="O376" i="11"/>
  <c r="M376" i="11"/>
  <c r="L376" i="11"/>
  <c r="J376" i="11"/>
  <c r="L374" i="11"/>
  <c r="M374" i="11" s="1"/>
  <c r="N369" i="11"/>
  <c r="P369" i="11"/>
  <c r="O369" i="11"/>
  <c r="J369" i="11"/>
  <c r="J366" i="11"/>
  <c r="J364" i="11" s="1"/>
  <c r="P365" i="11"/>
  <c r="O365" i="11"/>
  <c r="N365" i="11"/>
  <c r="J365" i="11"/>
  <c r="P364" i="11"/>
  <c r="O364" i="11"/>
  <c r="M364" i="11"/>
  <c r="L364" i="11"/>
  <c r="N360" i="11"/>
  <c r="N359" i="11" s="1"/>
  <c r="J363" i="11"/>
  <c r="J361" i="11"/>
  <c r="P360" i="11"/>
  <c r="O360" i="11"/>
  <c r="M360" i="11"/>
  <c r="L360" i="11"/>
  <c r="N355" i="11"/>
  <c r="N354" i="11" s="1"/>
  <c r="N353" i="11" s="1"/>
  <c r="N352" i="11" s="1"/>
  <c r="P343" i="11"/>
  <c r="O343" i="11"/>
  <c r="O342" i="11" s="1"/>
  <c r="O341" i="11" s="1"/>
  <c r="O340" i="11" s="1"/>
  <c r="N343" i="11"/>
  <c r="N342" i="11" s="1"/>
  <c r="N341" i="11" s="1"/>
  <c r="N340" i="11" s="1"/>
  <c r="J343" i="11"/>
  <c r="J342" i="11" s="1"/>
  <c r="J341" i="11" s="1"/>
  <c r="J340" i="11" s="1"/>
  <c r="P342" i="11"/>
  <c r="P341" i="11" s="1"/>
  <c r="P340" i="11" s="1"/>
  <c r="M342" i="11"/>
  <c r="M340" i="11" s="1"/>
  <c r="L342" i="11"/>
  <c r="L340" i="11" s="1"/>
  <c r="N335" i="11"/>
  <c r="N334" i="11" s="1"/>
  <c r="N333" i="11" s="1"/>
  <c r="N332" i="11" s="1"/>
  <c r="N326" i="11" s="1"/>
  <c r="N318" i="11"/>
  <c r="N317" i="11" s="1"/>
  <c r="N316" i="11" s="1"/>
  <c r="N315" i="11" s="1"/>
  <c r="N314" i="11" s="1"/>
  <c r="N311" i="11"/>
  <c r="N310" i="11" s="1"/>
  <c r="P311" i="11"/>
  <c r="P310" i="11" s="1"/>
  <c r="O311" i="11"/>
  <c r="O310" i="11" s="1"/>
  <c r="P308" i="11"/>
  <c r="P307" i="11" s="1"/>
  <c r="O308" i="11"/>
  <c r="O307" i="11" s="1"/>
  <c r="N308" i="11"/>
  <c r="N307" i="11" s="1"/>
  <c r="N302" i="11"/>
  <c r="N299" i="11"/>
  <c r="P299" i="11"/>
  <c r="P298" i="11" s="1"/>
  <c r="O299" i="11"/>
  <c r="O298" i="11" s="1"/>
  <c r="J299" i="11"/>
  <c r="J298" i="11" s="1"/>
  <c r="M298" i="11"/>
  <c r="L298" i="11"/>
  <c r="N296" i="11"/>
  <c r="N295" i="11" s="1"/>
  <c r="P296" i="11"/>
  <c r="P295" i="11" s="1"/>
  <c r="O296" i="11"/>
  <c r="O295" i="11" s="1"/>
  <c r="J296" i="11"/>
  <c r="J295" i="11" s="1"/>
  <c r="M295" i="11"/>
  <c r="L295" i="11"/>
  <c r="N290" i="11"/>
  <c r="N289" i="11" s="1"/>
  <c r="N288" i="11" s="1"/>
  <c r="N287" i="11" s="1"/>
  <c r="P290" i="11"/>
  <c r="P289" i="11" s="1"/>
  <c r="P288" i="11" s="1"/>
  <c r="P287" i="11" s="1"/>
  <c r="O290" i="11"/>
  <c r="O289" i="11" s="1"/>
  <c r="O288" i="11" s="1"/>
  <c r="O287" i="11" s="1"/>
  <c r="J290" i="11"/>
  <c r="J289" i="11" s="1"/>
  <c r="J288" i="11" s="1"/>
  <c r="J287" i="11" s="1"/>
  <c r="M289" i="11"/>
  <c r="M287" i="11" s="1"/>
  <c r="L289" i="11"/>
  <c r="L287" i="11" s="1"/>
  <c r="P285" i="11"/>
  <c r="P284" i="11" s="1"/>
  <c r="P280" i="11" s="1"/>
  <c r="O285" i="11"/>
  <c r="O284" i="11" s="1"/>
  <c r="O280" i="11" s="1"/>
  <c r="N285" i="11"/>
  <c r="N284" i="11" s="1"/>
  <c r="J285" i="11"/>
  <c r="J284" i="11" s="1"/>
  <c r="J280" i="11" s="1"/>
  <c r="J279" i="11" s="1"/>
  <c r="N282" i="11"/>
  <c r="N281" i="11" s="1"/>
  <c r="P282" i="11"/>
  <c r="P281" i="11" s="1"/>
  <c r="O282" i="11"/>
  <c r="O281" i="11" s="1"/>
  <c r="M280" i="11"/>
  <c r="M279" i="11" s="1"/>
  <c r="L280" i="11"/>
  <c r="L279" i="11" s="1"/>
  <c r="P279" i="11"/>
  <c r="O279" i="11"/>
  <c r="N279" i="11"/>
  <c r="P277" i="11"/>
  <c r="O277" i="11"/>
  <c r="N277" i="11"/>
  <c r="N276" i="11" s="1"/>
  <c r="J277" i="11"/>
  <c r="J276" i="11" s="1"/>
  <c r="P276" i="11"/>
  <c r="O276" i="11"/>
  <c r="P274" i="11"/>
  <c r="P273" i="11" s="1"/>
  <c r="O274" i="11"/>
  <c r="O273" i="11" s="1"/>
  <c r="N274" i="11"/>
  <c r="N273" i="11" s="1"/>
  <c r="J274" i="11"/>
  <c r="J273" i="11" s="1"/>
  <c r="N270" i="11"/>
  <c r="N269" i="11" s="1"/>
  <c r="L272" i="11"/>
  <c r="P270" i="11"/>
  <c r="P269" i="11" s="1"/>
  <c r="O270" i="11"/>
  <c r="O269" i="11" s="1"/>
  <c r="L270" i="11"/>
  <c r="L266" i="11" s="1"/>
  <c r="L264" i="11" s="1"/>
  <c r="J270" i="11"/>
  <c r="J269" i="11" s="1"/>
  <c r="N267" i="11"/>
  <c r="N266" i="11" s="1"/>
  <c r="P267" i="11"/>
  <c r="P266" i="11" s="1"/>
  <c r="O267" i="11"/>
  <c r="O266" i="11" s="1"/>
  <c r="J267" i="11"/>
  <c r="J266" i="11" s="1"/>
  <c r="M266" i="11"/>
  <c r="M264" i="11" s="1"/>
  <c r="P265" i="11"/>
  <c r="P264" i="11" s="1"/>
  <c r="O265" i="11"/>
  <c r="O264" i="11" s="1"/>
  <c r="J265" i="11"/>
  <c r="J264" i="11" s="1"/>
  <c r="P261" i="11"/>
  <c r="P259" i="11" s="1"/>
  <c r="P258" i="11" s="1"/>
  <c r="P257" i="11" s="1"/>
  <c r="O261" i="11"/>
  <c r="O259" i="11" s="1"/>
  <c r="O258" i="11" s="1"/>
  <c r="O257" i="11" s="1"/>
  <c r="N261" i="11"/>
  <c r="N259" i="11" s="1"/>
  <c r="N258" i="11" s="1"/>
  <c r="N257" i="11" s="1"/>
  <c r="M259" i="11"/>
  <c r="M257" i="11" s="1"/>
  <c r="L259" i="11"/>
  <c r="L257" i="11" s="1"/>
  <c r="J259" i="11"/>
  <c r="J257" i="11" s="1"/>
  <c r="J258" i="11" s="1"/>
  <c r="P255" i="11"/>
  <c r="P254" i="11" s="1"/>
  <c r="P253" i="11" s="1"/>
  <c r="O255" i="11"/>
  <c r="O254" i="11" s="1"/>
  <c r="O253" i="11" s="1"/>
  <c r="N255" i="11"/>
  <c r="N254" i="11" s="1"/>
  <c r="J255" i="11"/>
  <c r="J254" i="11" s="1"/>
  <c r="J249" i="11" s="1"/>
  <c r="M254" i="11"/>
  <c r="L254" i="11"/>
  <c r="P251" i="11"/>
  <c r="P250" i="11" s="1"/>
  <c r="O251" i="11"/>
  <c r="O250" i="11" s="1"/>
  <c r="N251" i="11"/>
  <c r="N250" i="11" s="1"/>
  <c r="N249" i="11" s="1"/>
  <c r="P247" i="11"/>
  <c r="O247" i="11"/>
  <c r="N247" i="11"/>
  <c r="N246" i="11" s="1"/>
  <c r="N245" i="11" s="1"/>
  <c r="J247" i="11"/>
  <c r="J246" i="11" s="1"/>
  <c r="P246" i="11"/>
  <c r="P245" i="11" s="1"/>
  <c r="O246" i="11"/>
  <c r="O245" i="11" s="1"/>
  <c r="M246" i="11"/>
  <c r="L246" i="11"/>
  <c r="N240" i="11"/>
  <c r="N239" i="11" s="1"/>
  <c r="P240" i="11"/>
  <c r="P239" i="11" s="1"/>
  <c r="O240" i="11"/>
  <c r="O239" i="11" s="1"/>
  <c r="O238" i="11" s="1"/>
  <c r="J240" i="11"/>
  <c r="J239" i="11" s="1"/>
  <c r="J237" i="11" s="1"/>
  <c r="J233" i="11" s="1"/>
  <c r="M239" i="11"/>
  <c r="M237" i="11" s="1"/>
  <c r="M233" i="11" s="1"/>
  <c r="L239" i="11"/>
  <c r="L237" i="11" s="1"/>
  <c r="L233" i="11" s="1"/>
  <c r="N231" i="11"/>
  <c r="M232" i="11"/>
  <c r="P231" i="11"/>
  <c r="O231" i="11"/>
  <c r="J231" i="11"/>
  <c r="N229" i="11"/>
  <c r="P229" i="11"/>
  <c r="O229" i="11"/>
  <c r="L229" i="11"/>
  <c r="L226" i="11" s="1"/>
  <c r="L224" i="11" s="1"/>
  <c r="L223" i="11" s="1"/>
  <c r="J229" i="11"/>
  <c r="N227" i="11"/>
  <c r="P227" i="11"/>
  <c r="O227" i="11"/>
  <c r="J227" i="11"/>
  <c r="M226" i="11"/>
  <c r="M224" i="11" s="1"/>
  <c r="M223" i="11" s="1"/>
  <c r="P221" i="11"/>
  <c r="P220" i="11" s="1"/>
  <c r="P219" i="11" s="1"/>
  <c r="P216" i="11" s="1"/>
  <c r="O221" i="11"/>
  <c r="O220" i="11" s="1"/>
  <c r="O219" i="11" s="1"/>
  <c r="O216" i="11" s="1"/>
  <c r="N221" i="11"/>
  <c r="N220" i="11" s="1"/>
  <c r="N219" i="11" s="1"/>
  <c r="N216" i="11" s="1"/>
  <c r="J221" i="11"/>
  <c r="J220" i="11" s="1"/>
  <c r="J219" i="11" s="1"/>
  <c r="M220" i="11"/>
  <c r="M216" i="11" s="1"/>
  <c r="L220" i="11"/>
  <c r="L216" i="11" s="1"/>
  <c r="N208" i="11"/>
  <c r="P208" i="11"/>
  <c r="P206" i="11" s="1"/>
  <c r="P204" i="11" s="1"/>
  <c r="O208" i="11"/>
  <c r="O207" i="11" s="1"/>
  <c r="J208" i="11"/>
  <c r="J206" i="11" s="1"/>
  <c r="J204" i="11" s="1"/>
  <c r="M206" i="11"/>
  <c r="M204" i="11" s="1"/>
  <c r="L206" i="11"/>
  <c r="L204" i="11" s="1"/>
  <c r="P202" i="11"/>
  <c r="O202" i="11"/>
  <c r="N202" i="11"/>
  <c r="J202" i="11"/>
  <c r="J200" i="11" s="1"/>
  <c r="J199" i="11" s="1"/>
  <c r="P201" i="11"/>
  <c r="O201" i="11"/>
  <c r="N201" i="11"/>
  <c r="J201" i="11"/>
  <c r="P200" i="11"/>
  <c r="P199" i="11" s="1"/>
  <c r="O200" i="11"/>
  <c r="O199" i="11" s="1"/>
  <c r="N200" i="11"/>
  <c r="N199" i="11" s="1"/>
  <c r="L200" i="11"/>
  <c r="L199" i="11" s="1"/>
  <c r="L191" i="11" s="1"/>
  <c r="M199" i="11"/>
  <c r="P183" i="11"/>
  <c r="P182" i="11" s="1"/>
  <c r="O183" i="11"/>
  <c r="O182" i="11" s="1"/>
  <c r="N183" i="11"/>
  <c r="N182" i="11" s="1"/>
  <c r="L183" i="11"/>
  <c r="L182" i="11" s="1"/>
  <c r="J183" i="11"/>
  <c r="J182" i="11" s="1"/>
  <c r="M182" i="11"/>
  <c r="P179" i="11"/>
  <c r="P178" i="11" s="1"/>
  <c r="O179" i="11"/>
  <c r="O178" i="11" s="1"/>
  <c r="N179" i="11"/>
  <c r="N178" i="11" s="1"/>
  <c r="M179" i="11"/>
  <c r="M178" i="11" s="1"/>
  <c r="L179" i="11"/>
  <c r="L178" i="11" s="1"/>
  <c r="J179" i="11"/>
  <c r="J178" i="11" s="1"/>
  <c r="P171" i="11"/>
  <c r="P170" i="11" s="1"/>
  <c r="O171" i="11"/>
  <c r="O170" i="11" s="1"/>
  <c r="N171" i="11"/>
  <c r="N170" i="11" s="1"/>
  <c r="M171" i="11"/>
  <c r="M170" i="11" s="1"/>
  <c r="L171" i="11"/>
  <c r="L170" i="11" s="1"/>
  <c r="J171" i="11"/>
  <c r="J170" i="11" s="1"/>
  <c r="P168" i="11"/>
  <c r="P167" i="11" s="1"/>
  <c r="O168" i="11"/>
  <c r="O167" i="11" s="1"/>
  <c r="N168" i="11"/>
  <c r="N167" i="11" s="1"/>
  <c r="M168" i="11"/>
  <c r="M167" i="11" s="1"/>
  <c r="L168" i="11"/>
  <c r="L167" i="11" s="1"/>
  <c r="J168" i="11"/>
  <c r="J167" i="11" s="1"/>
  <c r="P163" i="11"/>
  <c r="P162" i="11" s="1"/>
  <c r="P161" i="11" s="1"/>
  <c r="P160" i="11" s="1"/>
  <c r="O163" i="11"/>
  <c r="O162" i="11" s="1"/>
  <c r="O161" i="11" s="1"/>
  <c r="O160" i="11" s="1"/>
  <c r="N163" i="11"/>
  <c r="N162" i="11" s="1"/>
  <c r="N161" i="11" s="1"/>
  <c r="N160" i="11" s="1"/>
  <c r="M163" i="11"/>
  <c r="M162" i="11" s="1"/>
  <c r="M161" i="11" s="1"/>
  <c r="M160" i="11" s="1"/>
  <c r="L163" i="11"/>
  <c r="L162" i="11" s="1"/>
  <c r="L161" i="11" s="1"/>
  <c r="L160" i="11" s="1"/>
  <c r="J163" i="11"/>
  <c r="J162" i="11" s="1"/>
  <c r="J161" i="11" s="1"/>
  <c r="J160" i="11" s="1"/>
  <c r="P158" i="11"/>
  <c r="P156" i="11" s="1"/>
  <c r="P155" i="11" s="1"/>
  <c r="P154" i="11" s="1"/>
  <c r="P153" i="11" s="1"/>
  <c r="O158" i="11"/>
  <c r="O156" i="11" s="1"/>
  <c r="O155" i="11" s="1"/>
  <c r="O154" i="11" s="1"/>
  <c r="O153" i="11" s="1"/>
  <c r="N158" i="11"/>
  <c r="N156" i="11" s="1"/>
  <c r="N155" i="11" s="1"/>
  <c r="N154" i="11" s="1"/>
  <c r="N153" i="11" s="1"/>
  <c r="L158" i="11"/>
  <c r="L156" i="11" s="1"/>
  <c r="L155" i="11" s="1"/>
  <c r="L154" i="11" s="1"/>
  <c r="L153" i="11" s="1"/>
  <c r="J158" i="11"/>
  <c r="J156" i="11" s="1"/>
  <c r="J155" i="11" s="1"/>
  <c r="J154" i="11" s="1"/>
  <c r="J153" i="11" s="1"/>
  <c r="M156" i="11"/>
  <c r="M155" i="11" s="1"/>
  <c r="M154" i="11" s="1"/>
  <c r="M153" i="11" s="1"/>
  <c r="P150" i="11"/>
  <c r="P147" i="11" s="1"/>
  <c r="P146" i="11" s="1"/>
  <c r="P145" i="11" s="1"/>
  <c r="P144" i="11" s="1"/>
  <c r="O150" i="11"/>
  <c r="O147" i="11" s="1"/>
  <c r="O146" i="11" s="1"/>
  <c r="O145" i="11" s="1"/>
  <c r="O144" i="11" s="1"/>
  <c r="N150" i="11"/>
  <c r="M150" i="11"/>
  <c r="L150" i="11"/>
  <c r="L147" i="11" s="1"/>
  <c r="L146" i="11" s="1"/>
  <c r="L145" i="11" s="1"/>
  <c r="L144" i="11" s="1"/>
  <c r="J150" i="11"/>
  <c r="J147" i="11" s="1"/>
  <c r="J146" i="11" s="1"/>
  <c r="J145" i="11" s="1"/>
  <c r="J144" i="11" s="1"/>
  <c r="N147" i="11"/>
  <c r="N146" i="11" s="1"/>
  <c r="N145" i="11" s="1"/>
  <c r="N144" i="11" s="1"/>
  <c r="M147" i="11"/>
  <c r="M146" i="11" s="1"/>
  <c r="M145" i="11" s="1"/>
  <c r="M144" i="11" s="1"/>
  <c r="P142" i="11"/>
  <c r="P141" i="11" s="1"/>
  <c r="P140" i="11" s="1"/>
  <c r="P139" i="11" s="1"/>
  <c r="O142" i="11"/>
  <c r="O141" i="11" s="1"/>
  <c r="O140" i="11" s="1"/>
  <c r="O139" i="11" s="1"/>
  <c r="N142" i="11"/>
  <c r="N141" i="11" s="1"/>
  <c r="N140" i="11" s="1"/>
  <c r="N139" i="11" s="1"/>
  <c r="M142" i="11"/>
  <c r="M141" i="11" s="1"/>
  <c r="M140" i="11" s="1"/>
  <c r="M139" i="11" s="1"/>
  <c r="L142" i="11"/>
  <c r="L141" i="11" s="1"/>
  <c r="L140" i="11" s="1"/>
  <c r="L139" i="11" s="1"/>
  <c r="J142" i="11"/>
  <c r="J141" i="11" s="1"/>
  <c r="J140" i="11" s="1"/>
  <c r="J139" i="11" s="1"/>
  <c r="P138" i="11"/>
  <c r="P137" i="11" s="1"/>
  <c r="O138" i="11"/>
  <c r="O137" i="11" s="1"/>
  <c r="N138" i="11"/>
  <c r="N137" i="11" s="1"/>
  <c r="J138" i="11"/>
  <c r="J137" i="11" s="1"/>
  <c r="M137" i="11"/>
  <c r="L137" i="11"/>
  <c r="P136" i="11"/>
  <c r="P135" i="11" s="1"/>
  <c r="O136" i="11"/>
  <c r="O135" i="11" s="1"/>
  <c r="N136" i="11"/>
  <c r="N135" i="11" s="1"/>
  <c r="J136" i="11"/>
  <c r="J135" i="11" s="1"/>
  <c r="M135" i="11"/>
  <c r="L135" i="11"/>
  <c r="P132" i="11"/>
  <c r="P131" i="11" s="1"/>
  <c r="O132" i="11"/>
  <c r="O131" i="11" s="1"/>
  <c r="N132" i="11"/>
  <c r="N131" i="11" s="1"/>
  <c r="M132" i="11"/>
  <c r="M131" i="11" s="1"/>
  <c r="L132" i="11"/>
  <c r="L131" i="11" s="1"/>
  <c r="J132" i="11"/>
  <c r="J131" i="11" s="1"/>
  <c r="P126" i="11"/>
  <c r="P125" i="11" s="1"/>
  <c r="O126" i="11"/>
  <c r="O125" i="11" s="1"/>
  <c r="N126" i="11"/>
  <c r="N125" i="11" s="1"/>
  <c r="M126" i="11"/>
  <c r="M125" i="11" s="1"/>
  <c r="L126" i="11"/>
  <c r="L125" i="11" s="1"/>
  <c r="J126" i="11"/>
  <c r="J125" i="11" s="1"/>
  <c r="P119" i="11"/>
  <c r="P118" i="11" s="1"/>
  <c r="O119" i="11"/>
  <c r="O118" i="11" s="1"/>
  <c r="N119" i="11"/>
  <c r="N118" i="11" s="1"/>
  <c r="M119" i="11"/>
  <c r="M118" i="11" s="1"/>
  <c r="L119" i="11"/>
  <c r="L118" i="11" s="1"/>
  <c r="J119" i="11"/>
  <c r="J118" i="11" s="1"/>
  <c r="P115" i="11"/>
  <c r="O115" i="11"/>
  <c r="N115" i="11"/>
  <c r="M115" i="11"/>
  <c r="L115" i="11"/>
  <c r="J115" i="11"/>
  <c r="P113" i="11"/>
  <c r="O113" i="11"/>
  <c r="N113" i="11"/>
  <c r="M113" i="11"/>
  <c r="L113" i="11"/>
  <c r="J113" i="11"/>
  <c r="P103" i="11"/>
  <c r="O103" i="11"/>
  <c r="N103" i="11"/>
  <c r="M103" i="11"/>
  <c r="L103" i="11"/>
  <c r="J103" i="11"/>
  <c r="P101" i="11"/>
  <c r="O101" i="11"/>
  <c r="N101" i="11"/>
  <c r="M101" i="11"/>
  <c r="L101" i="11"/>
  <c r="J101" i="11"/>
  <c r="P99" i="11"/>
  <c r="O99" i="11"/>
  <c r="N99" i="11"/>
  <c r="M99" i="11"/>
  <c r="L99" i="11"/>
  <c r="J99" i="11"/>
  <c r="P96" i="11"/>
  <c r="P94" i="11" s="1"/>
  <c r="O96" i="11"/>
  <c r="O94" i="11" s="1"/>
  <c r="N96" i="11"/>
  <c r="N94" i="11" s="1"/>
  <c r="M96" i="11"/>
  <c r="M94" i="11" s="1"/>
  <c r="L96" i="11"/>
  <c r="L94" i="11" s="1"/>
  <c r="J96" i="11"/>
  <c r="J94" i="11" s="1"/>
  <c r="P91" i="11"/>
  <c r="P90" i="11" s="1"/>
  <c r="O91" i="11"/>
  <c r="O90" i="11" s="1"/>
  <c r="N91" i="11"/>
  <c r="N90" i="11" s="1"/>
  <c r="M91" i="11"/>
  <c r="M90" i="11" s="1"/>
  <c r="L91" i="11"/>
  <c r="L90" i="11" s="1"/>
  <c r="J91" i="11"/>
  <c r="J90" i="11" s="1"/>
  <c r="P88" i="11"/>
  <c r="P87" i="11" s="1"/>
  <c r="P86" i="11" s="1"/>
  <c r="O88" i="11"/>
  <c r="O87" i="11" s="1"/>
  <c r="O86" i="11" s="1"/>
  <c r="N88" i="11"/>
  <c r="N87" i="11" s="1"/>
  <c r="N86" i="11" s="1"/>
  <c r="L88" i="11"/>
  <c r="L87" i="11" s="1"/>
  <c r="L86" i="11" s="1"/>
  <c r="J88" i="11"/>
  <c r="J87" i="11" s="1"/>
  <c r="J86" i="11" s="1"/>
  <c r="M87" i="11"/>
  <c r="M86" i="11" s="1"/>
  <c r="P78" i="11"/>
  <c r="P77" i="11" s="1"/>
  <c r="O78" i="11"/>
  <c r="O77" i="11" s="1"/>
  <c r="N78" i="11"/>
  <c r="N77" i="11" s="1"/>
  <c r="M78" i="11"/>
  <c r="M77" i="11" s="1"/>
  <c r="L78" i="11"/>
  <c r="L77" i="11" s="1"/>
  <c r="J78" i="11"/>
  <c r="J77" i="11" s="1"/>
  <c r="P75" i="11"/>
  <c r="O75" i="11"/>
  <c r="N75" i="11"/>
  <c r="M75" i="11"/>
  <c r="L75" i="11"/>
  <c r="J75" i="11"/>
  <c r="P73" i="11"/>
  <c r="O73" i="11"/>
  <c r="N73" i="11"/>
  <c r="M73" i="11"/>
  <c r="L73" i="11"/>
  <c r="J73" i="11"/>
  <c r="P66" i="11"/>
  <c r="P65" i="11" s="1"/>
  <c r="P64" i="11" s="1"/>
  <c r="O66" i="11"/>
  <c r="O65" i="11" s="1"/>
  <c r="O64" i="11" s="1"/>
  <c r="N66" i="11"/>
  <c r="N65" i="11" s="1"/>
  <c r="N64" i="11" s="1"/>
  <c r="M66" i="11"/>
  <c r="M65" i="11" s="1"/>
  <c r="M64" i="11" s="1"/>
  <c r="L66" i="11"/>
  <c r="L65" i="11" s="1"/>
  <c r="L64" i="11" s="1"/>
  <c r="J66" i="11"/>
  <c r="J65" i="11" s="1"/>
  <c r="J64" i="11" s="1"/>
  <c r="P61" i="11"/>
  <c r="P60" i="11" s="1"/>
  <c r="P59" i="11" s="1"/>
  <c r="O61" i="11"/>
  <c r="O60" i="11" s="1"/>
  <c r="O59" i="11" s="1"/>
  <c r="N61" i="11"/>
  <c r="N60" i="11" s="1"/>
  <c r="N59" i="11" s="1"/>
  <c r="M61" i="11"/>
  <c r="M60" i="11" s="1"/>
  <c r="M59" i="11" s="1"/>
  <c r="L61" i="11"/>
  <c r="L60" i="11" s="1"/>
  <c r="L59" i="11" s="1"/>
  <c r="J61" i="11"/>
  <c r="J60" i="11" s="1"/>
  <c r="J59" i="11" s="1"/>
  <c r="P57" i="11"/>
  <c r="P56" i="11" s="1"/>
  <c r="P55" i="11" s="1"/>
  <c r="O57" i="11"/>
  <c r="O56" i="11" s="1"/>
  <c r="O55" i="11" s="1"/>
  <c r="N57" i="11"/>
  <c r="N56" i="11" s="1"/>
  <c r="N55" i="11" s="1"/>
  <c r="M57" i="11"/>
  <c r="M56" i="11" s="1"/>
  <c r="M55" i="11" s="1"/>
  <c r="L57" i="11"/>
  <c r="L56" i="11" s="1"/>
  <c r="L55" i="11" s="1"/>
  <c r="J57" i="11"/>
  <c r="J56" i="11" s="1"/>
  <c r="J55" i="11" s="1"/>
  <c r="P50" i="11"/>
  <c r="P49" i="11" s="1"/>
  <c r="P48" i="11" s="1"/>
  <c r="O50" i="11"/>
  <c r="O49" i="11" s="1"/>
  <c r="O48" i="11" s="1"/>
  <c r="N50" i="11"/>
  <c r="N49" i="11" s="1"/>
  <c r="N48" i="11" s="1"/>
  <c r="M50" i="11"/>
  <c r="M49" i="11" s="1"/>
  <c r="M48" i="11" s="1"/>
  <c r="L50" i="11"/>
  <c r="L49" i="11" s="1"/>
  <c r="L48" i="11" s="1"/>
  <c r="J50" i="11"/>
  <c r="J49" i="11" s="1"/>
  <c r="J48" i="11" s="1"/>
  <c r="P46" i="11"/>
  <c r="P45" i="11" s="1"/>
  <c r="O46" i="11"/>
  <c r="O45" i="11" s="1"/>
  <c r="N46" i="11"/>
  <c r="N45" i="11" s="1"/>
  <c r="M46" i="11"/>
  <c r="M45" i="11" s="1"/>
  <c r="L46" i="11"/>
  <c r="L45" i="11" s="1"/>
  <c r="J46" i="11"/>
  <c r="J45" i="11" s="1"/>
  <c r="P42" i="11"/>
  <c r="O42" i="11"/>
  <c r="N42" i="11"/>
  <c r="M42" i="11"/>
  <c r="L42" i="11"/>
  <c r="J42" i="11"/>
  <c r="P39" i="11"/>
  <c r="O39" i="11"/>
  <c r="N39" i="11"/>
  <c r="M39" i="11"/>
  <c r="L39" i="11"/>
  <c r="J39" i="11"/>
  <c r="P37" i="11"/>
  <c r="O37" i="11"/>
  <c r="N37" i="11"/>
  <c r="M37" i="11"/>
  <c r="L37" i="11"/>
  <c r="J37" i="11"/>
  <c r="L36" i="11"/>
  <c r="M36" i="11" s="1"/>
  <c r="M35" i="11" s="1"/>
  <c r="P35" i="11"/>
  <c r="O35" i="11"/>
  <c r="N35" i="11"/>
  <c r="J35" i="11"/>
  <c r="L34" i="11"/>
  <c r="M34" i="11" s="1"/>
  <c r="L33" i="11"/>
  <c r="M33" i="11" s="1"/>
  <c r="P32" i="11"/>
  <c r="O32" i="11"/>
  <c r="N32" i="11"/>
  <c r="J32" i="11"/>
  <c r="L29" i="11"/>
  <c r="L28" i="11"/>
  <c r="M28" i="11" s="1"/>
  <c r="P27" i="11"/>
  <c r="P26" i="11" s="1"/>
  <c r="P25" i="11" s="1"/>
  <c r="O27" i="11"/>
  <c r="O26" i="11" s="1"/>
  <c r="O25" i="11" s="1"/>
  <c r="N27" i="11"/>
  <c r="N26" i="11" s="1"/>
  <c r="N25" i="11" s="1"/>
  <c r="J27" i="11"/>
  <c r="J26" i="11" s="1"/>
  <c r="J25" i="11" s="1"/>
  <c r="J435" i="11" l="1"/>
  <c r="J134" i="11"/>
  <c r="M244" i="11"/>
  <c r="N226" i="11"/>
  <c r="N225" i="11" s="1"/>
  <c r="N224" i="11" s="1"/>
  <c r="H154" i="12"/>
  <c r="H153" i="12" s="1"/>
  <c r="I342" i="12"/>
  <c r="I338" i="12" s="1"/>
  <c r="J347" i="12"/>
  <c r="N430" i="11"/>
  <c r="L35" i="11"/>
  <c r="P263" i="11"/>
  <c r="J85" i="11"/>
  <c r="J84" i="11" s="1"/>
  <c r="P112" i="11"/>
  <c r="P106" i="11" s="1"/>
  <c r="N407" i="11"/>
  <c r="N358" i="11" s="1"/>
  <c r="N357" i="11" s="1"/>
  <c r="N351" i="11" s="1"/>
  <c r="J98" i="11"/>
  <c r="J93" i="11" s="1"/>
  <c r="O98" i="11"/>
  <c r="O93" i="11" s="1"/>
  <c r="H369" i="12"/>
  <c r="H368" i="12" s="1"/>
  <c r="H367" i="12" s="1"/>
  <c r="H366" i="12" s="1"/>
  <c r="H365" i="12" s="1"/>
  <c r="H364" i="12" s="1"/>
  <c r="H363" i="12" s="1"/>
  <c r="I132" i="12"/>
  <c r="I131" i="12" s="1"/>
  <c r="O263" i="11"/>
  <c r="L293" i="11"/>
  <c r="J524" i="11"/>
  <c r="M263" i="11"/>
  <c r="M191" i="11"/>
  <c r="J245" i="11"/>
  <c r="J244" i="11" s="1"/>
  <c r="L263" i="11"/>
  <c r="O226" i="11"/>
  <c r="O225" i="11" s="1"/>
  <c r="N524" i="11"/>
  <c r="M32" i="11"/>
  <c r="I242" i="12"/>
  <c r="I241" i="12" s="1"/>
  <c r="N72" i="11"/>
  <c r="N71" i="11" s="1"/>
  <c r="N70" i="11" s="1"/>
  <c r="N69" i="11" s="1"/>
  <c r="N280" i="11"/>
  <c r="J112" i="11"/>
  <c r="J106" i="11" s="1"/>
  <c r="O206" i="11"/>
  <c r="O204" i="11" s="1"/>
  <c r="H296" i="12"/>
  <c r="H295" i="12" s="1"/>
  <c r="H287" i="12" s="1"/>
  <c r="H286" i="12" s="1"/>
  <c r="I347" i="12"/>
  <c r="H245" i="12"/>
  <c r="H242" i="12" s="1"/>
  <c r="H241" i="12" s="1"/>
  <c r="I309" i="12"/>
  <c r="H117" i="12"/>
  <c r="H116" i="12" s="1"/>
  <c r="H219" i="12"/>
  <c r="H218" i="12" s="1"/>
  <c r="I253" i="12"/>
  <c r="I279" i="12"/>
  <c r="I278" i="12" s="1"/>
  <c r="I277" i="12" s="1"/>
  <c r="I276" i="12" s="1"/>
  <c r="P358" i="11"/>
  <c r="P359" i="11" s="1"/>
  <c r="J226" i="11"/>
  <c r="J224" i="11" s="1"/>
  <c r="J223" i="11" s="1"/>
  <c r="J243" i="11"/>
  <c r="M243" i="11"/>
  <c r="P516" i="11"/>
  <c r="N191" i="11"/>
  <c r="L152" i="11"/>
  <c r="N85" i="11"/>
  <c r="N84" i="11" s="1"/>
  <c r="J120" i="12"/>
  <c r="J119" i="12" s="1"/>
  <c r="H146" i="12"/>
  <c r="H145" i="12" s="1"/>
  <c r="H193" i="12"/>
  <c r="I258" i="12"/>
  <c r="H342" i="12"/>
  <c r="H338" i="12" s="1"/>
  <c r="H337" i="12" s="1"/>
  <c r="H336" i="12" s="1"/>
  <c r="H327" i="12" s="1"/>
  <c r="I146" i="12"/>
  <c r="I145" i="12" s="1"/>
  <c r="I144" i="12" s="1"/>
  <c r="I143" i="12" s="1"/>
  <c r="H91" i="12"/>
  <c r="H35" i="12"/>
  <c r="H34" i="12" s="1"/>
  <c r="J242" i="12"/>
  <c r="J241" i="12" s="1"/>
  <c r="J279" i="12"/>
  <c r="J278" i="12" s="1"/>
  <c r="J277" i="12" s="1"/>
  <c r="J276" i="12" s="1"/>
  <c r="J91" i="12"/>
  <c r="J146" i="12"/>
  <c r="J145" i="12" s="1"/>
  <c r="J144" i="12" s="1"/>
  <c r="J143" i="12" s="1"/>
  <c r="J164" i="12"/>
  <c r="J160" i="12" s="1"/>
  <c r="J159" i="12" s="1"/>
  <c r="I204" i="12"/>
  <c r="I203" i="12" s="1"/>
  <c r="I202" i="12" s="1"/>
  <c r="I192" i="12" s="1"/>
  <c r="J176" i="12"/>
  <c r="I120" i="12"/>
  <c r="I119" i="12" s="1"/>
  <c r="H183" i="12"/>
  <c r="H182" i="12" s="1"/>
  <c r="H181" i="12" s="1"/>
  <c r="H176" i="12" s="1"/>
  <c r="H232" i="12"/>
  <c r="H231" i="12" s="1"/>
  <c r="H230" i="12" s="1"/>
  <c r="H258" i="12"/>
  <c r="H217" i="12"/>
  <c r="H59" i="12"/>
  <c r="H58" i="12" s="1"/>
  <c r="H57" i="12" s="1"/>
  <c r="H56" i="12" s="1"/>
  <c r="H55" i="12" s="1"/>
  <c r="J204" i="12"/>
  <c r="J203" i="12" s="1"/>
  <c r="J202" i="12" s="1"/>
  <c r="J192" i="12" s="1"/>
  <c r="H204" i="12"/>
  <c r="H203" i="12" s="1"/>
  <c r="H202" i="12" s="1"/>
  <c r="H192" i="12" s="1"/>
  <c r="H279" i="12"/>
  <c r="H278" i="12" s="1"/>
  <c r="H277" i="12" s="1"/>
  <c r="H276" i="12" s="1"/>
  <c r="I304" i="12"/>
  <c r="I298" i="12" s="1"/>
  <c r="I296" i="12" s="1"/>
  <c r="I287" i="12" s="1"/>
  <c r="J342" i="12"/>
  <c r="J338" i="12" s="1"/>
  <c r="J175" i="11"/>
  <c r="J173" i="11" s="1"/>
  <c r="P152" i="11"/>
  <c r="M175" i="11"/>
  <c r="M173" i="11" s="1"/>
  <c r="O485" i="11"/>
  <c r="N516" i="11"/>
  <c r="M72" i="11"/>
  <c r="O72" i="11"/>
  <c r="O71" i="11" s="1"/>
  <c r="O70" i="11" s="1"/>
  <c r="O69" i="11" s="1"/>
  <c r="P85" i="11"/>
  <c r="P84" i="11" s="1"/>
  <c r="P98" i="11"/>
  <c r="P93" i="11" s="1"/>
  <c r="O175" i="11"/>
  <c r="O173" i="11" s="1"/>
  <c r="P207" i="11"/>
  <c r="J225" i="11"/>
  <c r="J72" i="11"/>
  <c r="J71" i="11" s="1"/>
  <c r="J70" i="11" s="1"/>
  <c r="J69" i="11" s="1"/>
  <c r="O117" i="11"/>
  <c r="L134" i="11"/>
  <c r="L130" i="11" s="1"/>
  <c r="O134" i="11"/>
  <c r="O130" i="11" s="1"/>
  <c r="M293" i="11"/>
  <c r="J360" i="11"/>
  <c r="J358" i="11" s="1"/>
  <c r="J351" i="11" s="1"/>
  <c r="N485" i="11"/>
  <c r="N541" i="11"/>
  <c r="O85" i="11"/>
  <c r="O84" i="11" s="1"/>
  <c r="L85" i="11"/>
  <c r="L84" i="11" s="1"/>
  <c r="N237" i="11"/>
  <c r="N233" i="11" s="1"/>
  <c r="N238" i="11"/>
  <c r="M215" i="11"/>
  <c r="M71" i="11"/>
  <c r="M70" i="11" s="1"/>
  <c r="M69" i="11" s="1"/>
  <c r="J207" i="11"/>
  <c r="P226" i="11"/>
  <c r="P224" i="11" s="1"/>
  <c r="P223" i="11" s="1"/>
  <c r="L232" i="11"/>
  <c r="N298" i="11"/>
  <c r="N294" i="11" s="1"/>
  <c r="N293" i="11" s="1"/>
  <c r="L358" i="11"/>
  <c r="L351" i="11" s="1"/>
  <c r="O516" i="11"/>
  <c r="P134" i="11"/>
  <c r="P130" i="11" s="1"/>
  <c r="O249" i="11"/>
  <c r="O244" i="11" s="1"/>
  <c r="O243" i="11" s="1"/>
  <c r="M358" i="11"/>
  <c r="M351" i="11" s="1"/>
  <c r="L27" i="11"/>
  <c r="L26" i="11" s="1"/>
  <c r="L25" i="11" s="1"/>
  <c r="M29" i="11"/>
  <c r="M27" i="11" s="1"/>
  <c r="M26" i="11" s="1"/>
  <c r="M25" i="11" s="1"/>
  <c r="N98" i="11"/>
  <c r="N93" i="11" s="1"/>
  <c r="L98" i="11"/>
  <c r="L93" i="11" s="1"/>
  <c r="O112" i="11"/>
  <c r="O106" i="11" s="1"/>
  <c r="P175" i="11"/>
  <c r="P174" i="11" s="1"/>
  <c r="L244" i="11"/>
  <c r="L243" i="11" s="1"/>
  <c r="O294" i="11"/>
  <c r="O293" i="11" s="1"/>
  <c r="J541" i="11"/>
  <c r="P249" i="11"/>
  <c r="P244" i="11" s="1"/>
  <c r="P243" i="11" s="1"/>
  <c r="O191" i="11"/>
  <c r="M117" i="11"/>
  <c r="M85" i="11"/>
  <c r="M84" i="11" s="1"/>
  <c r="L437" i="11"/>
  <c r="J31" i="11"/>
  <c r="J30" i="11" s="1"/>
  <c r="J21" i="11" s="1"/>
  <c r="M112" i="11"/>
  <c r="M106" i="11" s="1"/>
  <c r="L117" i="11"/>
  <c r="N117" i="11"/>
  <c r="J130" i="11"/>
  <c r="N175" i="11"/>
  <c r="N174" i="11" s="1"/>
  <c r="P191" i="11"/>
  <c r="J238" i="11"/>
  <c r="O358" i="11"/>
  <c r="O359" i="11" s="1"/>
  <c r="P31" i="11"/>
  <c r="P30" i="11" s="1"/>
  <c r="P21" i="11" s="1"/>
  <c r="P166" i="11"/>
  <c r="N31" i="11"/>
  <c r="N30" i="11" s="1"/>
  <c r="N21" i="11" s="1"/>
  <c r="L72" i="11"/>
  <c r="L71" i="11" s="1"/>
  <c r="L70" i="11" s="1"/>
  <c r="L69" i="11" s="1"/>
  <c r="P72" i="11"/>
  <c r="P71" i="11" s="1"/>
  <c r="P70" i="11" s="1"/>
  <c r="P69" i="11" s="1"/>
  <c r="M98" i="11"/>
  <c r="M93" i="11" s="1"/>
  <c r="N112" i="11"/>
  <c r="N106" i="11" s="1"/>
  <c r="L112" i="11"/>
  <c r="L106" i="11" s="1"/>
  <c r="M134" i="11"/>
  <c r="M130" i="11" s="1"/>
  <c r="N134" i="11"/>
  <c r="N130" i="11" s="1"/>
  <c r="L166" i="11"/>
  <c r="L215" i="11"/>
  <c r="P294" i="11"/>
  <c r="P293" i="11" s="1"/>
  <c r="M437" i="11"/>
  <c r="J516" i="11"/>
  <c r="J437" i="11" s="1"/>
  <c r="J442" i="11" s="1"/>
  <c r="J441" i="11" s="1"/>
  <c r="P541" i="11"/>
  <c r="O31" i="11"/>
  <c r="O30" i="11" s="1"/>
  <c r="O21" i="11" s="1"/>
  <c r="N152" i="11"/>
  <c r="M166" i="11"/>
  <c r="J294" i="11"/>
  <c r="J293" i="11" s="1"/>
  <c r="N306" i="11"/>
  <c r="N305" i="11" s="1"/>
  <c r="P485" i="11"/>
  <c r="J364" i="12"/>
  <c r="J363" i="12" s="1"/>
  <c r="I176" i="12"/>
  <c r="I212" i="12"/>
  <c r="I364" i="12"/>
  <c r="I363" i="12" s="1"/>
  <c r="H120" i="12"/>
  <c r="H119" i="12" s="1"/>
  <c r="J132" i="12"/>
  <c r="J131" i="12" s="1"/>
  <c r="H164" i="12"/>
  <c r="H160" i="12" s="1"/>
  <c r="H159" i="12" s="1"/>
  <c r="I164" i="12"/>
  <c r="I160" i="12" s="1"/>
  <c r="I159" i="12" s="1"/>
  <c r="H223" i="12"/>
  <c r="H248" i="12"/>
  <c r="J253" i="12"/>
  <c r="I35" i="12"/>
  <c r="I34" i="12" s="1"/>
  <c r="I21" i="12" s="1"/>
  <c r="H253" i="12"/>
  <c r="H252" i="12" s="1"/>
  <c r="J35" i="12"/>
  <c r="J34" i="12" s="1"/>
  <c r="J21" i="12" s="1"/>
  <c r="I58" i="12"/>
  <c r="I57" i="12" s="1"/>
  <c r="I56" i="12" s="1"/>
  <c r="I55" i="12" s="1"/>
  <c r="J58" i="12"/>
  <c r="J57" i="12" s="1"/>
  <c r="J56" i="12" s="1"/>
  <c r="J55" i="12" s="1"/>
  <c r="I91" i="12"/>
  <c r="H136" i="12"/>
  <c r="J212" i="12"/>
  <c r="H317" i="12"/>
  <c r="H316" i="12" s="1"/>
  <c r="H309" i="12" s="1"/>
  <c r="J258" i="12"/>
  <c r="J309" i="12"/>
  <c r="J304" i="12"/>
  <c r="J298" i="12" s="1"/>
  <c r="J296" i="12" s="1"/>
  <c r="J287" i="12" s="1"/>
  <c r="M31" i="11"/>
  <c r="M30" i="11" s="1"/>
  <c r="P117" i="11"/>
  <c r="J117" i="11"/>
  <c r="O152" i="11"/>
  <c r="J152" i="11"/>
  <c r="N166" i="11"/>
  <c r="L175" i="11"/>
  <c r="J191" i="11"/>
  <c r="N207" i="11"/>
  <c r="N206" i="11"/>
  <c r="N204" i="11" s="1"/>
  <c r="M152" i="11"/>
  <c r="J166" i="11"/>
  <c r="O166" i="11"/>
  <c r="L32" i="11"/>
  <c r="J216" i="11"/>
  <c r="N253" i="11"/>
  <c r="N244" i="11" s="1"/>
  <c r="N243" i="11" s="1"/>
  <c r="J263" i="11"/>
  <c r="O306" i="11"/>
  <c r="O305" i="11" s="1"/>
  <c r="P357" i="11"/>
  <c r="P350" i="11"/>
  <c r="P306" i="11"/>
  <c r="P305" i="11" s="1"/>
  <c r="P238" i="11"/>
  <c r="P237" i="11"/>
  <c r="P233" i="11" s="1"/>
  <c r="O350" i="11"/>
  <c r="O357" i="11"/>
  <c r="N376" i="11"/>
  <c r="N477" i="11"/>
  <c r="N476" i="11" s="1"/>
  <c r="N265" i="11"/>
  <c r="N264" i="11" s="1"/>
  <c r="N263" i="11" s="1"/>
  <c r="O237" i="11"/>
  <c r="O233" i="11" s="1"/>
  <c r="K114" i="6"/>
  <c r="K105" i="6"/>
  <c r="J118" i="12" l="1"/>
  <c r="J117" i="12" s="1"/>
  <c r="J116" i="12" s="1"/>
  <c r="J83" i="11"/>
  <c r="J174" i="11"/>
  <c r="J359" i="11"/>
  <c r="J337" i="12"/>
  <c r="J336" i="12" s="1"/>
  <c r="J327" i="12" s="1"/>
  <c r="M83" i="11"/>
  <c r="N83" i="11"/>
  <c r="L31" i="11"/>
  <c r="L30" i="11" s="1"/>
  <c r="L21" i="11" s="1"/>
  <c r="H144" i="12"/>
  <c r="I337" i="12"/>
  <c r="I336" i="12" s="1"/>
  <c r="I327" i="12" s="1"/>
  <c r="I118" i="12"/>
  <c r="I117" i="12" s="1"/>
  <c r="I116" i="12" s="1"/>
  <c r="I252" i="12"/>
  <c r="I247" i="12" s="1"/>
  <c r="I240" i="12" s="1"/>
  <c r="I191" i="12" s="1"/>
  <c r="P225" i="11"/>
  <c r="N350" i="11"/>
  <c r="O224" i="11"/>
  <c r="O223" i="11" s="1"/>
  <c r="J215" i="11"/>
  <c r="J190" i="11" s="1"/>
  <c r="H54" i="12"/>
  <c r="H212" i="12"/>
  <c r="H191" i="12" s="1"/>
  <c r="I142" i="12"/>
  <c r="J54" i="12"/>
  <c r="O174" i="11"/>
  <c r="L83" i="11"/>
  <c r="O105" i="11"/>
  <c r="M174" i="11"/>
  <c r="P173" i="11"/>
  <c r="P83" i="11"/>
  <c r="N173" i="11"/>
  <c r="M350" i="11"/>
  <c r="M190" i="11"/>
  <c r="O83" i="11"/>
  <c r="L190" i="11"/>
  <c r="J252" i="12"/>
  <c r="J247" i="12" s="1"/>
  <c r="J240" i="12" s="1"/>
  <c r="J191" i="12" s="1"/>
  <c r="J142" i="12"/>
  <c r="I54" i="12"/>
  <c r="H21" i="12"/>
  <c r="H247" i="12"/>
  <c r="H142" i="12"/>
  <c r="N105" i="11"/>
  <c r="M21" i="11"/>
  <c r="P105" i="11"/>
  <c r="M105" i="11"/>
  <c r="L350" i="11"/>
  <c r="J105" i="11"/>
  <c r="J20" i="11" s="1"/>
  <c r="J11" i="11" s="1"/>
  <c r="L105" i="11"/>
  <c r="I19" i="12"/>
  <c r="J19" i="12"/>
  <c r="J357" i="11"/>
  <c r="J350" i="11"/>
  <c r="L174" i="11"/>
  <c r="L173" i="11"/>
  <c r="P215" i="11"/>
  <c r="P190" i="11" s="1"/>
  <c r="P189" i="11" s="1"/>
  <c r="H263" i="3"/>
  <c r="H227" i="3"/>
  <c r="H179" i="3"/>
  <c r="H188" i="3"/>
  <c r="H184" i="3"/>
  <c r="H61" i="3"/>
  <c r="H59" i="3" s="1"/>
  <c r="H42" i="3"/>
  <c r="N298" i="5"/>
  <c r="N230" i="5"/>
  <c r="N456" i="5"/>
  <c r="N447" i="5"/>
  <c r="N350" i="5"/>
  <c r="N348" i="5"/>
  <c r="N214" i="5"/>
  <c r="I20" i="12" l="1"/>
  <c r="P20" i="11"/>
  <c r="P11" i="11" s="1"/>
  <c r="N442" i="11"/>
  <c r="N441" i="11" s="1"/>
  <c r="O215" i="11"/>
  <c r="O190" i="11" s="1"/>
  <c r="O189" i="11" s="1"/>
  <c r="H19" i="12"/>
  <c r="H20" i="12"/>
  <c r="H18" i="12" s="1"/>
  <c r="M18" i="12" s="1"/>
  <c r="J53" i="12"/>
  <c r="J18" i="12" s="1"/>
  <c r="L189" i="11"/>
  <c r="M189" i="11"/>
  <c r="N20" i="11"/>
  <c r="N11" i="11" s="1"/>
  <c r="O20" i="11"/>
  <c r="O11" i="11" s="1"/>
  <c r="J20" i="12"/>
  <c r="I53" i="12"/>
  <c r="I18" i="12" s="1"/>
  <c r="H53" i="12"/>
  <c r="M20" i="11"/>
  <c r="M12" i="11" s="1"/>
  <c r="J189" i="11"/>
  <c r="L20" i="11"/>
  <c r="L12" i="11" s="1"/>
  <c r="N223" i="11"/>
  <c r="N215" i="11"/>
  <c r="N190" i="11" s="1"/>
  <c r="N189" i="11" s="1"/>
  <c r="L75" i="2"/>
  <c r="K75" i="2"/>
  <c r="L118" i="2"/>
  <c r="L117" i="2" s="1"/>
  <c r="K118" i="2"/>
  <c r="P394" i="1"/>
  <c r="O394" i="1"/>
  <c r="P371" i="1"/>
  <c r="O371" i="1"/>
  <c r="H95" i="3"/>
  <c r="H139" i="3"/>
  <c r="N410" i="5"/>
  <c r="N387" i="5"/>
  <c r="R114" i="6" l="1"/>
  <c r="R111" i="6"/>
  <c r="K111" i="6"/>
  <c r="J218" i="9" l="1"/>
  <c r="J199" i="9"/>
  <c r="J198" i="9" s="1"/>
  <c r="J195" i="9"/>
  <c r="J194" i="9" s="1"/>
  <c r="J187" i="9"/>
  <c r="J186" i="9" s="1"/>
  <c r="J184" i="9"/>
  <c r="J183" i="9" s="1"/>
  <c r="J179" i="9"/>
  <c r="J178" i="9" s="1"/>
  <c r="J177" i="9" s="1"/>
  <c r="J176" i="9" s="1"/>
  <c r="J174" i="9"/>
  <c r="J172" i="9" s="1"/>
  <c r="J171" i="9" s="1"/>
  <c r="J170" i="9" s="1"/>
  <c r="J169" i="9" s="1"/>
  <c r="J166" i="9"/>
  <c r="J163" i="9" s="1"/>
  <c r="J162" i="9" s="1"/>
  <c r="J161" i="9" s="1"/>
  <c r="J160" i="9" s="1"/>
  <c r="J158" i="9"/>
  <c r="J157" i="9" s="1"/>
  <c r="J156" i="9" s="1"/>
  <c r="J155" i="9" s="1"/>
  <c r="J154" i="9"/>
  <c r="J153" i="9" s="1"/>
  <c r="J152" i="9"/>
  <c r="J151" i="9" s="1"/>
  <c r="J148" i="9"/>
  <c r="J147" i="9" s="1"/>
  <c r="J142" i="9"/>
  <c r="J141" i="9" s="1"/>
  <c r="J135" i="9"/>
  <c r="J134" i="9" s="1"/>
  <c r="J131" i="9"/>
  <c r="J129" i="9"/>
  <c r="J119" i="9"/>
  <c r="J117" i="9"/>
  <c r="J115" i="9"/>
  <c r="J112" i="9"/>
  <c r="J110" i="9" s="1"/>
  <c r="J107" i="9"/>
  <c r="J106" i="9" s="1"/>
  <c r="J104" i="9"/>
  <c r="J103" i="9" s="1"/>
  <c r="J102" i="9" s="1"/>
  <c r="J94" i="9"/>
  <c r="J93" i="9" s="1"/>
  <c r="J91" i="9"/>
  <c r="J89" i="9"/>
  <c r="J82" i="9"/>
  <c r="J81" i="9" s="1"/>
  <c r="J80" i="9" s="1"/>
  <c r="J77" i="9"/>
  <c r="J76" i="9" s="1"/>
  <c r="J75" i="9" s="1"/>
  <c r="J73" i="9"/>
  <c r="J72" i="9" s="1"/>
  <c r="J71" i="9" s="1"/>
  <c r="J66" i="9"/>
  <c r="J65" i="9" s="1"/>
  <c r="J64" i="9" s="1"/>
  <c r="J62" i="9"/>
  <c r="J61" i="9" s="1"/>
  <c r="J58" i="9"/>
  <c r="J55" i="9"/>
  <c r="J53" i="9"/>
  <c r="J51" i="9"/>
  <c r="J48" i="9"/>
  <c r="J43" i="9"/>
  <c r="J42" i="9" s="1"/>
  <c r="J41" i="9" s="1"/>
  <c r="J88" i="9" l="1"/>
  <c r="J87" i="9" s="1"/>
  <c r="J86" i="9" s="1"/>
  <c r="J85" i="9" s="1"/>
  <c r="J182" i="9"/>
  <c r="J47" i="9"/>
  <c r="J46" i="9" s="1"/>
  <c r="J37" i="9" s="1"/>
  <c r="J128" i="9"/>
  <c r="J122" i="9" s="1"/>
  <c r="J168" i="9"/>
  <c r="J101" i="9"/>
  <c r="J100" i="9" s="1"/>
  <c r="J114" i="9"/>
  <c r="J109" i="9" s="1"/>
  <c r="J191" i="9"/>
  <c r="J133" i="9"/>
  <c r="J150" i="9"/>
  <c r="J146" i="9" s="1"/>
  <c r="J99" i="9" l="1"/>
  <c r="J121" i="9"/>
  <c r="J190" i="9"/>
  <c r="J189" i="9"/>
  <c r="J36" i="9" l="1"/>
  <c r="P322" i="1"/>
  <c r="P321" i="1" s="1"/>
  <c r="P320" i="1" s="1"/>
  <c r="P319" i="1" s="1"/>
  <c r="O322" i="1"/>
  <c r="O321" i="1" s="1"/>
  <c r="O320" i="1" s="1"/>
  <c r="O319" i="1" s="1"/>
  <c r="J503" i="5"/>
  <c r="J502" i="5" s="1"/>
  <c r="N502" i="5"/>
  <c r="N501" i="5"/>
  <c r="N500" i="5" s="1"/>
  <c r="J501" i="5"/>
  <c r="J500" i="5" s="1"/>
  <c r="M499" i="5"/>
  <c r="L499" i="5"/>
  <c r="N338" i="5"/>
  <c r="N337" i="5" s="1"/>
  <c r="N336" i="5" s="1"/>
  <c r="N335" i="5" s="1"/>
  <c r="J499" i="5" l="1"/>
  <c r="N499" i="5"/>
  <c r="H32" i="3"/>
  <c r="H31" i="3" s="1"/>
  <c r="H30" i="3" s="1"/>
  <c r="H29" i="3" s="1"/>
  <c r="H28" i="3" s="1"/>
  <c r="N505" i="5" l="1"/>
  <c r="N504" i="5" s="1"/>
  <c r="H288" i="3"/>
  <c r="H292" i="3"/>
  <c r="H291" i="3" s="1"/>
  <c r="H290" i="3" s="1"/>
  <c r="L116" i="2"/>
  <c r="L115" i="2" s="1"/>
  <c r="L114" i="2" s="1"/>
  <c r="N318" i="5"/>
  <c r="N317" i="5" s="1"/>
  <c r="N316" i="5" s="1"/>
  <c r="N315" i="5" s="1"/>
  <c r="N314" i="5" s="1"/>
  <c r="N312" i="5"/>
  <c r="N311" i="5" s="1"/>
  <c r="N310" i="5" s="1"/>
  <c r="N309" i="5" s="1"/>
  <c r="N308" i="5" s="1"/>
  <c r="N307" i="5" l="1"/>
  <c r="H76" i="3" l="1"/>
  <c r="H75" i="3" s="1"/>
  <c r="H74" i="3" s="1"/>
  <c r="H73" i="3" s="1"/>
  <c r="H72" i="3" s="1"/>
  <c r="H274" i="3"/>
  <c r="H273" i="3" s="1"/>
  <c r="H272" i="3" s="1"/>
  <c r="H271" i="3" s="1"/>
  <c r="H270" i="3" s="1"/>
  <c r="H261" i="3"/>
  <c r="H260" i="3" s="1"/>
  <c r="H259" i="3" s="1"/>
  <c r="H258" i="3" s="1"/>
  <c r="H113" i="3"/>
  <c r="N306" i="5"/>
  <c r="H257" i="3" l="1"/>
  <c r="N359" i="5"/>
  <c r="N345" i="5"/>
  <c r="N294" i="5"/>
  <c r="N231" i="5"/>
  <c r="N228" i="5"/>
  <c r="P306" i="1"/>
  <c r="O306" i="1"/>
  <c r="P334" i="1"/>
  <c r="P318" i="1" s="1"/>
  <c r="O334" i="1"/>
  <c r="O332" i="1"/>
  <c r="P298" i="1"/>
  <c r="P294" i="1"/>
  <c r="O298" i="1"/>
  <c r="O294" i="1"/>
  <c r="P283" i="1"/>
  <c r="P280" i="1"/>
  <c r="P259" i="1"/>
  <c r="O230" i="1"/>
  <c r="O228" i="1"/>
  <c r="O227" i="1" s="1"/>
  <c r="P227" i="1"/>
  <c r="O318" i="1" l="1"/>
  <c r="K38" i="4"/>
  <c r="P474" i="1" l="1"/>
  <c r="O474" i="1" l="1"/>
  <c r="H268" i="3"/>
  <c r="H267" i="3" s="1"/>
  <c r="H266" i="3" s="1"/>
  <c r="H265" i="3" s="1"/>
  <c r="H256" i="3" s="1"/>
  <c r="L247" i="2" l="1"/>
  <c r="L246" i="2" s="1"/>
  <c r="L245" i="2" s="1"/>
  <c r="L244" i="2" s="1"/>
  <c r="L243" i="2" s="1"/>
  <c r="K247" i="2"/>
  <c r="K246" i="2" s="1"/>
  <c r="K245" i="2" s="1"/>
  <c r="K244" i="2" s="1"/>
  <c r="K243" i="2" s="1"/>
  <c r="J247" i="2"/>
  <c r="J246" i="2" s="1"/>
  <c r="J245" i="2" s="1"/>
  <c r="J244" i="2" s="1"/>
  <c r="J243" i="2" s="1"/>
  <c r="I247" i="2"/>
  <c r="I246" i="2" s="1"/>
  <c r="I245" i="2" s="1"/>
  <c r="I244" i="2" s="1"/>
  <c r="I243" i="2" s="1"/>
  <c r="H247" i="2"/>
  <c r="H246" i="2" s="1"/>
  <c r="H245" i="2" s="1"/>
  <c r="H244" i="2" s="1"/>
  <c r="H243" i="2" s="1"/>
  <c r="J240" i="2"/>
  <c r="I240" i="2"/>
  <c r="I239" i="2" s="1"/>
  <c r="I238" i="2" s="1"/>
  <c r="I237" i="2" s="1"/>
  <c r="I236" i="2" s="1"/>
  <c r="I235" i="2" s="1"/>
  <c r="L239" i="2"/>
  <c r="L238" i="2" s="1"/>
  <c r="L237" i="2" s="1"/>
  <c r="L236" i="2" s="1"/>
  <c r="L235" i="2" s="1"/>
  <c r="K239" i="2"/>
  <c r="K238" i="2" s="1"/>
  <c r="K237" i="2" s="1"/>
  <c r="K236" i="2" s="1"/>
  <c r="K235" i="2" s="1"/>
  <c r="J239" i="2"/>
  <c r="J238" i="2" s="1"/>
  <c r="J237" i="2" s="1"/>
  <c r="J236" i="2" s="1"/>
  <c r="J235" i="2" s="1"/>
  <c r="H239" i="2"/>
  <c r="H238" i="2" s="1"/>
  <c r="H237" i="2" s="1"/>
  <c r="H236" i="2" s="1"/>
  <c r="H235" i="2" s="1"/>
  <c r="K232" i="2"/>
  <c r="K231" i="2" s="1"/>
  <c r="K307" i="2"/>
  <c r="K306" i="2" s="1"/>
  <c r="K305" i="2" s="1"/>
  <c r="K304" i="2" s="1"/>
  <c r="K303" i="2" s="1"/>
  <c r="K315" i="2"/>
  <c r="K314" i="2" s="1"/>
  <c r="K313" i="2" s="1"/>
  <c r="K312" i="2" s="1"/>
  <c r="K311" i="2" s="1"/>
  <c r="L97" i="2"/>
  <c r="L95" i="2" s="1"/>
  <c r="K97" i="2"/>
  <c r="K96" i="2" s="1"/>
  <c r="J26" i="2"/>
  <c r="J25" i="2" s="1"/>
  <c r="J24" i="2" s="1"/>
  <c r="J23" i="2" s="1"/>
  <c r="J22" i="2" s="1"/>
  <c r="J34" i="2"/>
  <c r="J32" i="2" s="1"/>
  <c r="J31" i="2" s="1"/>
  <c r="J30" i="2" s="1"/>
  <c r="J37" i="2"/>
  <c r="J36" i="2" s="1"/>
  <c r="J35" i="2" s="1"/>
  <c r="J82" i="2"/>
  <c r="J108" i="2"/>
  <c r="J157" i="2"/>
  <c r="J213" i="2"/>
  <c r="J229" i="2"/>
  <c r="J228" i="2" s="1"/>
  <c r="J232" i="2"/>
  <c r="J231" i="2" s="1"/>
  <c r="J251" i="2"/>
  <c r="J253" i="2"/>
  <c r="J260" i="2"/>
  <c r="J259" i="2" s="1"/>
  <c r="J258" i="2" s="1"/>
  <c r="J257" i="2" s="1"/>
  <c r="J256" i="2" s="1"/>
  <c r="J76" i="2"/>
  <c r="J74" i="2" s="1"/>
  <c r="J73" i="2" s="1"/>
  <c r="J72" i="2" s="1"/>
  <c r="J71" i="2" s="1"/>
  <c r="I26" i="2"/>
  <c r="I25" i="2" s="1"/>
  <c r="I24" i="2" s="1"/>
  <c r="I23" i="2" s="1"/>
  <c r="I22" i="2" s="1"/>
  <c r="I34" i="2"/>
  <c r="I32" i="2" s="1"/>
  <c r="I31" i="2" s="1"/>
  <c r="I30" i="2" s="1"/>
  <c r="I37" i="2"/>
  <c r="I36" i="2" s="1"/>
  <c r="I35" i="2" s="1"/>
  <c r="I82" i="2"/>
  <c r="I108" i="2"/>
  <c r="I157" i="2"/>
  <c r="I156" i="2" s="1"/>
  <c r="I155" i="2" s="1"/>
  <c r="I213" i="2"/>
  <c r="I229" i="2"/>
  <c r="I228" i="2" s="1"/>
  <c r="I232" i="2"/>
  <c r="I231" i="2" s="1"/>
  <c r="I251" i="2"/>
  <c r="I253" i="2"/>
  <c r="I260" i="2"/>
  <c r="I259" i="2" s="1"/>
  <c r="I258" i="2" s="1"/>
  <c r="I257" i="2" s="1"/>
  <c r="I256" i="2" s="1"/>
  <c r="I76" i="2"/>
  <c r="I74" i="2" s="1"/>
  <c r="I73" i="2" s="1"/>
  <c r="I72" i="2" s="1"/>
  <c r="I71" i="2" s="1"/>
  <c r="H26" i="2"/>
  <c r="H25" i="2" s="1"/>
  <c r="H24" i="2" s="1"/>
  <c r="H23" i="2" s="1"/>
  <c r="H22" i="2" s="1"/>
  <c r="H32" i="2"/>
  <c r="H31" i="2" s="1"/>
  <c r="H30" i="2" s="1"/>
  <c r="H37" i="2"/>
  <c r="H36" i="2" s="1"/>
  <c r="H35" i="2" s="1"/>
  <c r="H43" i="2"/>
  <c r="H42" i="2" s="1"/>
  <c r="H41" i="2" s="1"/>
  <c r="H40" i="2" s="1"/>
  <c r="H39" i="2" s="1"/>
  <c r="H107" i="2"/>
  <c r="H106" i="2" s="1"/>
  <c r="H133" i="2"/>
  <c r="H182" i="2"/>
  <c r="H181" i="2" s="1"/>
  <c r="H180" i="2" s="1"/>
  <c r="H117" i="3"/>
  <c r="H51" i="3"/>
  <c r="H50" i="3" s="1"/>
  <c r="H49" i="3" s="1"/>
  <c r="H48" i="3" s="1"/>
  <c r="H47" i="3" s="1"/>
  <c r="H120" i="3"/>
  <c r="H122" i="3"/>
  <c r="H124" i="3"/>
  <c r="H127" i="3"/>
  <c r="H126" i="3" s="1"/>
  <c r="H132" i="3"/>
  <c r="H138" i="3"/>
  <c r="H137" i="3" s="1"/>
  <c r="H62" i="3"/>
  <c r="H64" i="3"/>
  <c r="H66" i="3"/>
  <c r="H70" i="3"/>
  <c r="H69" i="3" s="1"/>
  <c r="H68" i="3" s="1"/>
  <c r="H88" i="3"/>
  <c r="H87" i="3" s="1"/>
  <c r="H86" i="3" s="1"/>
  <c r="H85" i="3" s="1"/>
  <c r="H84" i="3" s="1"/>
  <c r="H94" i="3"/>
  <c r="H93" i="3" s="1"/>
  <c r="H92" i="3" s="1"/>
  <c r="H91" i="3" s="1"/>
  <c r="H104" i="3"/>
  <c r="H99" i="3" s="1"/>
  <c r="H98" i="3" s="1"/>
  <c r="H97" i="3" s="1"/>
  <c r="H82" i="3"/>
  <c r="H81" i="3" s="1"/>
  <c r="H80" i="3" s="1"/>
  <c r="H79" i="3" s="1"/>
  <c r="H78" i="3" s="1"/>
  <c r="H146" i="3"/>
  <c r="H148" i="3"/>
  <c r="H154" i="3"/>
  <c r="H156" i="3"/>
  <c r="H178" i="3"/>
  <c r="H177" i="3" s="1"/>
  <c r="H176" i="3" s="1"/>
  <c r="H183" i="3"/>
  <c r="H185" i="3"/>
  <c r="H195" i="3"/>
  <c r="H197" i="3"/>
  <c r="H199" i="3"/>
  <c r="H204" i="3"/>
  <c r="H203" i="3" s="1"/>
  <c r="H202" i="3" s="1"/>
  <c r="H206" i="3"/>
  <c r="H217" i="3"/>
  <c r="H216" i="3" s="1"/>
  <c r="H215" i="3" s="1"/>
  <c r="H214" i="3" s="1"/>
  <c r="H224" i="3"/>
  <c r="H226" i="3"/>
  <c r="H231" i="3"/>
  <c r="H229" i="3" s="1"/>
  <c r="H235" i="3"/>
  <c r="H237" i="3"/>
  <c r="H240" i="3"/>
  <c r="H244" i="3"/>
  <c r="H251" i="3"/>
  <c r="H250" i="3" s="1"/>
  <c r="H254" i="3"/>
  <c r="H253" i="3" s="1"/>
  <c r="H282" i="3"/>
  <c r="H281" i="3" s="1"/>
  <c r="H280" i="3" s="1"/>
  <c r="H279" i="3" s="1"/>
  <c r="H278" i="3" s="1"/>
  <c r="H287" i="3"/>
  <c r="H286" i="3" s="1"/>
  <c r="H300" i="3"/>
  <c r="H299" i="3" s="1"/>
  <c r="H298" i="3" s="1"/>
  <c r="H297" i="3" s="1"/>
  <c r="H296" i="3" s="1"/>
  <c r="H308" i="3"/>
  <c r="H307" i="3" s="1"/>
  <c r="H311" i="3"/>
  <c r="H313" i="3"/>
  <c r="H317" i="3"/>
  <c r="H316" i="3" s="1"/>
  <c r="H322" i="3"/>
  <c r="H321" i="3" s="1"/>
  <c r="H326" i="3"/>
  <c r="H325" i="3" s="1"/>
  <c r="H324" i="3" s="1"/>
  <c r="H112" i="3"/>
  <c r="H111" i="3" s="1"/>
  <c r="H110" i="3" s="1"/>
  <c r="H109" i="3" s="1"/>
  <c r="H108" i="3" s="1"/>
  <c r="H107" i="3" s="1"/>
  <c r="H40" i="3"/>
  <c r="H39" i="3" s="1"/>
  <c r="H38" i="3" s="1"/>
  <c r="H45" i="3"/>
  <c r="H44" i="3" s="1"/>
  <c r="H43" i="3" s="1"/>
  <c r="H336" i="3"/>
  <c r="H337" i="3"/>
  <c r="H348" i="3"/>
  <c r="H347" i="3" s="1"/>
  <c r="H346" i="3" s="1"/>
  <c r="H345" i="3" s="1"/>
  <c r="H344" i="3" s="1"/>
  <c r="H342" i="3"/>
  <c r="H341" i="3" s="1"/>
  <c r="H340" i="3" s="1"/>
  <c r="H339" i="3" s="1"/>
  <c r="J26" i="3"/>
  <c r="J25" i="3" s="1"/>
  <c r="J24" i="3" s="1"/>
  <c r="J23" i="3" s="1"/>
  <c r="J22" i="3" s="1"/>
  <c r="J40" i="3"/>
  <c r="J39" i="3" s="1"/>
  <c r="J38" i="3" s="1"/>
  <c r="J45" i="3"/>
  <c r="J44" i="3" s="1"/>
  <c r="J43" i="3" s="1"/>
  <c r="J51" i="3"/>
  <c r="J50" i="3" s="1"/>
  <c r="J49" i="3" s="1"/>
  <c r="J48" i="3" s="1"/>
  <c r="J47" i="3" s="1"/>
  <c r="J94" i="3"/>
  <c r="J93" i="3" s="1"/>
  <c r="J92" i="3" s="1"/>
  <c r="J91" i="3" s="1"/>
  <c r="J104" i="3"/>
  <c r="J99" i="3" s="1"/>
  <c r="J98" i="3" s="1"/>
  <c r="J97" i="3" s="1"/>
  <c r="J120" i="3"/>
  <c r="J122" i="3"/>
  <c r="J124" i="3"/>
  <c r="J127" i="3"/>
  <c r="J126" i="3" s="1"/>
  <c r="J132" i="3"/>
  <c r="J134" i="3"/>
  <c r="J139" i="3"/>
  <c r="J138" i="3" s="1"/>
  <c r="J137" i="3" s="1"/>
  <c r="J224" i="3"/>
  <c r="J226" i="3"/>
  <c r="J231" i="3"/>
  <c r="J230" i="3" s="1"/>
  <c r="J229" i="3" s="1"/>
  <c r="J235" i="3"/>
  <c r="J237" i="3"/>
  <c r="J240" i="3"/>
  <c r="J244" i="3"/>
  <c r="J270" i="3"/>
  <c r="J269" i="3" s="1"/>
  <c r="J273" i="3"/>
  <c r="J275" i="3"/>
  <c r="I26" i="3"/>
  <c r="I25" i="3" s="1"/>
  <c r="I24" i="3" s="1"/>
  <c r="I23" i="3" s="1"/>
  <c r="I22" i="3" s="1"/>
  <c r="I40" i="3"/>
  <c r="I39" i="3" s="1"/>
  <c r="I38" i="3" s="1"/>
  <c r="I45" i="3"/>
  <c r="I44" i="3" s="1"/>
  <c r="I43" i="3" s="1"/>
  <c r="I51" i="3"/>
  <c r="I50" i="3" s="1"/>
  <c r="I49" i="3" s="1"/>
  <c r="I48" i="3" s="1"/>
  <c r="I47" i="3" s="1"/>
  <c r="I94" i="3"/>
  <c r="I93" i="3" s="1"/>
  <c r="I92" i="3" s="1"/>
  <c r="I91" i="3" s="1"/>
  <c r="I104" i="3"/>
  <c r="I99" i="3" s="1"/>
  <c r="I98" i="3" s="1"/>
  <c r="I97" i="3" s="1"/>
  <c r="I120" i="3"/>
  <c r="I122" i="3"/>
  <c r="I124" i="3"/>
  <c r="I127" i="3"/>
  <c r="I126" i="3" s="1"/>
  <c r="I132" i="3"/>
  <c r="I134" i="3"/>
  <c r="I139" i="3"/>
  <c r="I138" i="3" s="1"/>
  <c r="I137" i="3" s="1"/>
  <c r="I224" i="3"/>
  <c r="I226" i="3"/>
  <c r="I231" i="3"/>
  <c r="I230" i="3" s="1"/>
  <c r="I229" i="3" s="1"/>
  <c r="I235" i="3"/>
  <c r="I237" i="3"/>
  <c r="I240" i="3"/>
  <c r="I244" i="3"/>
  <c r="I270" i="3"/>
  <c r="I269" i="3" s="1"/>
  <c r="I273" i="3"/>
  <c r="I275" i="3"/>
  <c r="L157" i="2"/>
  <c r="L156" i="2" s="1"/>
  <c r="L155" i="2" s="1"/>
  <c r="L166" i="2"/>
  <c r="L162" i="2"/>
  <c r="K157" i="2"/>
  <c r="K156" i="2" s="1"/>
  <c r="K155" i="2" s="1"/>
  <c r="K166" i="2"/>
  <c r="K162" i="2"/>
  <c r="K117" i="2"/>
  <c r="K116" i="2" s="1"/>
  <c r="K115" i="2" s="1"/>
  <c r="K114" i="2" s="1"/>
  <c r="L100" i="2"/>
  <c r="L102" i="2"/>
  <c r="L104" i="2"/>
  <c r="L107" i="2"/>
  <c r="L106" i="2" s="1"/>
  <c r="L112" i="2"/>
  <c r="L111" i="2" s="1"/>
  <c r="L110" i="2" s="1"/>
  <c r="K112" i="2"/>
  <c r="K111" i="2" s="1"/>
  <c r="K110" i="2" s="1"/>
  <c r="K100" i="2"/>
  <c r="K102" i="2"/>
  <c r="K104" i="2"/>
  <c r="K107" i="2"/>
  <c r="K106" i="2" s="1"/>
  <c r="K84" i="2"/>
  <c r="K79" i="2" s="1"/>
  <c r="K78" i="2" s="1"/>
  <c r="K77" i="2" s="1"/>
  <c r="L84" i="2"/>
  <c r="L79" i="2" s="1"/>
  <c r="L78" i="2" s="1"/>
  <c r="L77" i="2" s="1"/>
  <c r="K80" i="2"/>
  <c r="L80" i="2"/>
  <c r="K82" i="2"/>
  <c r="L82" i="2"/>
  <c r="N508" i="5"/>
  <c r="N507" i="5" s="1"/>
  <c r="M508" i="5"/>
  <c r="M507" i="5" s="1"/>
  <c r="J511" i="5"/>
  <c r="J510" i="5" s="1"/>
  <c r="H36" i="7"/>
  <c r="L325" i="5"/>
  <c r="L323" i="5" s="1"/>
  <c r="M325" i="5"/>
  <c r="M323" i="5" s="1"/>
  <c r="J326" i="5"/>
  <c r="J325" i="5" s="1"/>
  <c r="J324" i="5" s="1"/>
  <c r="J323" i="5" s="1"/>
  <c r="N326" i="5"/>
  <c r="N325" i="5" s="1"/>
  <c r="N324" i="5" s="1"/>
  <c r="N323" i="5" s="1"/>
  <c r="O326" i="5"/>
  <c r="O325" i="5" s="1"/>
  <c r="O324" i="5" s="1"/>
  <c r="O323" i="5" s="1"/>
  <c r="P326" i="5"/>
  <c r="P325" i="5" s="1"/>
  <c r="P324" i="5" s="1"/>
  <c r="P323" i="5" s="1"/>
  <c r="J34" i="7"/>
  <c r="J31" i="7" s="1"/>
  <c r="J30" i="7" s="1"/>
  <c r="I34" i="7"/>
  <c r="I31" i="7" s="1"/>
  <c r="I30" i="7" s="1"/>
  <c r="H33" i="7"/>
  <c r="H32" i="7" s="1"/>
  <c r="H31" i="7" s="1"/>
  <c r="H30" i="7" s="1"/>
  <c r="J27" i="7"/>
  <c r="I27" i="7"/>
  <c r="J24" i="7"/>
  <c r="I24" i="7"/>
  <c r="H18" i="7"/>
  <c r="H21" i="7"/>
  <c r="H20" i="7" s="1"/>
  <c r="H19" i="7" s="1"/>
  <c r="O117" i="6"/>
  <c r="P114" i="6"/>
  <c r="P105" i="6"/>
  <c r="R102" i="6"/>
  <c r="P102" i="6"/>
  <c r="K102" i="6"/>
  <c r="P100" i="6"/>
  <c r="R98" i="6"/>
  <c r="P98" i="6"/>
  <c r="K98" i="6"/>
  <c r="R94" i="6"/>
  <c r="K94" i="6"/>
  <c r="P90" i="6"/>
  <c r="P85" i="6"/>
  <c r="R82" i="6"/>
  <c r="K82" i="6"/>
  <c r="P81" i="6"/>
  <c r="P78" i="6"/>
  <c r="R76" i="6"/>
  <c r="K76" i="6"/>
  <c r="N72" i="6"/>
  <c r="N117" i="6" s="1"/>
  <c r="P117" i="6" s="1"/>
  <c r="P68" i="6"/>
  <c r="P64" i="6"/>
  <c r="P60" i="6"/>
  <c r="R57" i="6"/>
  <c r="K57" i="6"/>
  <c r="P53" i="6"/>
  <c r="R51" i="6"/>
  <c r="P51" i="6"/>
  <c r="K51" i="6"/>
  <c r="P50" i="6"/>
  <c r="P48" i="6"/>
  <c r="R45" i="6"/>
  <c r="K45" i="6"/>
  <c r="P44" i="6"/>
  <c r="R41" i="6"/>
  <c r="K41" i="6"/>
  <c r="P40" i="6"/>
  <c r="R38" i="6"/>
  <c r="K38" i="6"/>
  <c r="P36" i="6"/>
  <c r="P34" i="6" s="1"/>
  <c r="R34" i="6"/>
  <c r="K34" i="6"/>
  <c r="N478" i="5"/>
  <c r="N477" i="5"/>
  <c r="N492" i="5"/>
  <c r="N491" i="5" s="1"/>
  <c r="N449" i="5"/>
  <c r="N448" i="5" s="1"/>
  <c r="N446" i="5"/>
  <c r="N445" i="5" s="1"/>
  <c r="N452" i="5"/>
  <c r="N451" i="5" s="1"/>
  <c r="P517" i="5"/>
  <c r="P516" i="5" s="1"/>
  <c r="O517" i="5"/>
  <c r="J517" i="5"/>
  <c r="J516" i="5" s="1"/>
  <c r="O516" i="5"/>
  <c r="N516" i="5"/>
  <c r="P515" i="5"/>
  <c r="P514" i="5" s="1"/>
  <c r="O515" i="5"/>
  <c r="O514" i="5" s="1"/>
  <c r="J515" i="5"/>
  <c r="J514" i="5" s="1"/>
  <c r="N514" i="5"/>
  <c r="M513" i="5"/>
  <c r="L513" i="5"/>
  <c r="P511" i="5"/>
  <c r="P510" i="5" s="1"/>
  <c r="O511" i="5"/>
  <c r="O510" i="5" s="1"/>
  <c r="N511" i="5"/>
  <c r="N510" i="5" s="1"/>
  <c r="J498" i="5"/>
  <c r="J497" i="5" s="1"/>
  <c r="P497" i="5"/>
  <c r="P495" i="5"/>
  <c r="O497" i="5"/>
  <c r="N497" i="5"/>
  <c r="J496" i="5"/>
  <c r="J495" i="5" s="1"/>
  <c r="J494" i="5" s="1"/>
  <c r="O495" i="5"/>
  <c r="N495" i="5"/>
  <c r="P487" i="5"/>
  <c r="P486" i="5" s="1"/>
  <c r="O487" i="5"/>
  <c r="O486" i="5" s="1"/>
  <c r="N487" i="5"/>
  <c r="N486" i="5" s="1"/>
  <c r="M487" i="5"/>
  <c r="M486" i="5" s="1"/>
  <c r="L487" i="5"/>
  <c r="L486" i="5" s="1"/>
  <c r="J487" i="5"/>
  <c r="J486" i="5" s="1"/>
  <c r="M483" i="5"/>
  <c r="L483" i="5"/>
  <c r="P481" i="5"/>
  <c r="P480" i="5" s="1"/>
  <c r="O481" i="5"/>
  <c r="O480" i="5" s="1"/>
  <c r="N481" i="5"/>
  <c r="N480" i="5" s="1"/>
  <c r="M480" i="5"/>
  <c r="L480" i="5"/>
  <c r="J476" i="5"/>
  <c r="P475" i="5"/>
  <c r="O475" i="5"/>
  <c r="N475" i="5"/>
  <c r="J475" i="5"/>
  <c r="J474" i="5" s="1"/>
  <c r="P474" i="5"/>
  <c r="O474" i="5"/>
  <c r="N474" i="5"/>
  <c r="AC472" i="5"/>
  <c r="P472" i="5"/>
  <c r="O472" i="5"/>
  <c r="N472" i="5"/>
  <c r="J472" i="5"/>
  <c r="J471" i="5" s="1"/>
  <c r="P471" i="5"/>
  <c r="O471" i="5"/>
  <c r="N471" i="5"/>
  <c r="P469" i="5"/>
  <c r="O469" i="5"/>
  <c r="O468" i="5" s="1"/>
  <c r="N469" i="5"/>
  <c r="N468" i="5" s="1"/>
  <c r="J469" i="5"/>
  <c r="J468" i="5" s="1"/>
  <c r="P468" i="5"/>
  <c r="P466" i="5"/>
  <c r="O466" i="5"/>
  <c r="N466" i="5"/>
  <c r="M466" i="5"/>
  <c r="L466" i="5"/>
  <c r="K466" i="5"/>
  <c r="J466" i="5"/>
  <c r="J463" i="5" s="1"/>
  <c r="P464" i="5"/>
  <c r="P463" i="5" s="1"/>
  <c r="O464" i="5"/>
  <c r="N464" i="5"/>
  <c r="J462" i="5"/>
  <c r="P461" i="5"/>
  <c r="P458" i="5" s="1"/>
  <c r="P457" i="5" s="1"/>
  <c r="O461" i="5"/>
  <c r="O458" i="5" s="1"/>
  <c r="O457" i="5" s="1"/>
  <c r="N461" i="5"/>
  <c r="N458" i="5" s="1"/>
  <c r="N457" i="5" s="1"/>
  <c r="J461" i="5"/>
  <c r="J458" i="5" s="1"/>
  <c r="J457" i="5" s="1"/>
  <c r="M458" i="5"/>
  <c r="M457" i="5" s="1"/>
  <c r="L458" i="5"/>
  <c r="L457" i="5" s="1"/>
  <c r="P455" i="5"/>
  <c r="P454" i="5" s="1"/>
  <c r="O455" i="5"/>
  <c r="O454" i="5" s="1"/>
  <c r="N455" i="5"/>
  <c r="N454" i="5" s="1"/>
  <c r="J455" i="5"/>
  <c r="J454" i="5" s="1"/>
  <c r="M454" i="5"/>
  <c r="L454" i="5"/>
  <c r="P443" i="5"/>
  <c r="P442" i="5" s="1"/>
  <c r="O443" i="5"/>
  <c r="O442" i="5" s="1"/>
  <c r="N443" i="5"/>
  <c r="N442" i="5" s="1"/>
  <c r="J443" i="5"/>
  <c r="J442" i="5" s="1"/>
  <c r="M442" i="5"/>
  <c r="L442" i="5"/>
  <c r="P440" i="5"/>
  <c r="P439" i="5" s="1"/>
  <c r="O440" i="5"/>
  <c r="O439" i="5" s="1"/>
  <c r="N440" i="5"/>
  <c r="N439" i="5" s="1"/>
  <c r="J440" i="5"/>
  <c r="J439" i="5" s="1"/>
  <c r="M439" i="5"/>
  <c r="L439" i="5"/>
  <c r="P433" i="5"/>
  <c r="O433" i="5"/>
  <c r="N433" i="5"/>
  <c r="J433" i="5"/>
  <c r="J429" i="5"/>
  <c r="J428" i="5" s="1"/>
  <c r="J427" i="5" s="1"/>
  <c r="P428" i="5"/>
  <c r="O428" i="5"/>
  <c r="O427" i="5" s="1"/>
  <c r="N428" i="5"/>
  <c r="N427" i="5" s="1"/>
  <c r="P427" i="5"/>
  <c r="M427" i="5"/>
  <c r="L427" i="5"/>
  <c r="P422" i="5"/>
  <c r="P421" i="5" s="1"/>
  <c r="O422" i="5"/>
  <c r="O421" i="5" s="1"/>
  <c r="N422" i="5"/>
  <c r="N421" i="5" s="1"/>
  <c r="M422" i="5"/>
  <c r="L422" i="5"/>
  <c r="K422" i="5"/>
  <c r="J422" i="5"/>
  <c r="J421" i="5" s="1"/>
  <c r="P415" i="5"/>
  <c r="P420" i="5" s="1"/>
  <c r="P419" i="5" s="1"/>
  <c r="O415" i="5"/>
  <c r="O420" i="5" s="1"/>
  <c r="O419" i="5" s="1"/>
  <c r="J414" i="5"/>
  <c r="J407" i="5" s="1"/>
  <c r="J405" i="5" s="1"/>
  <c r="P413" i="5"/>
  <c r="O413" i="5"/>
  <c r="N413" i="5"/>
  <c r="P411" i="5"/>
  <c r="O411" i="5"/>
  <c r="N411" i="5"/>
  <c r="J411" i="5"/>
  <c r="P409" i="5"/>
  <c r="P408" i="5" s="1"/>
  <c r="O409" i="5"/>
  <c r="O408" i="5" s="1"/>
  <c r="N409" i="5"/>
  <c r="N408" i="5" s="1"/>
  <c r="J409" i="5"/>
  <c r="J408" i="5" s="1"/>
  <c r="M408" i="5"/>
  <c r="M405" i="5" s="1"/>
  <c r="L408" i="5"/>
  <c r="L405" i="5" s="1"/>
  <c r="P407" i="5"/>
  <c r="P406" i="5" s="1"/>
  <c r="P405" i="5" s="1"/>
  <c r="O407" i="5"/>
  <c r="O406" i="5" s="1"/>
  <c r="O405" i="5" s="1"/>
  <c r="N407" i="5"/>
  <c r="N406" i="5" s="1"/>
  <c r="N405" i="5" s="1"/>
  <c r="J404" i="5"/>
  <c r="P403" i="5"/>
  <c r="P402" i="5" s="1"/>
  <c r="P401" i="5" s="1"/>
  <c r="P400" i="5" s="1"/>
  <c r="O403" i="5"/>
  <c r="O402" i="5" s="1"/>
  <c r="O401" i="5" s="1"/>
  <c r="O400" i="5" s="1"/>
  <c r="N403" i="5"/>
  <c r="N402" i="5" s="1"/>
  <c r="N401" i="5" s="1"/>
  <c r="N400" i="5" s="1"/>
  <c r="J403" i="5"/>
  <c r="J402" i="5" s="1"/>
  <c r="J401" i="5" s="1"/>
  <c r="J400" i="5" s="1"/>
  <c r="M402" i="5"/>
  <c r="L402" i="5"/>
  <c r="P398" i="5"/>
  <c r="P397" i="5" s="1"/>
  <c r="P396" i="5" s="1"/>
  <c r="P395" i="5" s="1"/>
  <c r="P334" i="5" s="1"/>
  <c r="O398" i="5"/>
  <c r="O397" i="5" s="1"/>
  <c r="O396" i="5" s="1"/>
  <c r="O395" i="5" s="1"/>
  <c r="O334" i="5" s="1"/>
  <c r="N397" i="5"/>
  <c r="N396" i="5" s="1"/>
  <c r="N395" i="5" s="1"/>
  <c r="P393" i="5"/>
  <c r="P392" i="5" s="1"/>
  <c r="P391" i="5" s="1"/>
  <c r="P390" i="5" s="1"/>
  <c r="O393" i="5"/>
  <c r="O392" i="5" s="1"/>
  <c r="O391" i="5" s="1"/>
  <c r="O390" i="5" s="1"/>
  <c r="N393" i="5"/>
  <c r="N392" i="5" s="1"/>
  <c r="N391" i="5" s="1"/>
  <c r="N390" i="5" s="1"/>
  <c r="J393" i="5"/>
  <c r="J392" i="5" s="1"/>
  <c r="J391" i="5" s="1"/>
  <c r="J390" i="5" s="1"/>
  <c r="M392" i="5"/>
  <c r="M391" i="5" s="1"/>
  <c r="M390" i="5" s="1"/>
  <c r="L392" i="5"/>
  <c r="L391" i="5" s="1"/>
  <c r="L390" i="5" s="1"/>
  <c r="J389" i="5"/>
  <c r="P388" i="5"/>
  <c r="O388" i="5"/>
  <c r="N388" i="5"/>
  <c r="J388" i="5"/>
  <c r="M387" i="5"/>
  <c r="L387" i="5"/>
  <c r="J387" i="5"/>
  <c r="J386" i="5" s="1"/>
  <c r="P386" i="5"/>
  <c r="O386" i="5"/>
  <c r="N386" i="5"/>
  <c r="M386" i="5"/>
  <c r="M385" i="5" s="1"/>
  <c r="L386" i="5"/>
  <c r="L385" i="5" s="1"/>
  <c r="P383" i="5"/>
  <c r="O383" i="5"/>
  <c r="N383" i="5"/>
  <c r="P382" i="5"/>
  <c r="O382" i="5"/>
  <c r="N382" i="5"/>
  <c r="J382" i="5"/>
  <c r="P379" i="5"/>
  <c r="P378" i="5" s="1"/>
  <c r="O379" i="5"/>
  <c r="O378" i="5" s="1"/>
  <c r="N379" i="5"/>
  <c r="N378" i="5" s="1"/>
  <c r="J379" i="5"/>
  <c r="J378" i="5" s="1"/>
  <c r="M378" i="5"/>
  <c r="L378" i="5"/>
  <c r="P376" i="5"/>
  <c r="P374" i="5" s="1"/>
  <c r="O376" i="5"/>
  <c r="N376" i="5"/>
  <c r="J376" i="5"/>
  <c r="J374" i="5" s="1"/>
  <c r="O374" i="5"/>
  <c r="N374" i="5"/>
  <c r="M374" i="5"/>
  <c r="L374" i="5"/>
  <c r="P372" i="5"/>
  <c r="P371" i="5" s="1"/>
  <c r="O372" i="5"/>
  <c r="O371" i="5" s="1"/>
  <c r="N372" i="5"/>
  <c r="N371" i="5" s="1"/>
  <c r="J372" i="5"/>
  <c r="J371" i="5" s="1"/>
  <c r="M371" i="5"/>
  <c r="L371" i="5"/>
  <c r="P369" i="5"/>
  <c r="P368" i="5" s="1"/>
  <c r="P367" i="5" s="1"/>
  <c r="P366" i="5" s="1"/>
  <c r="O369" i="5"/>
  <c r="O368" i="5" s="1"/>
  <c r="O367" i="5" s="1"/>
  <c r="O366" i="5" s="1"/>
  <c r="N369" i="5"/>
  <c r="N368" i="5" s="1"/>
  <c r="N367" i="5" s="1"/>
  <c r="N366" i="5" s="1"/>
  <c r="J369" i="5"/>
  <c r="J368" i="5" s="1"/>
  <c r="J367" i="5" s="1"/>
  <c r="J366" i="5" s="1"/>
  <c r="M368" i="5"/>
  <c r="L368" i="5"/>
  <c r="P364" i="5"/>
  <c r="P363" i="5" s="1"/>
  <c r="O364" i="5"/>
  <c r="O363" i="5" s="1"/>
  <c r="N364" i="5"/>
  <c r="J364" i="5"/>
  <c r="J363" i="5" s="1"/>
  <c r="P359" i="5"/>
  <c r="P358" i="5" s="1"/>
  <c r="O359" i="5"/>
  <c r="O358" i="5" s="1"/>
  <c r="N358" i="5"/>
  <c r="J359" i="5"/>
  <c r="J358" i="5" s="1"/>
  <c r="P356" i="5"/>
  <c r="P355" i="5" s="1"/>
  <c r="O356" i="5"/>
  <c r="O355" i="5" s="1"/>
  <c r="N356" i="5"/>
  <c r="N355" i="5" s="1"/>
  <c r="J356" i="5"/>
  <c r="J355" i="5" s="1"/>
  <c r="P354" i="5"/>
  <c r="O354" i="5"/>
  <c r="N354" i="5"/>
  <c r="M354" i="5"/>
  <c r="L354" i="5"/>
  <c r="J354" i="5"/>
  <c r="L352" i="5"/>
  <c r="M352" i="5" s="1"/>
  <c r="P349" i="5"/>
  <c r="O349" i="5"/>
  <c r="N349" i="5"/>
  <c r="J349" i="5"/>
  <c r="J348" i="5"/>
  <c r="J346" i="5" s="1"/>
  <c r="P347" i="5"/>
  <c r="O347" i="5"/>
  <c r="N347" i="5"/>
  <c r="P346" i="5"/>
  <c r="O346" i="5"/>
  <c r="N346" i="5"/>
  <c r="M346" i="5"/>
  <c r="L346" i="5"/>
  <c r="J345" i="5"/>
  <c r="J344" i="5"/>
  <c r="P343" i="5"/>
  <c r="O343" i="5"/>
  <c r="N343" i="5"/>
  <c r="M343" i="5"/>
  <c r="L343" i="5"/>
  <c r="N305" i="5"/>
  <c r="N304" i="5" s="1"/>
  <c r="P305" i="5"/>
  <c r="P304" i="5" s="1"/>
  <c r="O305" i="5"/>
  <c r="O304" i="5" s="1"/>
  <c r="P302" i="5"/>
  <c r="P301" i="5" s="1"/>
  <c r="O302" i="5"/>
  <c r="O301" i="5" s="1"/>
  <c r="N302" i="5"/>
  <c r="N301" i="5" s="1"/>
  <c r="P296" i="5"/>
  <c r="P295" i="5" s="1"/>
  <c r="O296" i="5"/>
  <c r="O295" i="5" s="1"/>
  <c r="N296" i="5"/>
  <c r="N295" i="5" s="1"/>
  <c r="J296" i="5"/>
  <c r="J295" i="5" s="1"/>
  <c r="M295" i="5"/>
  <c r="L295" i="5"/>
  <c r="N293" i="5"/>
  <c r="N292" i="5" s="1"/>
  <c r="P293" i="5"/>
  <c r="P292" i="5" s="1"/>
  <c r="O293" i="5"/>
  <c r="O292" i="5" s="1"/>
  <c r="J293" i="5"/>
  <c r="J292" i="5" s="1"/>
  <c r="M292" i="5"/>
  <c r="L292" i="5"/>
  <c r="P287" i="5"/>
  <c r="O287" i="5"/>
  <c r="N287" i="5"/>
  <c r="J287" i="5"/>
  <c r="J286" i="5" s="1"/>
  <c r="J285" i="5" s="1"/>
  <c r="J284" i="5" s="1"/>
  <c r="P286" i="5"/>
  <c r="P285" i="5" s="1"/>
  <c r="P284" i="5" s="1"/>
  <c r="O286" i="5"/>
  <c r="O285" i="5" s="1"/>
  <c r="O284" i="5" s="1"/>
  <c r="N286" i="5"/>
  <c r="N285" i="5" s="1"/>
  <c r="N284" i="5" s="1"/>
  <c r="M286" i="5"/>
  <c r="M284" i="5" s="1"/>
  <c r="L286" i="5"/>
  <c r="L284" i="5" s="1"/>
  <c r="P282" i="5"/>
  <c r="P281" i="5" s="1"/>
  <c r="P277" i="5" s="1"/>
  <c r="O282" i="5"/>
  <c r="O281" i="5" s="1"/>
  <c r="O277" i="5" s="1"/>
  <c r="N282" i="5"/>
  <c r="N281" i="5" s="1"/>
  <c r="N277" i="5" s="1"/>
  <c r="J282" i="5"/>
  <c r="J281" i="5" s="1"/>
  <c r="J277" i="5" s="1"/>
  <c r="J276" i="5" s="1"/>
  <c r="P279" i="5"/>
  <c r="P278" i="5" s="1"/>
  <c r="O279" i="5"/>
  <c r="O278" i="5" s="1"/>
  <c r="N279" i="5"/>
  <c r="N278" i="5" s="1"/>
  <c r="M277" i="5"/>
  <c r="M276" i="5" s="1"/>
  <c r="L277" i="5"/>
  <c r="L276" i="5" s="1"/>
  <c r="P276" i="5"/>
  <c r="O276" i="5"/>
  <c r="N276" i="5"/>
  <c r="P274" i="5"/>
  <c r="P273" i="5" s="1"/>
  <c r="O274" i="5"/>
  <c r="O273" i="5" s="1"/>
  <c r="N274" i="5"/>
  <c r="N273" i="5" s="1"/>
  <c r="J274" i="5"/>
  <c r="J273" i="5" s="1"/>
  <c r="P271" i="5"/>
  <c r="P270" i="5" s="1"/>
  <c r="O271" i="5"/>
  <c r="O270" i="5" s="1"/>
  <c r="N271" i="5"/>
  <c r="N270" i="5" s="1"/>
  <c r="J271" i="5"/>
  <c r="J270" i="5" s="1"/>
  <c r="L269" i="5"/>
  <c r="P267" i="5"/>
  <c r="P266" i="5" s="1"/>
  <c r="O267" i="5"/>
  <c r="N267" i="5"/>
  <c r="N266" i="5" s="1"/>
  <c r="L267" i="5"/>
  <c r="J267" i="5"/>
  <c r="J266" i="5" s="1"/>
  <c r="O266" i="5"/>
  <c r="P264" i="5"/>
  <c r="P263" i="5" s="1"/>
  <c r="O264" i="5"/>
  <c r="O263" i="5" s="1"/>
  <c r="N264" i="5"/>
  <c r="N263" i="5" s="1"/>
  <c r="J264" i="5"/>
  <c r="J263" i="5" s="1"/>
  <c r="M263" i="5"/>
  <c r="M261" i="5" s="1"/>
  <c r="L263" i="5"/>
  <c r="L261" i="5" s="1"/>
  <c r="P262" i="5"/>
  <c r="P261" i="5" s="1"/>
  <c r="O262" i="5"/>
  <c r="O261" i="5" s="1"/>
  <c r="N262" i="5"/>
  <c r="N261" i="5" s="1"/>
  <c r="N260" i="5" s="1"/>
  <c r="J262" i="5"/>
  <c r="J261" i="5" s="1"/>
  <c r="P258" i="5"/>
  <c r="P256" i="5" s="1"/>
  <c r="P255" i="5" s="1"/>
  <c r="P254" i="5" s="1"/>
  <c r="O258" i="5"/>
  <c r="O256" i="5" s="1"/>
  <c r="O255" i="5" s="1"/>
  <c r="O254" i="5" s="1"/>
  <c r="N258" i="5"/>
  <c r="N256" i="5" s="1"/>
  <c r="N255" i="5" s="1"/>
  <c r="N254" i="5" s="1"/>
  <c r="M256" i="5"/>
  <c r="M254" i="5" s="1"/>
  <c r="L256" i="5"/>
  <c r="L254" i="5" s="1"/>
  <c r="J256" i="5"/>
  <c r="J254" i="5" s="1"/>
  <c r="J255" i="5" s="1"/>
  <c r="P252" i="5"/>
  <c r="P251" i="5" s="1"/>
  <c r="O252" i="5"/>
  <c r="O251" i="5" s="1"/>
  <c r="O250" i="5" s="1"/>
  <c r="N252" i="5"/>
  <c r="N251" i="5" s="1"/>
  <c r="N250" i="5" s="1"/>
  <c r="J252" i="5"/>
  <c r="J251" i="5" s="1"/>
  <c r="J246" i="5" s="1"/>
  <c r="M251" i="5"/>
  <c r="L251" i="5"/>
  <c r="P248" i="5"/>
  <c r="P247" i="5" s="1"/>
  <c r="O248" i="5"/>
  <c r="O247" i="5" s="1"/>
  <c r="N248" i="5"/>
  <c r="N247" i="5" s="1"/>
  <c r="P244" i="5"/>
  <c r="O244" i="5"/>
  <c r="O243" i="5" s="1"/>
  <c r="O242" i="5" s="1"/>
  <c r="N244" i="5"/>
  <c r="N243" i="5" s="1"/>
  <c r="N242" i="5" s="1"/>
  <c r="J244" i="5"/>
  <c r="J243" i="5" s="1"/>
  <c r="P243" i="5"/>
  <c r="P242" i="5" s="1"/>
  <c r="M243" i="5"/>
  <c r="L243" i="5"/>
  <c r="P237" i="5"/>
  <c r="P236" i="5" s="1"/>
  <c r="O237" i="5"/>
  <c r="O236" i="5" s="1"/>
  <c r="O234" i="5" s="1"/>
  <c r="O233" i="5" s="1"/>
  <c r="N237" i="5"/>
  <c r="N236" i="5" s="1"/>
  <c r="J237" i="5"/>
  <c r="J236" i="5" s="1"/>
  <c r="M236" i="5"/>
  <c r="M234" i="5" s="1"/>
  <c r="M233" i="5" s="1"/>
  <c r="L236" i="5"/>
  <c r="L234" i="5" s="1"/>
  <c r="L233" i="5" s="1"/>
  <c r="M232" i="5"/>
  <c r="P231" i="5"/>
  <c r="O231" i="5"/>
  <c r="J231" i="5"/>
  <c r="P229" i="5"/>
  <c r="O229" i="5"/>
  <c r="N229" i="5"/>
  <c r="L229" i="5"/>
  <c r="L226" i="5" s="1"/>
  <c r="L224" i="5" s="1"/>
  <c r="J229" i="5"/>
  <c r="P227" i="5"/>
  <c r="O227" i="5"/>
  <c r="N227" i="5"/>
  <c r="J227" i="5"/>
  <c r="M226" i="5"/>
  <c r="M224" i="5" s="1"/>
  <c r="M223" i="5" s="1"/>
  <c r="P221" i="5"/>
  <c r="P220" i="5" s="1"/>
  <c r="P219" i="5" s="1"/>
  <c r="P216" i="5" s="1"/>
  <c r="O221" i="5"/>
  <c r="O220" i="5" s="1"/>
  <c r="O219" i="5" s="1"/>
  <c r="O216" i="5" s="1"/>
  <c r="N221" i="5"/>
  <c r="N220" i="5" s="1"/>
  <c r="N219" i="5" s="1"/>
  <c r="N216" i="5" s="1"/>
  <c r="J221" i="5"/>
  <c r="J220" i="5" s="1"/>
  <c r="M220" i="5"/>
  <c r="M216" i="5" s="1"/>
  <c r="L220" i="5"/>
  <c r="L216" i="5" s="1"/>
  <c r="P208" i="5"/>
  <c r="P207" i="5" s="1"/>
  <c r="O208" i="5"/>
  <c r="O207" i="5" s="1"/>
  <c r="N208" i="5"/>
  <c r="N207" i="5" s="1"/>
  <c r="J208" i="5"/>
  <c r="J207" i="5" s="1"/>
  <c r="P206" i="5"/>
  <c r="P204" i="5" s="1"/>
  <c r="M206" i="5"/>
  <c r="M204" i="5" s="1"/>
  <c r="L206" i="5"/>
  <c r="L204" i="5" s="1"/>
  <c r="P202" i="5"/>
  <c r="P200" i="5" s="1"/>
  <c r="P199" i="5" s="1"/>
  <c r="O202" i="5"/>
  <c r="O200" i="5" s="1"/>
  <c r="O199" i="5" s="1"/>
  <c r="N202" i="5"/>
  <c r="N200" i="5" s="1"/>
  <c r="N199" i="5" s="1"/>
  <c r="J202" i="5"/>
  <c r="J200" i="5" s="1"/>
  <c r="J199" i="5" s="1"/>
  <c r="P201" i="5"/>
  <c r="O201" i="5"/>
  <c r="N201" i="5"/>
  <c r="J201" i="5"/>
  <c r="L200" i="5"/>
  <c r="L199" i="5" s="1"/>
  <c r="M199" i="5"/>
  <c r="P196" i="5"/>
  <c r="P195" i="5" s="1"/>
  <c r="P194" i="5" s="1"/>
  <c r="O196" i="5"/>
  <c r="O195" i="5" s="1"/>
  <c r="O194" i="5" s="1"/>
  <c r="N196" i="5"/>
  <c r="N195" i="5" s="1"/>
  <c r="N194" i="5" s="1"/>
  <c r="J196" i="5"/>
  <c r="J195" i="5" s="1"/>
  <c r="J194" i="5" s="1"/>
  <c r="M195" i="5"/>
  <c r="M194" i="5" s="1"/>
  <c r="L195" i="5"/>
  <c r="L194" i="5" s="1"/>
  <c r="P183" i="5"/>
  <c r="P182" i="5" s="1"/>
  <c r="O183" i="5"/>
  <c r="O182" i="5" s="1"/>
  <c r="N183" i="5"/>
  <c r="N182" i="5" s="1"/>
  <c r="L183" i="5"/>
  <c r="L182" i="5" s="1"/>
  <c r="J183" i="5"/>
  <c r="J182" i="5" s="1"/>
  <c r="M182" i="5"/>
  <c r="P179" i="5"/>
  <c r="P178" i="5" s="1"/>
  <c r="O179" i="5"/>
  <c r="O178" i="5" s="1"/>
  <c r="N179" i="5"/>
  <c r="N178" i="5" s="1"/>
  <c r="M179" i="5"/>
  <c r="M178" i="5" s="1"/>
  <c r="L179" i="5"/>
  <c r="L178" i="5" s="1"/>
  <c r="J179" i="5"/>
  <c r="J178" i="5" s="1"/>
  <c r="P171" i="5"/>
  <c r="P170" i="5" s="1"/>
  <c r="O171" i="5"/>
  <c r="O170" i="5" s="1"/>
  <c r="N171" i="5"/>
  <c r="N170" i="5" s="1"/>
  <c r="M171" i="5"/>
  <c r="M170" i="5" s="1"/>
  <c r="L171" i="5"/>
  <c r="L170" i="5" s="1"/>
  <c r="J171" i="5"/>
  <c r="J170" i="5" s="1"/>
  <c r="P168" i="5"/>
  <c r="P167" i="5" s="1"/>
  <c r="O168" i="5"/>
  <c r="O167" i="5" s="1"/>
  <c r="N168" i="5"/>
  <c r="N167" i="5" s="1"/>
  <c r="M168" i="5"/>
  <c r="M167" i="5" s="1"/>
  <c r="L168" i="5"/>
  <c r="L167" i="5" s="1"/>
  <c r="J168" i="5"/>
  <c r="J167" i="5" s="1"/>
  <c r="P163" i="5"/>
  <c r="P162" i="5" s="1"/>
  <c r="P161" i="5" s="1"/>
  <c r="P160" i="5" s="1"/>
  <c r="O163" i="5"/>
  <c r="O162" i="5" s="1"/>
  <c r="O161" i="5" s="1"/>
  <c r="O160" i="5" s="1"/>
  <c r="N163" i="5"/>
  <c r="N162" i="5" s="1"/>
  <c r="N161" i="5" s="1"/>
  <c r="N160" i="5" s="1"/>
  <c r="M163" i="5"/>
  <c r="M162" i="5" s="1"/>
  <c r="M161" i="5" s="1"/>
  <c r="M160" i="5" s="1"/>
  <c r="L163" i="5"/>
  <c r="L162" i="5" s="1"/>
  <c r="L161" i="5" s="1"/>
  <c r="L160" i="5" s="1"/>
  <c r="J163" i="5"/>
  <c r="J162" i="5" s="1"/>
  <c r="J161" i="5" s="1"/>
  <c r="J160" i="5" s="1"/>
  <c r="P158" i="5"/>
  <c r="P156" i="5" s="1"/>
  <c r="P155" i="5" s="1"/>
  <c r="P154" i="5" s="1"/>
  <c r="P153" i="5" s="1"/>
  <c r="O158" i="5"/>
  <c r="O156" i="5" s="1"/>
  <c r="O155" i="5" s="1"/>
  <c r="O154" i="5" s="1"/>
  <c r="O153" i="5" s="1"/>
  <c r="N158" i="5"/>
  <c r="N156" i="5" s="1"/>
  <c r="N155" i="5" s="1"/>
  <c r="N154" i="5" s="1"/>
  <c r="N153" i="5" s="1"/>
  <c r="L158" i="5"/>
  <c r="L156" i="5" s="1"/>
  <c r="L155" i="5" s="1"/>
  <c r="L154" i="5" s="1"/>
  <c r="L153" i="5" s="1"/>
  <c r="J158" i="5"/>
  <c r="J156" i="5" s="1"/>
  <c r="J155" i="5" s="1"/>
  <c r="J154" i="5" s="1"/>
  <c r="J153" i="5" s="1"/>
  <c r="M156" i="5"/>
  <c r="M155" i="5" s="1"/>
  <c r="M154" i="5" s="1"/>
  <c r="M153" i="5" s="1"/>
  <c r="P150" i="5"/>
  <c r="P147" i="5" s="1"/>
  <c r="P146" i="5" s="1"/>
  <c r="P145" i="5" s="1"/>
  <c r="P144" i="5" s="1"/>
  <c r="O150" i="5"/>
  <c r="O147" i="5" s="1"/>
  <c r="O146" i="5" s="1"/>
  <c r="O145" i="5" s="1"/>
  <c r="O144" i="5" s="1"/>
  <c r="N150" i="5"/>
  <c r="M150" i="5"/>
  <c r="L150" i="5"/>
  <c r="L147" i="5" s="1"/>
  <c r="L146" i="5" s="1"/>
  <c r="L145" i="5" s="1"/>
  <c r="L144" i="5" s="1"/>
  <c r="J150" i="5"/>
  <c r="J147" i="5" s="1"/>
  <c r="J146" i="5" s="1"/>
  <c r="J145" i="5" s="1"/>
  <c r="J144" i="5" s="1"/>
  <c r="N147" i="5"/>
  <c r="N146" i="5" s="1"/>
  <c r="N145" i="5" s="1"/>
  <c r="N144" i="5" s="1"/>
  <c r="M147" i="5"/>
  <c r="M146" i="5" s="1"/>
  <c r="M145" i="5" s="1"/>
  <c r="M144" i="5" s="1"/>
  <c r="P142" i="5"/>
  <c r="P141" i="5" s="1"/>
  <c r="P140" i="5" s="1"/>
  <c r="P139" i="5" s="1"/>
  <c r="O142" i="5"/>
  <c r="O141" i="5" s="1"/>
  <c r="O140" i="5" s="1"/>
  <c r="O139" i="5" s="1"/>
  <c r="N142" i="5"/>
  <c r="N141" i="5" s="1"/>
  <c r="N140" i="5" s="1"/>
  <c r="N139" i="5" s="1"/>
  <c r="M142" i="5"/>
  <c r="M141" i="5" s="1"/>
  <c r="M140" i="5" s="1"/>
  <c r="M139" i="5" s="1"/>
  <c r="L142" i="5"/>
  <c r="L141" i="5" s="1"/>
  <c r="L140" i="5" s="1"/>
  <c r="L139" i="5" s="1"/>
  <c r="J142" i="5"/>
  <c r="J141" i="5" s="1"/>
  <c r="J140" i="5" s="1"/>
  <c r="J139" i="5" s="1"/>
  <c r="P138" i="5"/>
  <c r="O138" i="5"/>
  <c r="N138" i="5"/>
  <c r="N137" i="5" s="1"/>
  <c r="J138" i="5"/>
  <c r="J137" i="5" s="1"/>
  <c r="P137" i="5"/>
  <c r="O137" i="5"/>
  <c r="M137" i="5"/>
  <c r="L137" i="5"/>
  <c r="P136" i="5"/>
  <c r="O136" i="5"/>
  <c r="O135" i="5" s="1"/>
  <c r="N136" i="5"/>
  <c r="N135" i="5" s="1"/>
  <c r="J136" i="5"/>
  <c r="J135" i="5" s="1"/>
  <c r="P135" i="5"/>
  <c r="P134" i="5" s="1"/>
  <c r="M135" i="5"/>
  <c r="L135" i="5"/>
  <c r="P132" i="5"/>
  <c r="P131" i="5" s="1"/>
  <c r="O132" i="5"/>
  <c r="O131" i="5" s="1"/>
  <c r="N132" i="5"/>
  <c r="N131" i="5" s="1"/>
  <c r="M132" i="5"/>
  <c r="M131" i="5" s="1"/>
  <c r="L132" i="5"/>
  <c r="L131" i="5" s="1"/>
  <c r="J132" i="5"/>
  <c r="J131" i="5" s="1"/>
  <c r="P126" i="5"/>
  <c r="P125" i="5" s="1"/>
  <c r="O126" i="5"/>
  <c r="O125" i="5" s="1"/>
  <c r="N126" i="5"/>
  <c r="N125" i="5" s="1"/>
  <c r="M126" i="5"/>
  <c r="M125" i="5" s="1"/>
  <c r="L126" i="5"/>
  <c r="L125" i="5" s="1"/>
  <c r="J126" i="5"/>
  <c r="J125" i="5" s="1"/>
  <c r="P119" i="5"/>
  <c r="P118" i="5" s="1"/>
  <c r="O119" i="5"/>
  <c r="O118" i="5" s="1"/>
  <c r="N119" i="5"/>
  <c r="N118" i="5" s="1"/>
  <c r="M119" i="5"/>
  <c r="M118" i="5" s="1"/>
  <c r="L119" i="5"/>
  <c r="L118" i="5" s="1"/>
  <c r="J119" i="5"/>
  <c r="J118" i="5" s="1"/>
  <c r="P115" i="5"/>
  <c r="O115" i="5"/>
  <c r="N115" i="5"/>
  <c r="M115" i="5"/>
  <c r="L115" i="5"/>
  <c r="J115" i="5"/>
  <c r="P113" i="5"/>
  <c r="O113" i="5"/>
  <c r="N113" i="5"/>
  <c r="M113" i="5"/>
  <c r="L113" i="5"/>
  <c r="J113" i="5"/>
  <c r="P103" i="5"/>
  <c r="O103" i="5"/>
  <c r="N103" i="5"/>
  <c r="M103" i="5"/>
  <c r="L103" i="5"/>
  <c r="J103" i="5"/>
  <c r="P101" i="5"/>
  <c r="O101" i="5"/>
  <c r="N101" i="5"/>
  <c r="M101" i="5"/>
  <c r="L101" i="5"/>
  <c r="J101" i="5"/>
  <c r="P99" i="5"/>
  <c r="O99" i="5"/>
  <c r="N99" i="5"/>
  <c r="M99" i="5"/>
  <c r="L99" i="5"/>
  <c r="J99" i="5"/>
  <c r="P96" i="5"/>
  <c r="P94" i="5" s="1"/>
  <c r="O96" i="5"/>
  <c r="O94" i="5" s="1"/>
  <c r="N96" i="5"/>
  <c r="N94" i="5" s="1"/>
  <c r="M96" i="5"/>
  <c r="M94" i="5" s="1"/>
  <c r="L96" i="5"/>
  <c r="L94" i="5" s="1"/>
  <c r="J96" i="5"/>
  <c r="J94" i="5" s="1"/>
  <c r="P91" i="5"/>
  <c r="P90" i="5" s="1"/>
  <c r="O91" i="5"/>
  <c r="O90" i="5" s="1"/>
  <c r="N91" i="5"/>
  <c r="N90" i="5" s="1"/>
  <c r="M91" i="5"/>
  <c r="M90" i="5" s="1"/>
  <c r="L91" i="5"/>
  <c r="L90" i="5" s="1"/>
  <c r="J91" i="5"/>
  <c r="J90" i="5" s="1"/>
  <c r="P88" i="5"/>
  <c r="P87" i="5" s="1"/>
  <c r="P86" i="5" s="1"/>
  <c r="O88" i="5"/>
  <c r="O87" i="5" s="1"/>
  <c r="O86" i="5" s="1"/>
  <c r="N88" i="5"/>
  <c r="N87" i="5" s="1"/>
  <c r="N86" i="5" s="1"/>
  <c r="L88" i="5"/>
  <c r="L87" i="5" s="1"/>
  <c r="L86" i="5" s="1"/>
  <c r="J88" i="5"/>
  <c r="J87" i="5" s="1"/>
  <c r="J86" i="5" s="1"/>
  <c r="M87" i="5"/>
  <c r="M86" i="5" s="1"/>
  <c r="P78" i="5"/>
  <c r="P77" i="5" s="1"/>
  <c r="O78" i="5"/>
  <c r="O77" i="5" s="1"/>
  <c r="N78" i="5"/>
  <c r="N77" i="5" s="1"/>
  <c r="M78" i="5"/>
  <c r="M77" i="5" s="1"/>
  <c r="L78" i="5"/>
  <c r="L77" i="5" s="1"/>
  <c r="J78" i="5"/>
  <c r="J77" i="5" s="1"/>
  <c r="P75" i="5"/>
  <c r="O75" i="5"/>
  <c r="N75" i="5"/>
  <c r="M75" i="5"/>
  <c r="L75" i="5"/>
  <c r="J75" i="5"/>
  <c r="P73" i="5"/>
  <c r="O73" i="5"/>
  <c r="N73" i="5"/>
  <c r="M73" i="5"/>
  <c r="L73" i="5"/>
  <c r="J73" i="5"/>
  <c r="P66" i="5"/>
  <c r="P65" i="5" s="1"/>
  <c r="P64" i="5" s="1"/>
  <c r="O66" i="5"/>
  <c r="O65" i="5" s="1"/>
  <c r="O64" i="5" s="1"/>
  <c r="N66" i="5"/>
  <c r="N65" i="5" s="1"/>
  <c r="N64" i="5" s="1"/>
  <c r="M66" i="5"/>
  <c r="M65" i="5" s="1"/>
  <c r="M64" i="5" s="1"/>
  <c r="L66" i="5"/>
  <c r="L65" i="5" s="1"/>
  <c r="L64" i="5" s="1"/>
  <c r="J66" i="5"/>
  <c r="J65" i="5" s="1"/>
  <c r="J64" i="5" s="1"/>
  <c r="P61" i="5"/>
  <c r="P60" i="5" s="1"/>
  <c r="P59" i="5" s="1"/>
  <c r="O61" i="5"/>
  <c r="O60" i="5" s="1"/>
  <c r="O59" i="5" s="1"/>
  <c r="N61" i="5"/>
  <c r="M61" i="5"/>
  <c r="M60" i="5" s="1"/>
  <c r="M59" i="5" s="1"/>
  <c r="L61" i="5"/>
  <c r="L60" i="5" s="1"/>
  <c r="L59" i="5" s="1"/>
  <c r="J61" i="5"/>
  <c r="J60" i="5" s="1"/>
  <c r="J59" i="5" s="1"/>
  <c r="N60" i="5"/>
  <c r="N59" i="5" s="1"/>
  <c r="P57" i="5"/>
  <c r="P56" i="5" s="1"/>
  <c r="P55" i="5" s="1"/>
  <c r="O57" i="5"/>
  <c r="O56" i="5" s="1"/>
  <c r="O55" i="5" s="1"/>
  <c r="N57" i="5"/>
  <c r="M57" i="5"/>
  <c r="M56" i="5" s="1"/>
  <c r="M55" i="5" s="1"/>
  <c r="L57" i="5"/>
  <c r="L56" i="5" s="1"/>
  <c r="L55" i="5" s="1"/>
  <c r="J57" i="5"/>
  <c r="J56" i="5" s="1"/>
  <c r="J55" i="5" s="1"/>
  <c r="N56" i="5"/>
  <c r="N55" i="5" s="1"/>
  <c r="P50" i="5"/>
  <c r="P49" i="5" s="1"/>
  <c r="P48" i="5" s="1"/>
  <c r="O50" i="5"/>
  <c r="O49" i="5" s="1"/>
  <c r="O48" i="5" s="1"/>
  <c r="N50" i="5"/>
  <c r="N49" i="5" s="1"/>
  <c r="N48" i="5" s="1"/>
  <c r="M50" i="5"/>
  <c r="M49" i="5" s="1"/>
  <c r="M48" i="5" s="1"/>
  <c r="L50" i="5"/>
  <c r="L49" i="5" s="1"/>
  <c r="L48" i="5" s="1"/>
  <c r="J50" i="5"/>
  <c r="J49" i="5" s="1"/>
  <c r="J48" i="5" s="1"/>
  <c r="P46" i="5"/>
  <c r="P45" i="5" s="1"/>
  <c r="O46" i="5"/>
  <c r="O45" i="5" s="1"/>
  <c r="N46" i="5"/>
  <c r="N45" i="5" s="1"/>
  <c r="M46" i="5"/>
  <c r="M45" i="5" s="1"/>
  <c r="L46" i="5"/>
  <c r="L45" i="5" s="1"/>
  <c r="J46" i="5"/>
  <c r="J45" i="5" s="1"/>
  <c r="P42" i="5"/>
  <c r="O42" i="5"/>
  <c r="N42" i="5"/>
  <c r="M42" i="5"/>
  <c r="L42" i="5"/>
  <c r="J42" i="5"/>
  <c r="P39" i="5"/>
  <c r="O39" i="5"/>
  <c r="N39" i="5"/>
  <c r="M39" i="5"/>
  <c r="L39" i="5"/>
  <c r="J39" i="5"/>
  <c r="P37" i="5"/>
  <c r="O37" i="5"/>
  <c r="N37" i="5"/>
  <c r="M37" i="5"/>
  <c r="L37" i="5"/>
  <c r="J37" i="5"/>
  <c r="L36" i="5"/>
  <c r="M36" i="5" s="1"/>
  <c r="M35" i="5" s="1"/>
  <c r="P35" i="5"/>
  <c r="O35" i="5"/>
  <c r="N35" i="5"/>
  <c r="J35" i="5"/>
  <c r="L34" i="5"/>
  <c r="M34" i="5" s="1"/>
  <c r="L33" i="5"/>
  <c r="M33" i="5" s="1"/>
  <c r="P32" i="5"/>
  <c r="O32" i="5"/>
  <c r="N32" i="5"/>
  <c r="J32" i="5"/>
  <c r="L29" i="5"/>
  <c r="M29" i="5" s="1"/>
  <c r="L28" i="5"/>
  <c r="M28" i="5" s="1"/>
  <c r="P27" i="5"/>
  <c r="P26" i="5" s="1"/>
  <c r="P25" i="5" s="1"/>
  <c r="O27" i="5"/>
  <c r="O26" i="5" s="1"/>
  <c r="O25" i="5" s="1"/>
  <c r="N27" i="5"/>
  <c r="N26" i="5" s="1"/>
  <c r="N25" i="5" s="1"/>
  <c r="J27" i="5"/>
  <c r="J26" i="5" s="1"/>
  <c r="J25" i="5" s="1"/>
  <c r="O118" i="4"/>
  <c r="P115" i="4"/>
  <c r="P105" i="4"/>
  <c r="T102" i="4"/>
  <c r="R102" i="4"/>
  <c r="P100" i="4"/>
  <c r="P98" i="4" s="1"/>
  <c r="T98" i="4"/>
  <c r="R98" i="4"/>
  <c r="K98" i="4"/>
  <c r="T94" i="4"/>
  <c r="R94" i="4"/>
  <c r="K94" i="4"/>
  <c r="P90" i="4"/>
  <c r="P85" i="4"/>
  <c r="T82" i="4"/>
  <c r="R82" i="4"/>
  <c r="K82" i="4"/>
  <c r="P81" i="4"/>
  <c r="P78" i="4"/>
  <c r="T76" i="4"/>
  <c r="R76" i="4"/>
  <c r="K76" i="4"/>
  <c r="N72" i="4"/>
  <c r="P72" i="4" s="1"/>
  <c r="P68" i="4"/>
  <c r="P64" i="4"/>
  <c r="P60" i="4"/>
  <c r="T57" i="4"/>
  <c r="R57" i="4"/>
  <c r="K57" i="4"/>
  <c r="P53" i="4"/>
  <c r="T51" i="4"/>
  <c r="R51" i="4"/>
  <c r="P51" i="4"/>
  <c r="K51" i="4"/>
  <c r="P50" i="4"/>
  <c r="P49" i="4"/>
  <c r="P48" i="4"/>
  <c r="T45" i="4"/>
  <c r="R45" i="4"/>
  <c r="K45" i="4"/>
  <c r="P44" i="4"/>
  <c r="T41" i="4"/>
  <c r="R41" i="4"/>
  <c r="K41" i="4"/>
  <c r="P40" i="4"/>
  <c r="T38" i="4"/>
  <c r="R38" i="4"/>
  <c r="P36" i="4"/>
  <c r="P34" i="4" s="1"/>
  <c r="T34" i="4"/>
  <c r="R34" i="4"/>
  <c r="K34" i="4"/>
  <c r="O494" i="5"/>
  <c r="K28" i="9"/>
  <c r="I27" i="9"/>
  <c r="O463" i="5"/>
  <c r="L28" i="9"/>
  <c r="H187" i="3"/>
  <c r="J348" i="3"/>
  <c r="J347" i="3" s="1"/>
  <c r="J346" i="3" s="1"/>
  <c r="J345" i="3" s="1"/>
  <c r="J344" i="3" s="1"/>
  <c r="I348" i="3"/>
  <c r="I347" i="3" s="1"/>
  <c r="I346" i="3" s="1"/>
  <c r="I345" i="3" s="1"/>
  <c r="I344" i="3" s="1"/>
  <c r="J335" i="3"/>
  <c r="J334" i="3" s="1"/>
  <c r="J333" i="3" s="1"/>
  <c r="J332" i="3" s="1"/>
  <c r="J331" i="3" s="1"/>
  <c r="I335" i="3"/>
  <c r="I334" i="3" s="1"/>
  <c r="I333" i="3" s="1"/>
  <c r="I332" i="3" s="1"/>
  <c r="I331" i="3" s="1"/>
  <c r="J326" i="3"/>
  <c r="J325" i="3" s="1"/>
  <c r="J324" i="3" s="1"/>
  <c r="I326" i="3"/>
  <c r="I325" i="3" s="1"/>
  <c r="I324" i="3" s="1"/>
  <c r="J322" i="3"/>
  <c r="J321" i="3" s="1"/>
  <c r="I322" i="3"/>
  <c r="I321" i="3" s="1"/>
  <c r="J317" i="3"/>
  <c r="J316" i="3" s="1"/>
  <c r="I317" i="3"/>
  <c r="I316" i="3" s="1"/>
  <c r="J313" i="3"/>
  <c r="I313" i="3"/>
  <c r="J311" i="3"/>
  <c r="I311" i="3"/>
  <c r="J308" i="3"/>
  <c r="J307" i="3" s="1"/>
  <c r="I308" i="3"/>
  <c r="I307" i="3" s="1"/>
  <c r="J300" i="3"/>
  <c r="J299" i="3" s="1"/>
  <c r="J298" i="3" s="1"/>
  <c r="J297" i="3" s="1"/>
  <c r="J296" i="3" s="1"/>
  <c r="I300" i="3"/>
  <c r="I299" i="3" s="1"/>
  <c r="I298" i="3" s="1"/>
  <c r="I297" i="3" s="1"/>
  <c r="I296" i="3" s="1"/>
  <c r="J288" i="3"/>
  <c r="J287" i="3" s="1"/>
  <c r="J286" i="3" s="1"/>
  <c r="J285" i="3" s="1"/>
  <c r="J284" i="3" s="1"/>
  <c r="I288" i="3"/>
  <c r="I287" i="3" s="1"/>
  <c r="I286" i="3" s="1"/>
  <c r="I285" i="3" s="1"/>
  <c r="I284" i="3" s="1"/>
  <c r="J282" i="3"/>
  <c r="J281" i="3" s="1"/>
  <c r="J280" i="3" s="1"/>
  <c r="J279" i="3" s="1"/>
  <c r="J278" i="3" s="1"/>
  <c r="I282" i="3"/>
  <c r="I281" i="3" s="1"/>
  <c r="I280" i="3" s="1"/>
  <c r="I279" i="3" s="1"/>
  <c r="I278" i="3" s="1"/>
  <c r="J262" i="3"/>
  <c r="J261" i="3" s="1"/>
  <c r="J260" i="3" s="1"/>
  <c r="J259" i="3" s="1"/>
  <c r="J258" i="3" s="1"/>
  <c r="I262" i="3"/>
  <c r="I261" i="3" s="1"/>
  <c r="I260" i="3" s="1"/>
  <c r="I259" i="3" s="1"/>
  <c r="I258" i="3" s="1"/>
  <c r="J254" i="3"/>
  <c r="J253" i="3" s="1"/>
  <c r="I254" i="3"/>
  <c r="I253" i="3" s="1"/>
  <c r="J251" i="3"/>
  <c r="J250" i="3" s="1"/>
  <c r="I251" i="3"/>
  <c r="I250" i="3" s="1"/>
  <c r="J217" i="3"/>
  <c r="J216" i="3" s="1"/>
  <c r="J215" i="3" s="1"/>
  <c r="J214" i="3" s="1"/>
  <c r="I217" i="3"/>
  <c r="I216" i="3" s="1"/>
  <c r="I215" i="3" s="1"/>
  <c r="I214" i="3" s="1"/>
  <c r="H212" i="3"/>
  <c r="J210" i="3"/>
  <c r="J208" i="3" s="1"/>
  <c r="J207" i="3" s="1"/>
  <c r="J206" i="3" s="1"/>
  <c r="I210" i="3"/>
  <c r="I208" i="3" s="1"/>
  <c r="I207" i="3" s="1"/>
  <c r="I206" i="3" s="1"/>
  <c r="H210" i="3"/>
  <c r="H208" i="3" s="1"/>
  <c r="H207" i="3" s="1"/>
  <c r="J204" i="3"/>
  <c r="J203" i="3" s="1"/>
  <c r="J202" i="3" s="1"/>
  <c r="I204" i="3"/>
  <c r="I203" i="3" s="1"/>
  <c r="I202" i="3" s="1"/>
  <c r="J199" i="3"/>
  <c r="I199" i="3"/>
  <c r="J197" i="3"/>
  <c r="I197" i="3"/>
  <c r="J195" i="3"/>
  <c r="I195" i="3"/>
  <c r="J187" i="3"/>
  <c r="I187" i="3"/>
  <c r="J185" i="3"/>
  <c r="I185" i="3"/>
  <c r="J183" i="3"/>
  <c r="I183" i="3"/>
  <c r="J178" i="3"/>
  <c r="J177" i="3" s="1"/>
  <c r="J176" i="3" s="1"/>
  <c r="I178" i="3"/>
  <c r="I177" i="3" s="1"/>
  <c r="I176" i="3" s="1"/>
  <c r="J173" i="3"/>
  <c r="J172" i="3" s="1"/>
  <c r="J171" i="3" s="1"/>
  <c r="J170" i="3" s="1"/>
  <c r="I173" i="3"/>
  <c r="I172" i="3" s="1"/>
  <c r="I171" i="3" s="1"/>
  <c r="I170" i="3" s="1"/>
  <c r="H173" i="3"/>
  <c r="J168" i="3"/>
  <c r="I168" i="3"/>
  <c r="H168" i="3"/>
  <c r="J166" i="3"/>
  <c r="I166" i="3"/>
  <c r="H166" i="3"/>
  <c r="J164" i="3"/>
  <c r="I164" i="3"/>
  <c r="H164" i="3"/>
  <c r="J161" i="3"/>
  <c r="J160" i="3" s="1"/>
  <c r="I161" i="3"/>
  <c r="I160" i="3" s="1"/>
  <c r="H161" i="3"/>
  <c r="H160" i="3" s="1"/>
  <c r="J156" i="3"/>
  <c r="I156" i="3"/>
  <c r="J154" i="3"/>
  <c r="I154" i="3"/>
  <c r="J150" i="3"/>
  <c r="I150" i="3"/>
  <c r="H150" i="3"/>
  <c r="J148" i="3"/>
  <c r="I148" i="3"/>
  <c r="J146" i="3"/>
  <c r="I146" i="3"/>
  <c r="J112" i="3"/>
  <c r="J111" i="3" s="1"/>
  <c r="J110" i="3" s="1"/>
  <c r="J109" i="3" s="1"/>
  <c r="J108" i="3" s="1"/>
  <c r="J107" i="3" s="1"/>
  <c r="I112" i="3"/>
  <c r="I111" i="3" s="1"/>
  <c r="I110" i="3" s="1"/>
  <c r="I109" i="3" s="1"/>
  <c r="I108" i="3" s="1"/>
  <c r="I107" i="3" s="1"/>
  <c r="J102" i="3"/>
  <c r="I102" i="3"/>
  <c r="H102" i="3"/>
  <c r="J100" i="3"/>
  <c r="I100" i="3"/>
  <c r="H100" i="3"/>
  <c r="J88" i="3"/>
  <c r="J87" i="3" s="1"/>
  <c r="J86" i="3" s="1"/>
  <c r="J85" i="3" s="1"/>
  <c r="J84" i="3" s="1"/>
  <c r="I88" i="3"/>
  <c r="I87" i="3" s="1"/>
  <c r="I86" i="3" s="1"/>
  <c r="I85" i="3" s="1"/>
  <c r="I84" i="3" s="1"/>
  <c r="J70" i="3"/>
  <c r="J69" i="3" s="1"/>
  <c r="J68" i="3" s="1"/>
  <c r="I70" i="3"/>
  <c r="I69" i="3" s="1"/>
  <c r="I68" i="3" s="1"/>
  <c r="J66" i="3"/>
  <c r="I66" i="3"/>
  <c r="J64" i="3"/>
  <c r="I64" i="3"/>
  <c r="J62" i="3"/>
  <c r="I62" i="3"/>
  <c r="J59" i="3"/>
  <c r="I59" i="3"/>
  <c r="I12" i="3"/>
  <c r="L51" i="2"/>
  <c r="L54" i="2"/>
  <c r="L56" i="2"/>
  <c r="L58" i="2"/>
  <c r="K62" i="2"/>
  <c r="K61" i="2" s="1"/>
  <c r="K60" i="2" s="1"/>
  <c r="K51" i="2"/>
  <c r="K54" i="2"/>
  <c r="K56" i="2"/>
  <c r="K58" i="2"/>
  <c r="H11" i="2"/>
  <c r="J12" i="2"/>
  <c r="U14" i="2"/>
  <c r="V14" i="2"/>
  <c r="K26" i="2"/>
  <c r="K25" i="2" s="1"/>
  <c r="K24" i="2" s="1"/>
  <c r="K23" i="2" s="1"/>
  <c r="K22" i="2" s="1"/>
  <c r="L26" i="2"/>
  <c r="L25" i="2" s="1"/>
  <c r="L24" i="2" s="1"/>
  <c r="L23" i="2" s="1"/>
  <c r="L22" i="2" s="1"/>
  <c r="K32" i="2"/>
  <c r="K31" i="2" s="1"/>
  <c r="K30" i="2" s="1"/>
  <c r="L32" i="2"/>
  <c r="L31" i="2" s="1"/>
  <c r="L30" i="2" s="1"/>
  <c r="I43" i="2"/>
  <c r="I42" i="2" s="1"/>
  <c r="I41" i="2" s="1"/>
  <c r="I40" i="2" s="1"/>
  <c r="I39" i="2" s="1"/>
  <c r="J43" i="2"/>
  <c r="J42" i="2" s="1"/>
  <c r="J41" i="2" s="1"/>
  <c r="J40" i="2" s="1"/>
  <c r="J39" i="2" s="1"/>
  <c r="K43" i="2"/>
  <c r="K42" i="2" s="1"/>
  <c r="K41" i="2" s="1"/>
  <c r="K40" i="2" s="1"/>
  <c r="K39" i="2" s="1"/>
  <c r="L43" i="2"/>
  <c r="L42" i="2" s="1"/>
  <c r="L41" i="2" s="1"/>
  <c r="L40" i="2" s="1"/>
  <c r="L39" i="2" s="1"/>
  <c r="I51" i="2"/>
  <c r="I50" i="2" s="1"/>
  <c r="I49" i="2" s="1"/>
  <c r="I48" i="2" s="1"/>
  <c r="I47" i="2" s="1"/>
  <c r="H51" i="2"/>
  <c r="J51" i="2"/>
  <c r="J50" i="2" s="1"/>
  <c r="J49" i="2" s="1"/>
  <c r="J48" i="2" s="1"/>
  <c r="J47" i="2" s="1"/>
  <c r="H54" i="2"/>
  <c r="I54" i="2"/>
  <c r="J54" i="2"/>
  <c r="H56" i="2"/>
  <c r="I56" i="2"/>
  <c r="J56" i="2"/>
  <c r="H58" i="2"/>
  <c r="H62" i="2"/>
  <c r="H61" i="2" s="1"/>
  <c r="H60" i="2" s="1"/>
  <c r="L62" i="2"/>
  <c r="L61" i="2" s="1"/>
  <c r="L60" i="2" s="1"/>
  <c r="K68" i="2"/>
  <c r="K67" i="2" s="1"/>
  <c r="K66" i="2" s="1"/>
  <c r="K65" i="2" s="1"/>
  <c r="K64" i="2" s="1"/>
  <c r="H68" i="2"/>
  <c r="H67" i="2" s="1"/>
  <c r="H66" i="2" s="1"/>
  <c r="H65" i="2" s="1"/>
  <c r="H64" i="2" s="1"/>
  <c r="I68" i="2"/>
  <c r="I67" i="2" s="1"/>
  <c r="I66" i="2" s="1"/>
  <c r="I65" i="2" s="1"/>
  <c r="I64" i="2" s="1"/>
  <c r="J68" i="2"/>
  <c r="J67" i="2" s="1"/>
  <c r="J66" i="2" s="1"/>
  <c r="J65" i="2" s="1"/>
  <c r="J64" i="2" s="1"/>
  <c r="L68" i="2"/>
  <c r="L67" i="2" s="1"/>
  <c r="L66" i="2" s="1"/>
  <c r="L65" i="2" s="1"/>
  <c r="L64" i="2" s="1"/>
  <c r="H74" i="2"/>
  <c r="H73" i="2" s="1"/>
  <c r="H72" i="2" s="1"/>
  <c r="H71" i="2" s="1"/>
  <c r="K74" i="2"/>
  <c r="K73" i="2" s="1"/>
  <c r="K72" i="2" s="1"/>
  <c r="K71" i="2" s="1"/>
  <c r="L74" i="2"/>
  <c r="L73" i="2" s="1"/>
  <c r="L72" i="2" s="1"/>
  <c r="L71" i="2" s="1"/>
  <c r="H80" i="2"/>
  <c r="I80" i="2"/>
  <c r="J80" i="2"/>
  <c r="J84" i="2"/>
  <c r="H82" i="2"/>
  <c r="H84" i="2"/>
  <c r="H79" i="2" s="1"/>
  <c r="H78" i="2" s="1"/>
  <c r="H77" i="2" s="1"/>
  <c r="I84" i="2"/>
  <c r="H92" i="2"/>
  <c r="H91" i="2" s="1"/>
  <c r="H90" i="2" s="1"/>
  <c r="H89" i="2" s="1"/>
  <c r="H88" i="2" s="1"/>
  <c r="H87" i="2" s="1"/>
  <c r="K92" i="2"/>
  <c r="K91" i="2" s="1"/>
  <c r="K90" i="2" s="1"/>
  <c r="K89" i="2" s="1"/>
  <c r="K88" i="2" s="1"/>
  <c r="K87" i="2" s="1"/>
  <c r="L92" i="2"/>
  <c r="L91" i="2" s="1"/>
  <c r="L90" i="2" s="1"/>
  <c r="L89" i="2" s="1"/>
  <c r="L88" i="2" s="1"/>
  <c r="L87" i="2" s="1"/>
  <c r="H100" i="2"/>
  <c r="I101" i="2"/>
  <c r="I100" i="2" s="1"/>
  <c r="J101" i="2"/>
  <c r="J100" i="2" s="1"/>
  <c r="H102" i="2"/>
  <c r="I102" i="2"/>
  <c r="I104" i="2"/>
  <c r="J102" i="2"/>
  <c r="H104" i="2"/>
  <c r="J104" i="2"/>
  <c r="I107" i="2"/>
  <c r="I106" i="2" s="1"/>
  <c r="J107" i="2"/>
  <c r="J106" i="2" s="1"/>
  <c r="H112" i="2"/>
  <c r="H111" i="2" s="1"/>
  <c r="H110" i="2" s="1"/>
  <c r="I112" i="2"/>
  <c r="I114" i="2"/>
  <c r="J112" i="2"/>
  <c r="J114" i="2"/>
  <c r="I118" i="2"/>
  <c r="I117" i="2" s="1"/>
  <c r="I116" i="2" s="1"/>
  <c r="J118" i="2"/>
  <c r="J117" i="2" s="1"/>
  <c r="J116" i="2" s="1"/>
  <c r="I124" i="2"/>
  <c r="I123" i="2" s="1"/>
  <c r="I122" i="2" s="1"/>
  <c r="J124" i="2"/>
  <c r="J123" i="2" s="1"/>
  <c r="J122" i="2" s="1"/>
  <c r="K125" i="2"/>
  <c r="K127" i="2"/>
  <c r="H125" i="2"/>
  <c r="L125" i="2"/>
  <c r="H127" i="2"/>
  <c r="L127" i="2"/>
  <c r="H129" i="2"/>
  <c r="K129" i="2"/>
  <c r="L129" i="2"/>
  <c r="K133" i="2"/>
  <c r="K135" i="2"/>
  <c r="L133" i="2"/>
  <c r="H135" i="2"/>
  <c r="L135" i="2"/>
  <c r="L140" i="2"/>
  <c r="L139" i="2" s="1"/>
  <c r="H140" i="2"/>
  <c r="H139" i="2" s="1"/>
  <c r="I140" i="2"/>
  <c r="I139" i="2" s="1"/>
  <c r="J140" i="2"/>
  <c r="J139" i="2" s="1"/>
  <c r="K140" i="2"/>
  <c r="K139" i="2" s="1"/>
  <c r="H143" i="2"/>
  <c r="I143" i="2"/>
  <c r="I145" i="2"/>
  <c r="I147" i="2"/>
  <c r="J143" i="2"/>
  <c r="K143" i="2"/>
  <c r="L143" i="2"/>
  <c r="H145" i="2"/>
  <c r="J145" i="2"/>
  <c r="J147" i="2"/>
  <c r="K145" i="2"/>
  <c r="L145" i="2"/>
  <c r="L147" i="2"/>
  <c r="H147" i="2"/>
  <c r="K147" i="2"/>
  <c r="H152" i="2"/>
  <c r="H151" i="2" s="1"/>
  <c r="H150" i="2" s="1"/>
  <c r="H149" i="2" s="1"/>
  <c r="I152" i="2"/>
  <c r="I151" i="2" s="1"/>
  <c r="I150" i="2" s="1"/>
  <c r="I149" i="2" s="1"/>
  <c r="J152" i="2"/>
  <c r="J151" i="2" s="1"/>
  <c r="J150" i="2" s="1"/>
  <c r="J149" i="2" s="1"/>
  <c r="K152" i="2"/>
  <c r="K151" i="2" s="1"/>
  <c r="K150" i="2" s="1"/>
  <c r="K149" i="2" s="1"/>
  <c r="L152" i="2"/>
  <c r="L151" i="2" s="1"/>
  <c r="L150" i="2" s="1"/>
  <c r="L149" i="2" s="1"/>
  <c r="H157" i="2"/>
  <c r="H156" i="2" s="1"/>
  <c r="H155" i="2" s="1"/>
  <c r="J156" i="2"/>
  <c r="J155" i="2" s="1"/>
  <c r="H162" i="2"/>
  <c r="I162" i="2"/>
  <c r="J162" i="2"/>
  <c r="H164" i="2"/>
  <c r="I164" i="2"/>
  <c r="J164" i="2"/>
  <c r="K164" i="2"/>
  <c r="L164" i="2"/>
  <c r="H166" i="2"/>
  <c r="I166" i="2"/>
  <c r="J166" i="2"/>
  <c r="H173" i="2"/>
  <c r="I173" i="2"/>
  <c r="I175" i="2"/>
  <c r="I177" i="2"/>
  <c r="J173" i="2"/>
  <c r="K173" i="2"/>
  <c r="L173" i="2"/>
  <c r="H175" i="2"/>
  <c r="H177" i="2"/>
  <c r="J175" i="2"/>
  <c r="J177" i="2"/>
  <c r="K175" i="2"/>
  <c r="L175" i="2"/>
  <c r="K177" i="2"/>
  <c r="L177" i="2"/>
  <c r="I182" i="2"/>
  <c r="I181" i="2" s="1"/>
  <c r="I180" i="2" s="1"/>
  <c r="J182" i="2"/>
  <c r="J181" i="2" s="1"/>
  <c r="J180" i="2" s="1"/>
  <c r="K182" i="2"/>
  <c r="K181" i="2" s="1"/>
  <c r="K180" i="2" s="1"/>
  <c r="L182" i="2"/>
  <c r="L181" i="2" s="1"/>
  <c r="L180" i="2" s="1"/>
  <c r="H184" i="2"/>
  <c r="K184" i="2"/>
  <c r="L184" i="2"/>
  <c r="L188" i="2"/>
  <c r="L186" i="2" s="1"/>
  <c r="L185" i="2" s="1"/>
  <c r="H188" i="2"/>
  <c r="H186" i="2" s="1"/>
  <c r="H185" i="2" s="1"/>
  <c r="I188" i="2"/>
  <c r="I186" i="2" s="1"/>
  <c r="I185" i="2" s="1"/>
  <c r="J188" i="2"/>
  <c r="J186" i="2" s="1"/>
  <c r="J185" i="2" s="1"/>
  <c r="J192" i="2"/>
  <c r="J194" i="2"/>
  <c r="K188" i="2"/>
  <c r="K186" i="2" s="1"/>
  <c r="K185" i="2" s="1"/>
  <c r="K193" i="2"/>
  <c r="K192" i="2" s="1"/>
  <c r="K191" i="2" s="1"/>
  <c r="K190" i="2" s="1"/>
  <c r="I192" i="2"/>
  <c r="H193" i="2"/>
  <c r="H192" i="2" s="1"/>
  <c r="H191" i="2" s="1"/>
  <c r="H190" i="2" s="1"/>
  <c r="H179" i="2" s="1"/>
  <c r="L193" i="2"/>
  <c r="L192" i="2" s="1"/>
  <c r="L191" i="2" s="1"/>
  <c r="L190" i="2" s="1"/>
  <c r="I194" i="2"/>
  <c r="H197" i="2"/>
  <c r="K197" i="2"/>
  <c r="L197" i="2"/>
  <c r="H202" i="2"/>
  <c r="I202" i="2"/>
  <c r="I201" i="2" s="1"/>
  <c r="I200" i="2" s="1"/>
  <c r="J202" i="2"/>
  <c r="J201" i="2" s="1"/>
  <c r="J200" i="2" s="1"/>
  <c r="K202" i="2"/>
  <c r="L202" i="2"/>
  <c r="H204" i="2"/>
  <c r="K204" i="2"/>
  <c r="L204" i="2"/>
  <c r="H209" i="2"/>
  <c r="H208" i="2" s="1"/>
  <c r="H207" i="2" s="1"/>
  <c r="I209" i="2"/>
  <c r="I208" i="2" s="1"/>
  <c r="I207" i="2" s="1"/>
  <c r="J209" i="2"/>
  <c r="J208" i="2" s="1"/>
  <c r="J207" i="2" s="1"/>
  <c r="K209" i="2"/>
  <c r="K208" i="2" s="1"/>
  <c r="K207" i="2" s="1"/>
  <c r="L209" i="2"/>
  <c r="L208" i="2" s="1"/>
  <c r="L207" i="2" s="1"/>
  <c r="H213" i="2"/>
  <c r="J215" i="2"/>
  <c r="K213" i="2"/>
  <c r="L213" i="2"/>
  <c r="H215" i="2"/>
  <c r="I215" i="2"/>
  <c r="K215" i="2"/>
  <c r="L215" i="2"/>
  <c r="H218" i="2"/>
  <c r="I218" i="2"/>
  <c r="J218" i="2"/>
  <c r="K218" i="2"/>
  <c r="K222" i="2"/>
  <c r="L218" i="2"/>
  <c r="H222" i="2"/>
  <c r="I222" i="2"/>
  <c r="J222" i="2"/>
  <c r="L222" i="2"/>
  <c r="L217" i="2" s="1"/>
  <c r="H229" i="2"/>
  <c r="H228" i="2" s="1"/>
  <c r="H232" i="2"/>
  <c r="H231" i="2" s="1"/>
  <c r="K229" i="2"/>
  <c r="K228" i="2" s="1"/>
  <c r="L229" i="2"/>
  <c r="L228" i="2" s="1"/>
  <c r="L232" i="2"/>
  <c r="L231" i="2" s="1"/>
  <c r="H251" i="2"/>
  <c r="K251" i="2"/>
  <c r="L251" i="2"/>
  <c r="H253" i="2"/>
  <c r="K253" i="2"/>
  <c r="L253" i="2"/>
  <c r="H260" i="2"/>
  <c r="H259" i="2" s="1"/>
  <c r="H258" i="2" s="1"/>
  <c r="H257" i="2" s="1"/>
  <c r="H256" i="2" s="1"/>
  <c r="H266" i="2"/>
  <c r="H265" i="2" s="1"/>
  <c r="H264" i="2" s="1"/>
  <c r="H263" i="2" s="1"/>
  <c r="H262" i="2" s="1"/>
  <c r="K260" i="2"/>
  <c r="K259" i="2" s="1"/>
  <c r="K258" i="2" s="1"/>
  <c r="K257" i="2" s="1"/>
  <c r="K256" i="2" s="1"/>
  <c r="L260" i="2"/>
  <c r="L259" i="2" s="1"/>
  <c r="L258" i="2" s="1"/>
  <c r="L257" i="2" s="1"/>
  <c r="L256" i="2" s="1"/>
  <c r="J266" i="2"/>
  <c r="J265" i="2" s="1"/>
  <c r="J264" i="2" s="1"/>
  <c r="J263" i="2" s="1"/>
  <c r="J262" i="2" s="1"/>
  <c r="I266" i="2"/>
  <c r="I265" i="2" s="1"/>
  <c r="I264" i="2" s="1"/>
  <c r="I263" i="2" s="1"/>
  <c r="I262" i="2" s="1"/>
  <c r="K266" i="2"/>
  <c r="K265" i="2" s="1"/>
  <c r="K264" i="2" s="1"/>
  <c r="K263" i="2" s="1"/>
  <c r="K262" i="2" s="1"/>
  <c r="L266" i="2"/>
  <c r="L265" i="2" s="1"/>
  <c r="L264" i="2" s="1"/>
  <c r="L263" i="2" s="1"/>
  <c r="L262" i="2" s="1"/>
  <c r="H275" i="2"/>
  <c r="H274" i="2" s="1"/>
  <c r="H273" i="2" s="1"/>
  <c r="H272" i="2" s="1"/>
  <c r="H271" i="2" s="1"/>
  <c r="K275" i="2"/>
  <c r="K274" i="2" s="1"/>
  <c r="K273" i="2" s="1"/>
  <c r="K272" i="2" s="1"/>
  <c r="K271" i="2" s="1"/>
  <c r="L275" i="2"/>
  <c r="L274" i="2" s="1"/>
  <c r="L273" i="2" s="1"/>
  <c r="L272" i="2" s="1"/>
  <c r="L271" i="2" s="1"/>
  <c r="I276" i="2"/>
  <c r="I277" i="2"/>
  <c r="J276" i="2"/>
  <c r="J277" i="2"/>
  <c r="H283" i="2"/>
  <c r="H282" i="2" s="1"/>
  <c r="I283" i="2"/>
  <c r="I282" i="2" s="1"/>
  <c r="J283" i="2"/>
  <c r="J282" i="2" s="1"/>
  <c r="K283" i="2"/>
  <c r="K282" i="2" s="1"/>
  <c r="L283" i="2"/>
  <c r="L282" i="2" s="1"/>
  <c r="H286" i="2"/>
  <c r="H288" i="2"/>
  <c r="I286" i="2"/>
  <c r="J286" i="2"/>
  <c r="K286" i="2"/>
  <c r="L286" i="2"/>
  <c r="L288" i="2"/>
  <c r="I288" i="2"/>
  <c r="J288" i="2"/>
  <c r="K288" i="2"/>
  <c r="H292" i="2"/>
  <c r="H291" i="2" s="1"/>
  <c r="K292" i="2"/>
  <c r="K291" i="2" s="1"/>
  <c r="K295" i="2"/>
  <c r="K294" i="2" s="1"/>
  <c r="L292" i="2"/>
  <c r="L291" i="2" s="1"/>
  <c r="I293" i="2"/>
  <c r="I292" i="2" s="1"/>
  <c r="I291" i="2" s="1"/>
  <c r="I295" i="2"/>
  <c r="I294" i="2" s="1"/>
  <c r="J293" i="2"/>
  <c r="J292" i="2" s="1"/>
  <c r="J291" i="2" s="1"/>
  <c r="H295" i="2"/>
  <c r="H294" i="2" s="1"/>
  <c r="J295" i="2"/>
  <c r="J294" i="2" s="1"/>
  <c r="L295" i="2"/>
  <c r="L294" i="2" s="1"/>
  <c r="L299" i="2"/>
  <c r="L298" i="2" s="1"/>
  <c r="L297" i="2" s="1"/>
  <c r="H299" i="2"/>
  <c r="H298" i="2" s="1"/>
  <c r="H297" i="2" s="1"/>
  <c r="I299" i="2"/>
  <c r="I298" i="2" s="1"/>
  <c r="I297" i="2" s="1"/>
  <c r="J299" i="2"/>
  <c r="J298" i="2" s="1"/>
  <c r="J297" i="2" s="1"/>
  <c r="K299" i="2"/>
  <c r="K298" i="2" s="1"/>
  <c r="K297" i="2" s="1"/>
  <c r="H307" i="2"/>
  <c r="H306" i="2" s="1"/>
  <c r="H305" i="2" s="1"/>
  <c r="H304" i="2" s="1"/>
  <c r="H303" i="2" s="1"/>
  <c r="L307" i="2"/>
  <c r="L306" i="2" s="1"/>
  <c r="L305" i="2" s="1"/>
  <c r="L304" i="2" s="1"/>
  <c r="L303" i="2" s="1"/>
  <c r="I308" i="2"/>
  <c r="I307" i="2" s="1"/>
  <c r="I306" i="2" s="1"/>
  <c r="I305" i="2" s="1"/>
  <c r="I304" i="2" s="1"/>
  <c r="I303" i="2" s="1"/>
  <c r="J308" i="2"/>
  <c r="J307" i="2" s="1"/>
  <c r="J306" i="2" s="1"/>
  <c r="J305" i="2" s="1"/>
  <c r="J304" i="2" s="1"/>
  <c r="J303" i="2" s="1"/>
  <c r="J315" i="2"/>
  <c r="J314" i="2" s="1"/>
  <c r="J313" i="2" s="1"/>
  <c r="J312" i="2" s="1"/>
  <c r="J311" i="2" s="1"/>
  <c r="H315" i="2"/>
  <c r="H314" i="2" s="1"/>
  <c r="H313" i="2" s="1"/>
  <c r="H312" i="2" s="1"/>
  <c r="H311" i="2" s="1"/>
  <c r="I315" i="2"/>
  <c r="I314" i="2" s="1"/>
  <c r="I313" i="2" s="1"/>
  <c r="I312" i="2" s="1"/>
  <c r="I311" i="2" s="1"/>
  <c r="L315" i="2"/>
  <c r="L314" i="2" s="1"/>
  <c r="L313" i="2" s="1"/>
  <c r="L312" i="2" s="1"/>
  <c r="L311" i="2" s="1"/>
  <c r="P331" i="1"/>
  <c r="P324" i="1"/>
  <c r="O302" i="1"/>
  <c r="O301" i="1" s="1"/>
  <c r="J27" i="1"/>
  <c r="J26" i="1" s="1"/>
  <c r="J25" i="1" s="1"/>
  <c r="N27" i="1"/>
  <c r="N26" i="1" s="1"/>
  <c r="N25" i="1" s="1"/>
  <c r="O27" i="1"/>
  <c r="O26" i="1" s="1"/>
  <c r="O25" i="1" s="1"/>
  <c r="P27" i="1"/>
  <c r="P26" i="1" s="1"/>
  <c r="P25" i="1" s="1"/>
  <c r="L28" i="1"/>
  <c r="M28" i="1" s="1"/>
  <c r="L29" i="1"/>
  <c r="M29" i="1" s="1"/>
  <c r="J32" i="1"/>
  <c r="N32" i="1"/>
  <c r="O32" i="1"/>
  <c r="P32" i="1"/>
  <c r="L33" i="1"/>
  <c r="M33" i="1" s="1"/>
  <c r="L34" i="1"/>
  <c r="M34" i="1" s="1"/>
  <c r="J35" i="1"/>
  <c r="N35" i="1"/>
  <c r="O35" i="1"/>
  <c r="P35" i="1"/>
  <c r="L36" i="1"/>
  <c r="M36" i="1" s="1"/>
  <c r="M35" i="1" s="1"/>
  <c r="J37" i="1"/>
  <c r="L37" i="1"/>
  <c r="M37" i="1"/>
  <c r="N37" i="1"/>
  <c r="O37" i="1"/>
  <c r="P37" i="1"/>
  <c r="J39" i="1"/>
  <c r="L39" i="1"/>
  <c r="M39" i="1"/>
  <c r="N39" i="1"/>
  <c r="O39" i="1"/>
  <c r="P39" i="1"/>
  <c r="J42" i="1"/>
  <c r="L42" i="1"/>
  <c r="M42" i="1"/>
  <c r="N42" i="1"/>
  <c r="O42" i="1"/>
  <c r="P42" i="1"/>
  <c r="J46" i="1"/>
  <c r="J45" i="1" s="1"/>
  <c r="L46" i="1"/>
  <c r="L45" i="1" s="1"/>
  <c r="M46" i="1"/>
  <c r="M45" i="1" s="1"/>
  <c r="N46" i="1"/>
  <c r="N45" i="1" s="1"/>
  <c r="O46" i="1"/>
  <c r="O45" i="1" s="1"/>
  <c r="P46" i="1"/>
  <c r="P45" i="1" s="1"/>
  <c r="J50" i="1"/>
  <c r="J49" i="1" s="1"/>
  <c r="J48" i="1" s="1"/>
  <c r="L50" i="1"/>
  <c r="L49" i="1" s="1"/>
  <c r="L48" i="1" s="1"/>
  <c r="M50" i="1"/>
  <c r="M49" i="1" s="1"/>
  <c r="M48" i="1" s="1"/>
  <c r="N50" i="1"/>
  <c r="N49" i="1" s="1"/>
  <c r="N48" i="1" s="1"/>
  <c r="O50" i="1"/>
  <c r="O49" i="1" s="1"/>
  <c r="O48" i="1" s="1"/>
  <c r="P50" i="1"/>
  <c r="P49" i="1" s="1"/>
  <c r="P48" i="1" s="1"/>
  <c r="J57" i="1"/>
  <c r="J56" i="1" s="1"/>
  <c r="J55" i="1" s="1"/>
  <c r="L57" i="1"/>
  <c r="L56" i="1" s="1"/>
  <c r="L55" i="1" s="1"/>
  <c r="M57" i="1"/>
  <c r="M56" i="1" s="1"/>
  <c r="M55" i="1" s="1"/>
  <c r="N57" i="1"/>
  <c r="N56" i="1" s="1"/>
  <c r="N55" i="1" s="1"/>
  <c r="O57" i="1"/>
  <c r="O56" i="1" s="1"/>
  <c r="O55" i="1" s="1"/>
  <c r="P57" i="1"/>
  <c r="P56" i="1" s="1"/>
  <c r="P55" i="1" s="1"/>
  <c r="J61" i="1"/>
  <c r="J60" i="1" s="1"/>
  <c r="J59" i="1" s="1"/>
  <c r="L61" i="1"/>
  <c r="L60" i="1" s="1"/>
  <c r="L59" i="1" s="1"/>
  <c r="M61" i="1"/>
  <c r="M60" i="1" s="1"/>
  <c r="M59" i="1" s="1"/>
  <c r="N61" i="1"/>
  <c r="N60" i="1" s="1"/>
  <c r="N59" i="1" s="1"/>
  <c r="O61" i="1"/>
  <c r="O60" i="1" s="1"/>
  <c r="O59" i="1" s="1"/>
  <c r="P61" i="1"/>
  <c r="P60" i="1" s="1"/>
  <c r="P59" i="1" s="1"/>
  <c r="J66" i="1"/>
  <c r="J65" i="1" s="1"/>
  <c r="J64" i="1" s="1"/>
  <c r="L66" i="1"/>
  <c r="L65" i="1" s="1"/>
  <c r="L64" i="1" s="1"/>
  <c r="M66" i="1"/>
  <c r="M65" i="1" s="1"/>
  <c r="M64" i="1" s="1"/>
  <c r="N66" i="1"/>
  <c r="N65" i="1" s="1"/>
  <c r="N64" i="1" s="1"/>
  <c r="O66" i="1"/>
  <c r="O65" i="1" s="1"/>
  <c r="O64" i="1" s="1"/>
  <c r="P66" i="1"/>
  <c r="P65" i="1" s="1"/>
  <c r="P64" i="1" s="1"/>
  <c r="J73" i="1"/>
  <c r="L73" i="1"/>
  <c r="M73" i="1"/>
  <c r="N73" i="1"/>
  <c r="O73" i="1"/>
  <c r="P73" i="1"/>
  <c r="J75" i="1"/>
  <c r="L75" i="1"/>
  <c r="M75" i="1"/>
  <c r="N75" i="1"/>
  <c r="O75" i="1"/>
  <c r="P75" i="1"/>
  <c r="J78" i="1"/>
  <c r="J77" i="1" s="1"/>
  <c r="L78" i="1"/>
  <c r="L77" i="1" s="1"/>
  <c r="M78" i="1"/>
  <c r="M77" i="1" s="1"/>
  <c r="N78" i="1"/>
  <c r="N77" i="1" s="1"/>
  <c r="O78" i="1"/>
  <c r="O77" i="1" s="1"/>
  <c r="P78" i="1"/>
  <c r="P77" i="1" s="1"/>
  <c r="M87" i="1"/>
  <c r="M86" i="1" s="1"/>
  <c r="J88" i="1"/>
  <c r="J87" i="1" s="1"/>
  <c r="J86" i="1" s="1"/>
  <c r="L88" i="1"/>
  <c r="L87" i="1" s="1"/>
  <c r="L86" i="1" s="1"/>
  <c r="N88" i="1"/>
  <c r="N87" i="1" s="1"/>
  <c r="N86" i="1" s="1"/>
  <c r="O88" i="1"/>
  <c r="O87" i="1" s="1"/>
  <c r="O86" i="1" s="1"/>
  <c r="P88" i="1"/>
  <c r="P87" i="1" s="1"/>
  <c r="P86" i="1" s="1"/>
  <c r="J91" i="1"/>
  <c r="J90" i="1" s="1"/>
  <c r="L91" i="1"/>
  <c r="L90" i="1" s="1"/>
  <c r="M91" i="1"/>
  <c r="M90" i="1" s="1"/>
  <c r="N91" i="1"/>
  <c r="N90" i="1" s="1"/>
  <c r="O91" i="1"/>
  <c r="O90" i="1" s="1"/>
  <c r="P91" i="1"/>
  <c r="P90" i="1" s="1"/>
  <c r="J96" i="1"/>
  <c r="J94" i="1" s="1"/>
  <c r="L96" i="1"/>
  <c r="L94" i="1" s="1"/>
  <c r="M96" i="1"/>
  <c r="M94" i="1" s="1"/>
  <c r="N96" i="1"/>
  <c r="N94" i="1" s="1"/>
  <c r="O96" i="1"/>
  <c r="O94" i="1" s="1"/>
  <c r="P96" i="1"/>
  <c r="P94" i="1" s="1"/>
  <c r="J99" i="1"/>
  <c r="L99" i="1"/>
  <c r="M99" i="1"/>
  <c r="N99" i="1"/>
  <c r="O99" i="1"/>
  <c r="P99" i="1"/>
  <c r="J101" i="1"/>
  <c r="L101" i="1"/>
  <c r="M101" i="1"/>
  <c r="N101" i="1"/>
  <c r="O101" i="1"/>
  <c r="P101" i="1"/>
  <c r="J103" i="1"/>
  <c r="L103" i="1"/>
  <c r="M103" i="1"/>
  <c r="N103" i="1"/>
  <c r="O103" i="1"/>
  <c r="P103" i="1"/>
  <c r="J113" i="1"/>
  <c r="L113" i="1"/>
  <c r="M113" i="1"/>
  <c r="N113" i="1"/>
  <c r="O113" i="1"/>
  <c r="P113" i="1"/>
  <c r="J115" i="1"/>
  <c r="L115" i="1"/>
  <c r="M115" i="1"/>
  <c r="N115" i="1"/>
  <c r="O115" i="1"/>
  <c r="P115" i="1"/>
  <c r="J119" i="1"/>
  <c r="J118" i="1" s="1"/>
  <c r="L119" i="1"/>
  <c r="L118" i="1" s="1"/>
  <c r="M119" i="1"/>
  <c r="M118" i="1" s="1"/>
  <c r="N119" i="1"/>
  <c r="N118" i="1" s="1"/>
  <c r="O119" i="1"/>
  <c r="O118" i="1" s="1"/>
  <c r="P119" i="1"/>
  <c r="P118" i="1" s="1"/>
  <c r="J126" i="1"/>
  <c r="J125" i="1" s="1"/>
  <c r="L126" i="1"/>
  <c r="L125" i="1" s="1"/>
  <c r="M126" i="1"/>
  <c r="M125" i="1" s="1"/>
  <c r="N126" i="1"/>
  <c r="N125" i="1" s="1"/>
  <c r="O126" i="1"/>
  <c r="O125" i="1" s="1"/>
  <c r="P126" i="1"/>
  <c r="P125" i="1" s="1"/>
  <c r="J132" i="1"/>
  <c r="J131" i="1" s="1"/>
  <c r="L132" i="1"/>
  <c r="L131" i="1" s="1"/>
  <c r="M132" i="1"/>
  <c r="M131" i="1" s="1"/>
  <c r="N132" i="1"/>
  <c r="N131" i="1" s="1"/>
  <c r="O132" i="1"/>
  <c r="O131" i="1" s="1"/>
  <c r="P132" i="1"/>
  <c r="P131" i="1" s="1"/>
  <c r="L135" i="1"/>
  <c r="M135" i="1"/>
  <c r="J136" i="1"/>
  <c r="J135" i="1" s="1"/>
  <c r="N136" i="1"/>
  <c r="N135" i="1" s="1"/>
  <c r="O136" i="1"/>
  <c r="O135" i="1" s="1"/>
  <c r="P136" i="1"/>
  <c r="P135" i="1" s="1"/>
  <c r="L137" i="1"/>
  <c r="M137" i="1"/>
  <c r="J138" i="1"/>
  <c r="J137" i="1" s="1"/>
  <c r="N138" i="1"/>
  <c r="N137" i="1" s="1"/>
  <c r="O138" i="1"/>
  <c r="O137" i="1" s="1"/>
  <c r="P138" i="1"/>
  <c r="P137" i="1" s="1"/>
  <c r="J142" i="1"/>
  <c r="J141" i="1" s="1"/>
  <c r="J140" i="1" s="1"/>
  <c r="J139" i="1" s="1"/>
  <c r="L142" i="1"/>
  <c r="L141" i="1" s="1"/>
  <c r="L140" i="1" s="1"/>
  <c r="L139" i="1" s="1"/>
  <c r="M142" i="1"/>
  <c r="M141" i="1" s="1"/>
  <c r="M140" i="1" s="1"/>
  <c r="M139" i="1" s="1"/>
  <c r="N142" i="1"/>
  <c r="N141" i="1" s="1"/>
  <c r="N140" i="1" s="1"/>
  <c r="N139" i="1" s="1"/>
  <c r="O142" i="1"/>
  <c r="O141" i="1" s="1"/>
  <c r="O140" i="1" s="1"/>
  <c r="O139" i="1" s="1"/>
  <c r="P142" i="1"/>
  <c r="P141" i="1" s="1"/>
  <c r="P140" i="1" s="1"/>
  <c r="P139" i="1" s="1"/>
  <c r="J150" i="1"/>
  <c r="J147" i="1" s="1"/>
  <c r="J146" i="1" s="1"/>
  <c r="J145" i="1" s="1"/>
  <c r="J144" i="1" s="1"/>
  <c r="L150" i="1"/>
  <c r="L147" i="1" s="1"/>
  <c r="L146" i="1" s="1"/>
  <c r="L145" i="1" s="1"/>
  <c r="L144" i="1" s="1"/>
  <c r="M150" i="1"/>
  <c r="M147" i="1" s="1"/>
  <c r="M146" i="1" s="1"/>
  <c r="M145" i="1" s="1"/>
  <c r="M144" i="1" s="1"/>
  <c r="N150" i="1"/>
  <c r="N147" i="1" s="1"/>
  <c r="N146" i="1" s="1"/>
  <c r="N145" i="1" s="1"/>
  <c r="N144" i="1" s="1"/>
  <c r="O150" i="1"/>
  <c r="O147" i="1" s="1"/>
  <c r="O146" i="1" s="1"/>
  <c r="O145" i="1" s="1"/>
  <c r="O144" i="1" s="1"/>
  <c r="P150" i="1"/>
  <c r="P147" i="1" s="1"/>
  <c r="P146" i="1" s="1"/>
  <c r="P145" i="1" s="1"/>
  <c r="P144" i="1" s="1"/>
  <c r="M156" i="1"/>
  <c r="M155" i="1" s="1"/>
  <c r="M154" i="1" s="1"/>
  <c r="M153" i="1" s="1"/>
  <c r="J158" i="1"/>
  <c r="J156" i="1" s="1"/>
  <c r="J155" i="1" s="1"/>
  <c r="J154" i="1" s="1"/>
  <c r="J153" i="1" s="1"/>
  <c r="L158" i="1"/>
  <c r="L156" i="1" s="1"/>
  <c r="L155" i="1" s="1"/>
  <c r="L154" i="1" s="1"/>
  <c r="L153" i="1" s="1"/>
  <c r="N158" i="1"/>
  <c r="N156" i="1" s="1"/>
  <c r="N155" i="1" s="1"/>
  <c r="N154" i="1" s="1"/>
  <c r="N153" i="1" s="1"/>
  <c r="O158" i="1"/>
  <c r="O156" i="1" s="1"/>
  <c r="O155" i="1" s="1"/>
  <c r="O154" i="1" s="1"/>
  <c r="O153" i="1" s="1"/>
  <c r="P158" i="1"/>
  <c r="P156" i="1" s="1"/>
  <c r="P155" i="1" s="1"/>
  <c r="P154" i="1" s="1"/>
  <c r="P153" i="1" s="1"/>
  <c r="J163" i="1"/>
  <c r="J162" i="1" s="1"/>
  <c r="J161" i="1" s="1"/>
  <c r="J160" i="1" s="1"/>
  <c r="L163" i="1"/>
  <c r="L162" i="1" s="1"/>
  <c r="L161" i="1" s="1"/>
  <c r="L160" i="1" s="1"/>
  <c r="M163" i="1"/>
  <c r="M162" i="1" s="1"/>
  <c r="M161" i="1" s="1"/>
  <c r="M160" i="1" s="1"/>
  <c r="N163" i="1"/>
  <c r="N162" i="1" s="1"/>
  <c r="N161" i="1" s="1"/>
  <c r="N160" i="1" s="1"/>
  <c r="O163" i="1"/>
  <c r="O162" i="1" s="1"/>
  <c r="O161" i="1" s="1"/>
  <c r="O160" i="1" s="1"/>
  <c r="P163" i="1"/>
  <c r="P162" i="1" s="1"/>
  <c r="P161" i="1" s="1"/>
  <c r="P160" i="1" s="1"/>
  <c r="J168" i="1"/>
  <c r="J167" i="1" s="1"/>
  <c r="L168" i="1"/>
  <c r="L167" i="1" s="1"/>
  <c r="M168" i="1"/>
  <c r="M167" i="1" s="1"/>
  <c r="N168" i="1"/>
  <c r="N167" i="1" s="1"/>
  <c r="O168" i="1"/>
  <c r="O167" i="1" s="1"/>
  <c r="P168" i="1"/>
  <c r="P167" i="1" s="1"/>
  <c r="J171" i="1"/>
  <c r="J170" i="1" s="1"/>
  <c r="L171" i="1"/>
  <c r="L170" i="1" s="1"/>
  <c r="M171" i="1"/>
  <c r="M170" i="1" s="1"/>
  <c r="N171" i="1"/>
  <c r="N170" i="1" s="1"/>
  <c r="O171" i="1"/>
  <c r="O170" i="1" s="1"/>
  <c r="P171" i="1"/>
  <c r="P170" i="1" s="1"/>
  <c r="J179" i="1"/>
  <c r="J178" i="1" s="1"/>
  <c r="L179" i="1"/>
  <c r="L178" i="1" s="1"/>
  <c r="M179" i="1"/>
  <c r="M178" i="1" s="1"/>
  <c r="N179" i="1"/>
  <c r="N178" i="1" s="1"/>
  <c r="O179" i="1"/>
  <c r="O178" i="1" s="1"/>
  <c r="P179" i="1"/>
  <c r="P178" i="1" s="1"/>
  <c r="M182" i="1"/>
  <c r="J183" i="1"/>
  <c r="J182" i="1" s="1"/>
  <c r="L183" i="1"/>
  <c r="L182" i="1" s="1"/>
  <c r="N183" i="1"/>
  <c r="N182" i="1" s="1"/>
  <c r="O183" i="1"/>
  <c r="O182" i="1" s="1"/>
  <c r="P183" i="1"/>
  <c r="P182" i="1" s="1"/>
  <c r="L195" i="1"/>
  <c r="L194" i="1" s="1"/>
  <c r="M195" i="1"/>
  <c r="M194" i="1" s="1"/>
  <c r="J196" i="1"/>
  <c r="J195" i="1" s="1"/>
  <c r="J194" i="1" s="1"/>
  <c r="N196" i="1"/>
  <c r="N195" i="1" s="1"/>
  <c r="N194" i="1" s="1"/>
  <c r="O196" i="1"/>
  <c r="O195" i="1" s="1"/>
  <c r="O194" i="1" s="1"/>
  <c r="P196" i="1"/>
  <c r="P195" i="1" s="1"/>
  <c r="P194" i="1" s="1"/>
  <c r="M199" i="1"/>
  <c r="L200" i="1"/>
  <c r="L199" i="1" s="1"/>
  <c r="J201" i="1"/>
  <c r="N201" i="1"/>
  <c r="O201" i="1"/>
  <c r="P201" i="1"/>
  <c r="J202" i="1"/>
  <c r="J200" i="1" s="1"/>
  <c r="J199" i="1" s="1"/>
  <c r="N202" i="1"/>
  <c r="N200" i="1" s="1"/>
  <c r="N199" i="1" s="1"/>
  <c r="O202" i="1"/>
  <c r="O200" i="1" s="1"/>
  <c r="O199" i="1" s="1"/>
  <c r="P202" i="1"/>
  <c r="P200" i="1" s="1"/>
  <c r="P199" i="1" s="1"/>
  <c r="L206" i="1"/>
  <c r="L204" i="1" s="1"/>
  <c r="M206" i="1"/>
  <c r="M204" i="1" s="1"/>
  <c r="J208" i="1"/>
  <c r="J206" i="1" s="1"/>
  <c r="J204" i="1" s="1"/>
  <c r="N208" i="1"/>
  <c r="N206" i="1" s="1"/>
  <c r="N204" i="1" s="1"/>
  <c r="O208" i="1"/>
  <c r="O207" i="1" s="1"/>
  <c r="P208" i="1"/>
  <c r="P206" i="1" s="1"/>
  <c r="P204" i="1" s="1"/>
  <c r="L220" i="1"/>
  <c r="L216" i="1" s="1"/>
  <c r="M220" i="1"/>
  <c r="M216" i="1" s="1"/>
  <c r="J221" i="1"/>
  <c r="J220" i="1" s="1"/>
  <c r="N221" i="1"/>
  <c r="N220" i="1" s="1"/>
  <c r="N219" i="1" s="1"/>
  <c r="N216" i="1" s="1"/>
  <c r="O221" i="1"/>
  <c r="O220" i="1" s="1"/>
  <c r="O219" i="1" s="1"/>
  <c r="O216" i="1" s="1"/>
  <c r="P221" i="1"/>
  <c r="P220" i="1" s="1"/>
  <c r="P219" i="1" s="1"/>
  <c r="P216" i="1" s="1"/>
  <c r="M226" i="1"/>
  <c r="M224" i="1" s="1"/>
  <c r="M223" i="1" s="1"/>
  <c r="J227" i="1"/>
  <c r="N227" i="1"/>
  <c r="J229" i="1"/>
  <c r="L229" i="1"/>
  <c r="L226" i="1" s="1"/>
  <c r="L224" i="1" s="1"/>
  <c r="L223" i="1" s="1"/>
  <c r="N229" i="1"/>
  <c r="O229" i="1"/>
  <c r="P229" i="1"/>
  <c r="J231" i="1"/>
  <c r="N231" i="1"/>
  <c r="O231" i="1"/>
  <c r="P231" i="1"/>
  <c r="M232" i="1"/>
  <c r="L236" i="1"/>
  <c r="L234" i="1" s="1"/>
  <c r="L233" i="1" s="1"/>
  <c r="M236" i="1"/>
  <c r="M234" i="1" s="1"/>
  <c r="M233" i="1" s="1"/>
  <c r="J237" i="1"/>
  <c r="J236" i="1" s="1"/>
  <c r="J235" i="1" s="1"/>
  <c r="N237" i="1"/>
  <c r="N236" i="1" s="1"/>
  <c r="O237" i="1"/>
  <c r="O236" i="1" s="1"/>
  <c r="P237" i="1"/>
  <c r="P236" i="1" s="1"/>
  <c r="L243" i="1"/>
  <c r="M243" i="1"/>
  <c r="J244" i="1"/>
  <c r="J243" i="1" s="1"/>
  <c r="N244" i="1"/>
  <c r="N243" i="1" s="1"/>
  <c r="N242" i="1" s="1"/>
  <c r="O244" i="1"/>
  <c r="O243" i="1" s="1"/>
  <c r="O242" i="1" s="1"/>
  <c r="P244" i="1"/>
  <c r="P243" i="1" s="1"/>
  <c r="P242" i="1" s="1"/>
  <c r="N248" i="1"/>
  <c r="N247" i="1" s="1"/>
  <c r="O248" i="1"/>
  <c r="O247" i="1" s="1"/>
  <c r="P248" i="1"/>
  <c r="P247" i="1" s="1"/>
  <c r="L251" i="1"/>
  <c r="M251" i="1"/>
  <c r="J252" i="1"/>
  <c r="J251" i="1" s="1"/>
  <c r="J246" i="1" s="1"/>
  <c r="N252" i="1"/>
  <c r="N251" i="1" s="1"/>
  <c r="O252" i="1"/>
  <c r="O251" i="1" s="1"/>
  <c r="P252" i="1"/>
  <c r="P251" i="1" s="1"/>
  <c r="J256" i="1"/>
  <c r="J254" i="1" s="1"/>
  <c r="J255" i="1" s="1"/>
  <c r="L256" i="1"/>
  <c r="L254" i="1" s="1"/>
  <c r="M256" i="1"/>
  <c r="M254" i="1" s="1"/>
  <c r="N258" i="1"/>
  <c r="N256" i="1" s="1"/>
  <c r="N255" i="1" s="1"/>
  <c r="N254" i="1" s="1"/>
  <c r="O258" i="1"/>
  <c r="O256" i="1" s="1"/>
  <c r="O255" i="1" s="1"/>
  <c r="O254" i="1" s="1"/>
  <c r="P258" i="1"/>
  <c r="P256" i="1" s="1"/>
  <c r="P255" i="1" s="1"/>
  <c r="P254" i="1" s="1"/>
  <c r="J262" i="1"/>
  <c r="J261" i="1" s="1"/>
  <c r="N262" i="1"/>
  <c r="N261" i="1" s="1"/>
  <c r="O262" i="1"/>
  <c r="O261" i="1" s="1"/>
  <c r="P262" i="1"/>
  <c r="P261" i="1" s="1"/>
  <c r="M263" i="1"/>
  <c r="M261" i="1" s="1"/>
  <c r="J264" i="1"/>
  <c r="J263" i="1" s="1"/>
  <c r="N264" i="1"/>
  <c r="N263" i="1" s="1"/>
  <c r="O264" i="1"/>
  <c r="O263" i="1" s="1"/>
  <c r="P264" i="1"/>
  <c r="P263" i="1" s="1"/>
  <c r="J267" i="1"/>
  <c r="J266" i="1" s="1"/>
  <c r="L267" i="1"/>
  <c r="L263" i="1" s="1"/>
  <c r="L261" i="1" s="1"/>
  <c r="N267" i="1"/>
  <c r="N266" i="1" s="1"/>
  <c r="O267" i="1"/>
  <c r="O266" i="1" s="1"/>
  <c r="P267" i="1"/>
  <c r="P266" i="1" s="1"/>
  <c r="L269" i="1"/>
  <c r="J271" i="1"/>
  <c r="J270" i="1" s="1"/>
  <c r="N271" i="1"/>
  <c r="N270" i="1" s="1"/>
  <c r="O271" i="1"/>
  <c r="O270" i="1" s="1"/>
  <c r="P271" i="1"/>
  <c r="P270" i="1" s="1"/>
  <c r="J274" i="1"/>
  <c r="J273" i="1" s="1"/>
  <c r="N274" i="1"/>
  <c r="N273" i="1" s="1"/>
  <c r="O274" i="1"/>
  <c r="O273" i="1" s="1"/>
  <c r="P274" i="1"/>
  <c r="P273" i="1" s="1"/>
  <c r="N276" i="1"/>
  <c r="O276" i="1"/>
  <c r="P276" i="1"/>
  <c r="L277" i="1"/>
  <c r="L276" i="1" s="1"/>
  <c r="M277" i="1"/>
  <c r="M276" i="1" s="1"/>
  <c r="N279" i="1"/>
  <c r="N278" i="1" s="1"/>
  <c r="O279" i="1"/>
  <c r="O278" i="1" s="1"/>
  <c r="P279" i="1"/>
  <c r="P278" i="1" s="1"/>
  <c r="J282" i="1"/>
  <c r="J281" i="1" s="1"/>
  <c r="J277" i="1" s="1"/>
  <c r="J276" i="1" s="1"/>
  <c r="N282" i="1"/>
  <c r="N281" i="1" s="1"/>
  <c r="N277" i="1" s="1"/>
  <c r="O282" i="1"/>
  <c r="O281" i="1" s="1"/>
  <c r="O277" i="1" s="1"/>
  <c r="P282" i="1"/>
  <c r="P281" i="1" s="1"/>
  <c r="P277" i="1" s="1"/>
  <c r="L286" i="1"/>
  <c r="L284" i="1" s="1"/>
  <c r="M286" i="1"/>
  <c r="M284" i="1" s="1"/>
  <c r="J287" i="1"/>
  <c r="J286" i="1" s="1"/>
  <c r="J285" i="1" s="1"/>
  <c r="J284" i="1" s="1"/>
  <c r="N287" i="1"/>
  <c r="N286" i="1" s="1"/>
  <c r="N285" i="1" s="1"/>
  <c r="N284" i="1" s="1"/>
  <c r="O287" i="1"/>
  <c r="O286" i="1" s="1"/>
  <c r="O285" i="1" s="1"/>
  <c r="O284" i="1" s="1"/>
  <c r="P287" i="1"/>
  <c r="P286" i="1" s="1"/>
  <c r="P285" i="1" s="1"/>
  <c r="P284" i="1" s="1"/>
  <c r="L292" i="1"/>
  <c r="M292" i="1"/>
  <c r="J293" i="1"/>
  <c r="J292" i="1" s="1"/>
  <c r="N293" i="1"/>
  <c r="N292" i="1" s="1"/>
  <c r="O293" i="1"/>
  <c r="O292" i="1" s="1"/>
  <c r="P293" i="1"/>
  <c r="P292" i="1" s="1"/>
  <c r="L295" i="1"/>
  <c r="M295" i="1"/>
  <c r="J296" i="1"/>
  <c r="J295" i="1" s="1"/>
  <c r="N296" i="1"/>
  <c r="N295" i="1" s="1"/>
  <c r="O296" i="1"/>
  <c r="O295" i="1" s="1"/>
  <c r="P296" i="1"/>
  <c r="P295" i="1" s="1"/>
  <c r="P302" i="1"/>
  <c r="P301" i="1" s="1"/>
  <c r="N303" i="1"/>
  <c r="N302" i="1" s="1"/>
  <c r="N301" i="1" s="1"/>
  <c r="O305" i="1"/>
  <c r="O304" i="1" s="1"/>
  <c r="P305" i="1"/>
  <c r="P304" i="1" s="1"/>
  <c r="N306" i="1"/>
  <c r="N305" i="1" s="1"/>
  <c r="N304" i="1" s="1"/>
  <c r="L309" i="1"/>
  <c r="L307" i="1" s="1"/>
  <c r="M309" i="1"/>
  <c r="M307" i="1" s="1"/>
  <c r="J310" i="1"/>
  <c r="J309" i="1" s="1"/>
  <c r="J308" i="1" s="1"/>
  <c r="J307" i="1" s="1"/>
  <c r="N310" i="1"/>
  <c r="N309" i="1" s="1"/>
  <c r="N308" i="1" s="1"/>
  <c r="N307" i="1" s="1"/>
  <c r="O310" i="1"/>
  <c r="O309" i="1" s="1"/>
  <c r="O308" i="1" s="1"/>
  <c r="O307" i="1" s="1"/>
  <c r="P310" i="1"/>
  <c r="P309" i="1" s="1"/>
  <c r="P308" i="1" s="1"/>
  <c r="P307" i="1" s="1"/>
  <c r="L327" i="1"/>
  <c r="M327" i="1"/>
  <c r="N327" i="1"/>
  <c r="O327" i="1"/>
  <c r="J328" i="1"/>
  <c r="J329" i="1"/>
  <c r="L330" i="1"/>
  <c r="M330" i="1"/>
  <c r="N330" i="1"/>
  <c r="N331" i="1"/>
  <c r="J332" i="1"/>
  <c r="J331" i="1" s="1"/>
  <c r="J333" i="1"/>
  <c r="N333" i="1"/>
  <c r="O333" i="1"/>
  <c r="P333" i="1"/>
  <c r="L336" i="1"/>
  <c r="M336" i="1" s="1"/>
  <c r="J338" i="1"/>
  <c r="L338" i="1"/>
  <c r="M338" i="1"/>
  <c r="N338" i="1"/>
  <c r="O338" i="1"/>
  <c r="P338" i="1"/>
  <c r="J340" i="1"/>
  <c r="J339" i="1" s="1"/>
  <c r="N340" i="1"/>
  <c r="N339" i="1" s="1"/>
  <c r="O340" i="1"/>
  <c r="O339" i="1" s="1"/>
  <c r="P340" i="1"/>
  <c r="P339" i="1" s="1"/>
  <c r="J343" i="1"/>
  <c r="J342" i="1" s="1"/>
  <c r="N343" i="1"/>
  <c r="N342" i="1" s="1"/>
  <c r="O343" i="1"/>
  <c r="O342" i="1" s="1"/>
  <c r="P343" i="1"/>
  <c r="P342" i="1" s="1"/>
  <c r="J348" i="1"/>
  <c r="J347" i="1" s="1"/>
  <c r="N348" i="1"/>
  <c r="N347" i="1" s="1"/>
  <c r="O348" i="1"/>
  <c r="O347" i="1" s="1"/>
  <c r="P348" i="1"/>
  <c r="P347" i="1" s="1"/>
  <c r="L352" i="1"/>
  <c r="M352" i="1"/>
  <c r="J353" i="1"/>
  <c r="J352" i="1" s="1"/>
  <c r="J351" i="1" s="1"/>
  <c r="J350" i="1" s="1"/>
  <c r="N353" i="1"/>
  <c r="N352" i="1" s="1"/>
  <c r="N351" i="1" s="1"/>
  <c r="N350" i="1" s="1"/>
  <c r="O353" i="1"/>
  <c r="O352" i="1" s="1"/>
  <c r="O351" i="1" s="1"/>
  <c r="O350" i="1" s="1"/>
  <c r="P353" i="1"/>
  <c r="P352" i="1" s="1"/>
  <c r="P351" i="1" s="1"/>
  <c r="P350" i="1" s="1"/>
  <c r="L355" i="1"/>
  <c r="M355" i="1"/>
  <c r="J356" i="1"/>
  <c r="J355" i="1" s="1"/>
  <c r="N356" i="1"/>
  <c r="N355" i="1" s="1"/>
  <c r="O356" i="1"/>
  <c r="O355" i="1" s="1"/>
  <c r="P356" i="1"/>
  <c r="P355" i="1" s="1"/>
  <c r="L358" i="1"/>
  <c r="M358" i="1"/>
  <c r="J360" i="1"/>
  <c r="J358" i="1" s="1"/>
  <c r="N360" i="1"/>
  <c r="N358" i="1" s="1"/>
  <c r="O360" i="1"/>
  <c r="O358" i="1" s="1"/>
  <c r="P360" i="1"/>
  <c r="P358" i="1" s="1"/>
  <c r="L362" i="1"/>
  <c r="M362" i="1"/>
  <c r="J363" i="1"/>
  <c r="J362" i="1" s="1"/>
  <c r="N363" i="1"/>
  <c r="N362" i="1" s="1"/>
  <c r="O363" i="1"/>
  <c r="O362" i="1" s="1"/>
  <c r="P363" i="1"/>
  <c r="P362" i="1" s="1"/>
  <c r="J366" i="1"/>
  <c r="N366" i="1"/>
  <c r="O366" i="1"/>
  <c r="P366" i="1"/>
  <c r="N367" i="1"/>
  <c r="O367" i="1"/>
  <c r="P367" i="1"/>
  <c r="L370" i="1"/>
  <c r="L369" i="1" s="1"/>
  <c r="M370" i="1"/>
  <c r="M369" i="1" s="1"/>
  <c r="N370" i="1"/>
  <c r="O370" i="1"/>
  <c r="P370" i="1"/>
  <c r="J371" i="1"/>
  <c r="J370" i="1" s="1"/>
  <c r="L371" i="1"/>
  <c r="M371" i="1"/>
  <c r="N372" i="1"/>
  <c r="O372" i="1"/>
  <c r="P372" i="1"/>
  <c r="J373" i="1"/>
  <c r="J372" i="1" s="1"/>
  <c r="L376" i="1"/>
  <c r="L375" i="1" s="1"/>
  <c r="L374" i="1" s="1"/>
  <c r="M376" i="1"/>
  <c r="M375" i="1" s="1"/>
  <c r="M374" i="1" s="1"/>
  <c r="J377" i="1"/>
  <c r="J376" i="1" s="1"/>
  <c r="J375" i="1" s="1"/>
  <c r="J374" i="1" s="1"/>
  <c r="N377" i="1"/>
  <c r="N376" i="1" s="1"/>
  <c r="N375" i="1" s="1"/>
  <c r="N374" i="1" s="1"/>
  <c r="O377" i="1"/>
  <c r="O376" i="1" s="1"/>
  <c r="O375" i="1" s="1"/>
  <c r="O374" i="1" s="1"/>
  <c r="P377" i="1"/>
  <c r="P376" i="1" s="1"/>
  <c r="P375" i="1" s="1"/>
  <c r="P374" i="1" s="1"/>
  <c r="N382" i="1"/>
  <c r="N381" i="1" s="1"/>
  <c r="N380" i="1" s="1"/>
  <c r="N379" i="1" s="1"/>
  <c r="N318" i="1" s="1"/>
  <c r="O391" i="1"/>
  <c r="O390" i="1" s="1"/>
  <c r="O389" i="1" s="1"/>
  <c r="L386" i="1"/>
  <c r="M386" i="1"/>
  <c r="N387" i="1"/>
  <c r="N386" i="1" s="1"/>
  <c r="N385" i="1" s="1"/>
  <c r="N384" i="1" s="1"/>
  <c r="O387" i="1"/>
  <c r="O386" i="1" s="1"/>
  <c r="O385" i="1" s="1"/>
  <c r="O384" i="1" s="1"/>
  <c r="P387" i="1"/>
  <c r="P386" i="1" s="1"/>
  <c r="P385" i="1" s="1"/>
  <c r="P384" i="1" s="1"/>
  <c r="J388" i="1"/>
  <c r="J387" i="1" s="1"/>
  <c r="J386" i="1" s="1"/>
  <c r="J385" i="1" s="1"/>
  <c r="J384" i="1" s="1"/>
  <c r="N391" i="1"/>
  <c r="N390" i="1" s="1"/>
  <c r="N389" i="1" s="1"/>
  <c r="P391" i="1"/>
  <c r="P390" i="1" s="1"/>
  <c r="P389" i="1" s="1"/>
  <c r="L392" i="1"/>
  <c r="L389" i="1" s="1"/>
  <c r="M392" i="1"/>
  <c r="M389" i="1" s="1"/>
  <c r="J393" i="1"/>
  <c r="J392" i="1" s="1"/>
  <c r="N393" i="1"/>
  <c r="N392" i="1" s="1"/>
  <c r="O393" i="1"/>
  <c r="O392" i="1" s="1"/>
  <c r="P393" i="1"/>
  <c r="P392" i="1" s="1"/>
  <c r="J395" i="1"/>
  <c r="N395" i="1"/>
  <c r="O395" i="1"/>
  <c r="P395" i="1"/>
  <c r="N397" i="1"/>
  <c r="O397" i="1"/>
  <c r="P397" i="1"/>
  <c r="J398" i="1"/>
  <c r="J397" i="1" s="1"/>
  <c r="N399" i="1"/>
  <c r="N404" i="1" s="1"/>
  <c r="N403" i="1" s="1"/>
  <c r="J406" i="1"/>
  <c r="J405" i="1" s="1"/>
  <c r="K406" i="1"/>
  <c r="L406" i="1"/>
  <c r="M406" i="1"/>
  <c r="N406" i="1"/>
  <c r="N405" i="1" s="1"/>
  <c r="O406" i="1"/>
  <c r="O405" i="1" s="1"/>
  <c r="P406" i="1"/>
  <c r="P405" i="1" s="1"/>
  <c r="L411" i="1"/>
  <c r="M411" i="1"/>
  <c r="N412" i="1"/>
  <c r="N411" i="1" s="1"/>
  <c r="O412" i="1"/>
  <c r="O411" i="1" s="1"/>
  <c r="P412" i="1"/>
  <c r="P411" i="1" s="1"/>
  <c r="J413" i="1"/>
  <c r="J412" i="1" s="1"/>
  <c r="J411" i="1" s="1"/>
  <c r="J417" i="1"/>
  <c r="N417" i="1"/>
  <c r="O417" i="1"/>
  <c r="P417" i="1"/>
  <c r="L423" i="1"/>
  <c r="M423" i="1"/>
  <c r="J424" i="1"/>
  <c r="J423" i="1" s="1"/>
  <c r="N424" i="1"/>
  <c r="N423" i="1" s="1"/>
  <c r="O424" i="1"/>
  <c r="O423" i="1" s="1"/>
  <c r="P424" i="1"/>
  <c r="P423" i="1" s="1"/>
  <c r="L426" i="1"/>
  <c r="M426" i="1"/>
  <c r="J427" i="1"/>
  <c r="J426" i="1" s="1"/>
  <c r="N427" i="1"/>
  <c r="N426" i="1" s="1"/>
  <c r="O427" i="1"/>
  <c r="O426" i="1" s="1"/>
  <c r="P427" i="1"/>
  <c r="P426" i="1" s="1"/>
  <c r="L429" i="1"/>
  <c r="M429" i="1"/>
  <c r="J430" i="1"/>
  <c r="J429" i="1" s="1"/>
  <c r="N430" i="1"/>
  <c r="N429" i="1" s="1"/>
  <c r="O430" i="1"/>
  <c r="O429" i="1" s="1"/>
  <c r="P430" i="1"/>
  <c r="P429" i="1" s="1"/>
  <c r="L433" i="1"/>
  <c r="L432" i="1" s="1"/>
  <c r="M433" i="1"/>
  <c r="M432" i="1" s="1"/>
  <c r="N436" i="1"/>
  <c r="N433" i="1" s="1"/>
  <c r="N432" i="1" s="1"/>
  <c r="O436" i="1"/>
  <c r="O433" i="1" s="1"/>
  <c r="O432" i="1" s="1"/>
  <c r="P436" i="1"/>
  <c r="P433" i="1" s="1"/>
  <c r="P432" i="1" s="1"/>
  <c r="J437" i="1"/>
  <c r="J436" i="1" s="1"/>
  <c r="J433" i="1" s="1"/>
  <c r="J432" i="1" s="1"/>
  <c r="N439" i="1"/>
  <c r="O439" i="1"/>
  <c r="P439" i="1"/>
  <c r="J441" i="1"/>
  <c r="J438" i="1" s="1"/>
  <c r="K441" i="1"/>
  <c r="L441" i="1"/>
  <c r="M441" i="1"/>
  <c r="N441" i="1"/>
  <c r="O441" i="1"/>
  <c r="P441" i="1"/>
  <c r="J444" i="1"/>
  <c r="J443" i="1" s="1"/>
  <c r="N444" i="1"/>
  <c r="N443" i="1" s="1"/>
  <c r="O444" i="1"/>
  <c r="O443" i="1" s="1"/>
  <c r="P444" i="1"/>
  <c r="P443" i="1" s="1"/>
  <c r="J447" i="1"/>
  <c r="J446" i="1" s="1"/>
  <c r="N447" i="1"/>
  <c r="N446" i="1" s="1"/>
  <c r="O447" i="1"/>
  <c r="O446" i="1" s="1"/>
  <c r="P447" i="1"/>
  <c r="P446" i="1" s="1"/>
  <c r="AC447" i="1"/>
  <c r="N450" i="1"/>
  <c r="N449" i="1" s="1"/>
  <c r="O450" i="1"/>
  <c r="O449" i="1" s="1"/>
  <c r="P450" i="1"/>
  <c r="P449" i="1" s="1"/>
  <c r="J451" i="1"/>
  <c r="J450" i="1" s="1"/>
  <c r="J449" i="1" s="1"/>
  <c r="L452" i="1"/>
  <c r="M452" i="1"/>
  <c r="N453" i="1"/>
  <c r="N452" i="1" s="1"/>
  <c r="O453" i="1"/>
  <c r="O452" i="1" s="1"/>
  <c r="P453" i="1"/>
  <c r="P452" i="1" s="1"/>
  <c r="L455" i="1"/>
  <c r="M455" i="1"/>
  <c r="J459" i="1"/>
  <c r="J458" i="1" s="1"/>
  <c r="L459" i="1"/>
  <c r="L458" i="1" s="1"/>
  <c r="M459" i="1"/>
  <c r="M458" i="1" s="1"/>
  <c r="N459" i="1"/>
  <c r="N458" i="1" s="1"/>
  <c r="O459" i="1"/>
  <c r="O458" i="1" s="1"/>
  <c r="P459" i="1"/>
  <c r="P458" i="1" s="1"/>
  <c r="N464" i="1"/>
  <c r="O464" i="1"/>
  <c r="P464" i="1"/>
  <c r="J465" i="1"/>
  <c r="J464" i="1" s="1"/>
  <c r="N466" i="1"/>
  <c r="O466" i="1"/>
  <c r="P466" i="1"/>
  <c r="P463" i="1" s="1"/>
  <c r="J467" i="1"/>
  <c r="J466" i="1" s="1"/>
  <c r="J469" i="1"/>
  <c r="J468" i="1" s="1"/>
  <c r="N469" i="1"/>
  <c r="N468" i="1" s="1"/>
  <c r="O469" i="1"/>
  <c r="O468" i="1" s="1"/>
  <c r="P469" i="1"/>
  <c r="P468" i="1" s="1"/>
  <c r="L471" i="1"/>
  <c r="M471" i="1"/>
  <c r="J473" i="1"/>
  <c r="J472" i="1" s="1"/>
  <c r="N473" i="1"/>
  <c r="N472" i="1" s="1"/>
  <c r="O472" i="1"/>
  <c r="O471" i="1" s="1"/>
  <c r="O399" i="1" s="1"/>
  <c r="P472" i="1"/>
  <c r="P471" i="1" s="1"/>
  <c r="P399" i="1" s="1"/>
  <c r="J475" i="1"/>
  <c r="J474" i="1" s="1"/>
  <c r="N475" i="1"/>
  <c r="N474" i="1" s="1"/>
  <c r="P226" i="1"/>
  <c r="P224" i="1" s="1"/>
  <c r="P330" i="1"/>
  <c r="P327" i="1"/>
  <c r="O331" i="1"/>
  <c r="O330" i="1"/>
  <c r="J413" i="5" l="1"/>
  <c r="L232" i="1"/>
  <c r="H161" i="2"/>
  <c r="H160" i="2" s="1"/>
  <c r="H159" i="2" s="1"/>
  <c r="K201" i="2"/>
  <c r="K200" i="2" s="1"/>
  <c r="L27" i="1"/>
  <c r="L26" i="1" s="1"/>
  <c r="L25" i="1" s="1"/>
  <c r="J226" i="1"/>
  <c r="J225" i="1" s="1"/>
  <c r="P112" i="1"/>
  <c r="P106" i="1" s="1"/>
  <c r="I217" i="2"/>
  <c r="H154" i="2"/>
  <c r="L132" i="2"/>
  <c r="L131" i="2" s="1"/>
  <c r="L122" i="2" s="1"/>
  <c r="L121" i="2" s="1"/>
  <c r="L124" i="2"/>
  <c r="N207" i="1"/>
  <c r="L35" i="1"/>
  <c r="M72" i="5"/>
  <c r="M71" i="5" s="1"/>
  <c r="M70" i="5" s="1"/>
  <c r="M69" i="5" s="1"/>
  <c r="M98" i="5"/>
  <c r="J112" i="5"/>
  <c r="J106" i="5" s="1"/>
  <c r="J72" i="1"/>
  <c r="J71" i="1" s="1"/>
  <c r="J70" i="1" s="1"/>
  <c r="J69" i="1" s="1"/>
  <c r="O98" i="5"/>
  <c r="N463" i="5"/>
  <c r="N98" i="5"/>
  <c r="N93" i="5" s="1"/>
  <c r="O112" i="1"/>
  <c r="O106" i="1" s="1"/>
  <c r="O31" i="1"/>
  <c r="O30" i="1" s="1"/>
  <c r="H212" i="2"/>
  <c r="H201" i="2"/>
  <c r="H200" i="2" s="1"/>
  <c r="L172" i="2"/>
  <c r="L171" i="2" s="1"/>
  <c r="L170" i="2" s="1"/>
  <c r="L169" i="2" s="1"/>
  <c r="L212" i="2"/>
  <c r="L341" i="5"/>
  <c r="L334" i="5" s="1"/>
  <c r="J98" i="5"/>
  <c r="J93" i="5" s="1"/>
  <c r="O112" i="5"/>
  <c r="O106" i="5" s="1"/>
  <c r="M290" i="5"/>
  <c r="P385" i="5"/>
  <c r="P98" i="1"/>
  <c r="P93" i="1" s="1"/>
  <c r="M175" i="5"/>
  <c r="M174" i="5" s="1"/>
  <c r="J207" i="1"/>
  <c r="N226" i="1"/>
  <c r="N225" i="1" s="1"/>
  <c r="J112" i="1"/>
  <c r="J106" i="1" s="1"/>
  <c r="M72" i="1"/>
  <c r="M71" i="1" s="1"/>
  <c r="M70" i="1" s="1"/>
  <c r="M69" i="1" s="1"/>
  <c r="J234" i="1"/>
  <c r="J233" i="1" s="1"/>
  <c r="J391" i="1"/>
  <c r="J389" i="1" s="1"/>
  <c r="L32" i="5"/>
  <c r="L72" i="5"/>
  <c r="L71" i="5" s="1"/>
  <c r="L70" i="5" s="1"/>
  <c r="L69" i="5" s="1"/>
  <c r="P72" i="5"/>
  <c r="L98" i="5"/>
  <c r="L93" i="5" s="1"/>
  <c r="N112" i="5"/>
  <c r="N106" i="5" s="1"/>
  <c r="P112" i="5"/>
  <c r="P106" i="5" s="1"/>
  <c r="J385" i="5"/>
  <c r="N385" i="5"/>
  <c r="M27" i="1"/>
  <c r="M26" i="1" s="1"/>
  <c r="M25" i="1" s="1"/>
  <c r="H290" i="2"/>
  <c r="K285" i="2"/>
  <c r="K250" i="2"/>
  <c r="H250" i="2"/>
  <c r="I191" i="2"/>
  <c r="I190" i="2" s="1"/>
  <c r="I184" i="2" s="1"/>
  <c r="I179" i="2" s="1"/>
  <c r="I161" i="2"/>
  <c r="I160" i="2" s="1"/>
  <c r="I159" i="2" s="1"/>
  <c r="L27" i="5"/>
  <c r="L26" i="5" s="1"/>
  <c r="L25" i="5" s="1"/>
  <c r="P102" i="4"/>
  <c r="M152" i="5"/>
  <c r="P72" i="1"/>
  <c r="L72" i="1"/>
  <c r="L71" i="1" s="1"/>
  <c r="L70" i="1" s="1"/>
  <c r="L69" i="1" s="1"/>
  <c r="P72" i="6"/>
  <c r="P57" i="6" s="1"/>
  <c r="P207" i="1"/>
  <c r="L134" i="5"/>
  <c r="J275" i="2"/>
  <c r="J274" i="2" s="1"/>
  <c r="J273" i="2" s="1"/>
  <c r="J272" i="2" s="1"/>
  <c r="J271" i="2" s="1"/>
  <c r="O341" i="5"/>
  <c r="O342" i="5" s="1"/>
  <c r="I79" i="2"/>
  <c r="I78" i="2" s="1"/>
  <c r="I77" i="2" s="1"/>
  <c r="I70" i="2" s="1"/>
  <c r="I46" i="2" s="1"/>
  <c r="M134" i="5"/>
  <c r="N463" i="1"/>
  <c r="N325" i="1"/>
  <c r="N326" i="1" s="1"/>
  <c r="L290" i="1"/>
  <c r="L112" i="1"/>
  <c r="L106" i="1" s="1"/>
  <c r="L98" i="1"/>
  <c r="N31" i="1"/>
  <c r="N30" i="1" s="1"/>
  <c r="N21" i="1" s="1"/>
  <c r="J285" i="2"/>
  <c r="J281" i="2" s="1"/>
  <c r="J217" i="2"/>
  <c r="H142" i="2"/>
  <c r="H138" i="2" s="1"/>
  <c r="H137" i="2" s="1"/>
  <c r="N72" i="5"/>
  <c r="N71" i="5" s="1"/>
  <c r="N70" i="5" s="1"/>
  <c r="N69" i="5" s="1"/>
  <c r="J85" i="5"/>
  <c r="J84" i="5" s="1"/>
  <c r="L112" i="5"/>
  <c r="L106" i="5" s="1"/>
  <c r="O134" i="5"/>
  <c r="O130" i="5" s="1"/>
  <c r="J226" i="5"/>
  <c r="J224" i="5" s="1"/>
  <c r="J223" i="5" s="1"/>
  <c r="M341" i="5"/>
  <c r="M334" i="5" s="1"/>
  <c r="J343" i="5"/>
  <c r="J341" i="5" s="1"/>
  <c r="J342" i="5" s="1"/>
  <c r="O385" i="5"/>
  <c r="M415" i="5"/>
  <c r="N494" i="5"/>
  <c r="O134" i="1"/>
  <c r="O72" i="1"/>
  <c r="O71" i="1" s="1"/>
  <c r="O70" i="1" s="1"/>
  <c r="O69" i="1" s="1"/>
  <c r="H99" i="2"/>
  <c r="H98" i="2" s="1"/>
  <c r="H97" i="2" s="1"/>
  <c r="H96" i="2" s="1"/>
  <c r="H95" i="2" s="1"/>
  <c r="J72" i="5"/>
  <c r="J71" i="5" s="1"/>
  <c r="J70" i="5" s="1"/>
  <c r="J69" i="5" s="1"/>
  <c r="O72" i="5"/>
  <c r="M112" i="5"/>
  <c r="M106" i="5" s="1"/>
  <c r="L241" i="5"/>
  <c r="L240" i="5" s="1"/>
  <c r="L415" i="5"/>
  <c r="L161" i="2"/>
  <c r="L160" i="2" s="1"/>
  <c r="I212" i="2"/>
  <c r="M32" i="1"/>
  <c r="M31" i="1" s="1"/>
  <c r="M30" i="1" s="1"/>
  <c r="M21" i="1" s="1"/>
  <c r="J175" i="1"/>
  <c r="J173" i="1" s="1"/>
  <c r="J224" i="1"/>
  <c r="J223" i="1" s="1"/>
  <c r="J212" i="2"/>
  <c r="K161" i="2"/>
  <c r="K160" i="2" s="1"/>
  <c r="H132" i="2"/>
  <c r="H131" i="2" s="1"/>
  <c r="L232" i="5"/>
  <c r="P341" i="5"/>
  <c r="P342" i="5" s="1"/>
  <c r="P85" i="5"/>
  <c r="P84" i="5" s="1"/>
  <c r="H234" i="3"/>
  <c r="O206" i="1"/>
  <c r="O204" i="1" s="1"/>
  <c r="M399" i="1"/>
  <c r="N438" i="1"/>
  <c r="P85" i="1"/>
  <c r="P84" i="1" s="1"/>
  <c r="P260" i="1"/>
  <c r="J31" i="1"/>
  <c r="J30" i="1" s="1"/>
  <c r="J21" i="1" s="1"/>
  <c r="N134" i="5"/>
  <c r="N130" i="5" s="1"/>
  <c r="O206" i="5"/>
  <c r="O204" i="5" s="1"/>
  <c r="O513" i="5"/>
  <c r="J131" i="3"/>
  <c r="J130" i="3" s="1"/>
  <c r="P291" i="1"/>
  <c r="P290" i="1" s="1"/>
  <c r="M260" i="5"/>
  <c r="L325" i="1"/>
  <c r="P31" i="1"/>
  <c r="P30" i="1" s="1"/>
  <c r="P21" i="1" s="1"/>
  <c r="J161" i="2"/>
  <c r="J160" i="2" s="1"/>
  <c r="J159" i="2" s="1"/>
  <c r="J154" i="2" s="1"/>
  <c r="J330" i="3"/>
  <c r="J329" i="3" s="1"/>
  <c r="P57" i="4"/>
  <c r="M27" i="5"/>
  <c r="M26" i="5" s="1"/>
  <c r="M25" i="5" s="1"/>
  <c r="P98" i="5"/>
  <c r="P93" i="5" s="1"/>
  <c r="J175" i="5"/>
  <c r="J173" i="5" s="1"/>
  <c r="O260" i="5"/>
  <c r="J219" i="1"/>
  <c r="J216" i="1"/>
  <c r="J215" i="1" s="1"/>
  <c r="I153" i="3"/>
  <c r="I152" i="3" s="1"/>
  <c r="H335" i="3"/>
  <c r="H334" i="3" s="1"/>
  <c r="H333" i="3" s="1"/>
  <c r="H332" i="3" s="1"/>
  <c r="H331" i="3" s="1"/>
  <c r="H330" i="3" s="1"/>
  <c r="H329" i="3" s="1"/>
  <c r="H310" i="3"/>
  <c r="H306" i="3" s="1"/>
  <c r="P226" i="5"/>
  <c r="P224" i="5" s="1"/>
  <c r="P223" i="5" s="1"/>
  <c r="J513" i="5"/>
  <c r="N471" i="1"/>
  <c r="L93" i="1"/>
  <c r="N117" i="5"/>
  <c r="J327" i="1"/>
  <c r="M166" i="1"/>
  <c r="J471" i="1"/>
  <c r="J369" i="1"/>
  <c r="P82" i="4"/>
  <c r="I131" i="3"/>
  <c r="I130" i="3" s="1"/>
  <c r="J239" i="3"/>
  <c r="O463" i="1"/>
  <c r="J166" i="1"/>
  <c r="J134" i="1"/>
  <c r="J85" i="1"/>
  <c r="J84" i="1" s="1"/>
  <c r="I182" i="3"/>
  <c r="I181" i="3" s="1"/>
  <c r="I180" i="3" s="1"/>
  <c r="I175" i="3" s="1"/>
  <c r="P71" i="5"/>
  <c r="P70" i="5" s="1"/>
  <c r="P69" i="5" s="1"/>
  <c r="K32" i="4"/>
  <c r="O369" i="1"/>
  <c r="M325" i="1"/>
  <c r="M318" i="1" s="1"/>
  <c r="L152" i="1"/>
  <c r="N72" i="1"/>
  <c r="N71" i="1" s="1"/>
  <c r="N70" i="1" s="1"/>
  <c r="N69" i="1" s="1"/>
  <c r="P325" i="1"/>
  <c r="P326" i="1" s="1"/>
  <c r="N369" i="1"/>
  <c r="L318" i="1"/>
  <c r="J242" i="1"/>
  <c r="J241" i="1" s="1"/>
  <c r="J240" i="1" s="1"/>
  <c r="P175" i="1"/>
  <c r="P173" i="1" s="1"/>
  <c r="J152" i="1"/>
  <c r="N98" i="1"/>
  <c r="N93" i="1" s="1"/>
  <c r="J310" i="3"/>
  <c r="J306" i="3" s="1"/>
  <c r="I272" i="3"/>
  <c r="I268" i="3" s="1"/>
  <c r="I267" i="3" s="1"/>
  <c r="I266" i="3" s="1"/>
  <c r="I257" i="3" s="1"/>
  <c r="I223" i="3"/>
  <c r="I222" i="3" s="1"/>
  <c r="J272" i="3"/>
  <c r="J234" i="3"/>
  <c r="J233" i="3" s="1"/>
  <c r="J228" i="3" s="1"/>
  <c r="J223" i="3"/>
  <c r="J222" i="3" s="1"/>
  <c r="M241" i="1"/>
  <c r="M240" i="1" s="1"/>
  <c r="P134" i="1"/>
  <c r="P130" i="1" s="1"/>
  <c r="J130" i="1"/>
  <c r="P117" i="1"/>
  <c r="L117" i="1"/>
  <c r="M112" i="1"/>
  <c r="M106" i="1" s="1"/>
  <c r="J98" i="1"/>
  <c r="J93" i="1" s="1"/>
  <c r="H50" i="2"/>
  <c r="H49" i="2" s="1"/>
  <c r="H48" i="2" s="1"/>
  <c r="H47" i="2" s="1"/>
  <c r="I145" i="3"/>
  <c r="I144" i="3" s="1"/>
  <c r="I143" i="3" s="1"/>
  <c r="I142" i="3" s="1"/>
  <c r="J153" i="3"/>
  <c r="J152" i="3" s="1"/>
  <c r="J163" i="3"/>
  <c r="J159" i="3" s="1"/>
  <c r="J158" i="3" s="1"/>
  <c r="J182" i="3"/>
  <c r="J181" i="3" s="1"/>
  <c r="J180" i="3" s="1"/>
  <c r="J175" i="3" s="1"/>
  <c r="J194" i="3"/>
  <c r="J193" i="3" s="1"/>
  <c r="J192" i="3" s="1"/>
  <c r="J191" i="3" s="1"/>
  <c r="L399" i="1"/>
  <c r="N291" i="1"/>
  <c r="N290" i="1" s="1"/>
  <c r="N260" i="1"/>
  <c r="M134" i="1"/>
  <c r="M130" i="1" s="1"/>
  <c r="P71" i="1"/>
  <c r="P70" i="1" s="1"/>
  <c r="P69" i="1" s="1"/>
  <c r="I163" i="3"/>
  <c r="I159" i="3" s="1"/>
  <c r="I158" i="3" s="1"/>
  <c r="P45" i="6"/>
  <c r="P41" i="6" s="1"/>
  <c r="P38" i="6" s="1"/>
  <c r="H145" i="3"/>
  <c r="H144" i="3" s="1"/>
  <c r="J463" i="1"/>
  <c r="J399" i="1" s="1"/>
  <c r="J404" i="1" s="1"/>
  <c r="J403" i="1" s="1"/>
  <c r="L32" i="1"/>
  <c r="R32" i="6"/>
  <c r="R115" i="6" s="1"/>
  <c r="P76" i="6"/>
  <c r="H17" i="7"/>
  <c r="P76" i="4"/>
  <c r="R32" i="4"/>
  <c r="R116" i="4" s="1"/>
  <c r="N235" i="1"/>
  <c r="N234" i="1"/>
  <c r="N233" i="1" s="1"/>
  <c r="N134" i="1"/>
  <c r="N130" i="1" s="1"/>
  <c r="M175" i="1"/>
  <c r="M173" i="1" s="1"/>
  <c r="J330" i="1"/>
  <c r="L175" i="1"/>
  <c r="L174" i="1" s="1"/>
  <c r="J117" i="1"/>
  <c r="N118" i="4"/>
  <c r="P118" i="4" s="1"/>
  <c r="O98" i="1"/>
  <c r="O93" i="1" s="1"/>
  <c r="O325" i="1"/>
  <c r="O326" i="1" s="1"/>
  <c r="P225" i="1"/>
  <c r="I154" i="2"/>
  <c r="P369" i="1"/>
  <c r="O130" i="1"/>
  <c r="L166" i="1"/>
  <c r="N112" i="1"/>
  <c r="N106" i="1" s="1"/>
  <c r="N300" i="1"/>
  <c r="N299" i="1" s="1"/>
  <c r="J291" i="1"/>
  <c r="J290" i="1" s="1"/>
  <c r="O175" i="1"/>
  <c r="O174" i="1" s="1"/>
  <c r="L134" i="1"/>
  <c r="L130" i="1" s="1"/>
  <c r="N117" i="1"/>
  <c r="J255" i="2"/>
  <c r="T32" i="4"/>
  <c r="T116" i="4" s="1"/>
  <c r="P45" i="4"/>
  <c r="P41" i="4" s="1"/>
  <c r="P38" i="4" s="1"/>
  <c r="L241" i="1"/>
  <c r="L240" i="1" s="1"/>
  <c r="N175" i="1"/>
  <c r="N174" i="1" s="1"/>
  <c r="M117" i="1"/>
  <c r="M98" i="1"/>
  <c r="M93" i="1" s="1"/>
  <c r="J174" i="5"/>
  <c r="I275" i="2"/>
  <c r="I274" i="2" s="1"/>
  <c r="I273" i="2" s="1"/>
  <c r="I272" i="2" s="1"/>
  <c r="I271" i="2" s="1"/>
  <c r="K172" i="2"/>
  <c r="K171" i="2" s="1"/>
  <c r="K170" i="2" s="1"/>
  <c r="K169" i="2" s="1"/>
  <c r="J172" i="2"/>
  <c r="J171" i="2" s="1"/>
  <c r="J170" i="2" s="1"/>
  <c r="J169" i="2" s="1"/>
  <c r="I58" i="3"/>
  <c r="I57" i="3" s="1"/>
  <c r="I56" i="3" s="1"/>
  <c r="I55" i="3" s="1"/>
  <c r="H163" i="3"/>
  <c r="H159" i="3" s="1"/>
  <c r="H158" i="3" s="1"/>
  <c r="I315" i="3"/>
  <c r="J31" i="5"/>
  <c r="J30" i="5" s="1"/>
  <c r="J21" i="5" s="1"/>
  <c r="O31" i="5"/>
  <c r="O30" i="5" s="1"/>
  <c r="O21" i="5" s="1"/>
  <c r="J166" i="5"/>
  <c r="P82" i="6"/>
  <c r="H239" i="3"/>
  <c r="H182" i="3"/>
  <c r="H181" i="3" s="1"/>
  <c r="H180" i="3" s="1"/>
  <c r="H175" i="3" s="1"/>
  <c r="H119" i="3"/>
  <c r="H118" i="3" s="1"/>
  <c r="P166" i="1"/>
  <c r="O117" i="1"/>
  <c r="O85" i="1"/>
  <c r="O84" i="1" s="1"/>
  <c r="J58" i="3"/>
  <c r="J57" i="3" s="1"/>
  <c r="J56" i="3" s="1"/>
  <c r="J55" i="3" s="1"/>
  <c r="J145" i="3"/>
  <c r="J144" i="3" s="1"/>
  <c r="H172" i="3"/>
  <c r="H171" i="3" s="1"/>
  <c r="H170" i="3" s="1"/>
  <c r="I310" i="3"/>
  <c r="I306" i="3" s="1"/>
  <c r="P31" i="5"/>
  <c r="P30" i="5" s="1"/>
  <c r="P21" i="5" s="1"/>
  <c r="L85" i="5"/>
  <c r="L84" i="5" s="1"/>
  <c r="O93" i="5"/>
  <c r="J117" i="5"/>
  <c r="O117" i="5"/>
  <c r="N175" i="5"/>
  <c r="N174" i="5" s="1"/>
  <c r="J206" i="5"/>
  <c r="J204" i="5" s="1"/>
  <c r="J347" i="5"/>
  <c r="I239" i="3"/>
  <c r="P513" i="5"/>
  <c r="J268" i="3"/>
  <c r="J267" i="3" s="1"/>
  <c r="J266" i="3" s="1"/>
  <c r="J257" i="3" s="1"/>
  <c r="H153" i="3"/>
  <c r="H152" i="3" s="1"/>
  <c r="M32" i="5"/>
  <c r="M31" i="5" s="1"/>
  <c r="M30" i="5" s="1"/>
  <c r="N31" i="5"/>
  <c r="N30" i="5" s="1"/>
  <c r="N21" i="5" s="1"/>
  <c r="M93" i="5"/>
  <c r="M117" i="5"/>
  <c r="O226" i="5"/>
  <c r="O224" i="5" s="1"/>
  <c r="O223" i="5" s="1"/>
  <c r="P260" i="5"/>
  <c r="L290" i="5"/>
  <c r="N334" i="5"/>
  <c r="N340" i="5" s="1"/>
  <c r="I234" i="3"/>
  <c r="I233" i="3" s="1"/>
  <c r="I228" i="3" s="1"/>
  <c r="I119" i="3"/>
  <c r="I118" i="3" s="1"/>
  <c r="J119" i="3"/>
  <c r="J118" i="3" s="1"/>
  <c r="J117" i="3" s="1"/>
  <c r="J116" i="3" s="1"/>
  <c r="J115" i="3" s="1"/>
  <c r="N226" i="5"/>
  <c r="N225" i="5" s="1"/>
  <c r="N206" i="5"/>
  <c r="N204" i="5" s="1"/>
  <c r="J99" i="2"/>
  <c r="I194" i="3"/>
  <c r="I193" i="3" s="1"/>
  <c r="I192" i="3" s="1"/>
  <c r="I191" i="3" s="1"/>
  <c r="H194" i="3"/>
  <c r="H193" i="3" s="1"/>
  <c r="H192" i="3" s="1"/>
  <c r="H191" i="3" s="1"/>
  <c r="I290" i="2"/>
  <c r="N317" i="1"/>
  <c r="N324" i="1"/>
  <c r="O317" i="1"/>
  <c r="O166" i="1"/>
  <c r="M152" i="1"/>
  <c r="O21" i="1"/>
  <c r="N166" i="1"/>
  <c r="N85" i="1"/>
  <c r="N84" i="1" s="1"/>
  <c r="N152" i="1"/>
  <c r="P152" i="1"/>
  <c r="M85" i="1"/>
  <c r="M84" i="1" s="1"/>
  <c r="P174" i="1"/>
  <c r="L173" i="1"/>
  <c r="O152" i="1"/>
  <c r="L85" i="1"/>
  <c r="L84" i="1" s="1"/>
  <c r="O246" i="5"/>
  <c r="O241" i="5" s="1"/>
  <c r="O240" i="5" s="1"/>
  <c r="I330" i="3"/>
  <c r="I329" i="3" s="1"/>
  <c r="H230" i="3"/>
  <c r="I277" i="3"/>
  <c r="J315" i="3"/>
  <c r="O71" i="5"/>
  <c r="O70" i="5" s="1"/>
  <c r="O69" i="5" s="1"/>
  <c r="J242" i="5"/>
  <c r="J241" i="5" s="1"/>
  <c r="J240" i="5" s="1"/>
  <c r="J134" i="5"/>
  <c r="J130" i="5" s="1"/>
  <c r="J152" i="5"/>
  <c r="L117" i="5"/>
  <c r="P117" i="5"/>
  <c r="L130" i="5"/>
  <c r="P130" i="5"/>
  <c r="L175" i="5"/>
  <c r="L174" i="5" s="1"/>
  <c r="P175" i="5"/>
  <c r="P174" i="5" s="1"/>
  <c r="L35" i="5"/>
  <c r="M130" i="5"/>
  <c r="O291" i="5"/>
  <c r="O290" i="5" s="1"/>
  <c r="J291" i="5"/>
  <c r="J290" i="5" s="1"/>
  <c r="N341" i="5"/>
  <c r="N342" i="5" s="1"/>
  <c r="P494" i="5"/>
  <c r="O175" i="5"/>
  <c r="O174" i="5" s="1"/>
  <c r="P291" i="5"/>
  <c r="P290" i="5" s="1"/>
  <c r="M241" i="5"/>
  <c r="M240" i="5" s="1"/>
  <c r="O166" i="5"/>
  <c r="H285" i="3"/>
  <c r="H284" i="3" s="1"/>
  <c r="H277" i="3" s="1"/>
  <c r="P438" i="1"/>
  <c r="O333" i="5"/>
  <c r="O340" i="5"/>
  <c r="P333" i="5"/>
  <c r="P340" i="5"/>
  <c r="N166" i="5"/>
  <c r="O191" i="5"/>
  <c r="N363" i="5"/>
  <c r="M166" i="5"/>
  <c r="J249" i="3"/>
  <c r="J248" i="3" s="1"/>
  <c r="J247" i="3" s="1"/>
  <c r="J246" i="3" s="1"/>
  <c r="I37" i="3"/>
  <c r="I36" i="3" s="1"/>
  <c r="I21" i="3" s="1"/>
  <c r="I19" i="3" s="1"/>
  <c r="J201" i="3"/>
  <c r="I249" i="3"/>
  <c r="I248" i="3" s="1"/>
  <c r="I247" i="3" s="1"/>
  <c r="I246" i="3" s="1"/>
  <c r="I201" i="3"/>
  <c r="J277" i="3"/>
  <c r="J37" i="3"/>
  <c r="J36" i="3" s="1"/>
  <c r="J21" i="3" s="1"/>
  <c r="J19" i="3" s="1"/>
  <c r="H249" i="3"/>
  <c r="H248" i="3" s="1"/>
  <c r="H247" i="3" s="1"/>
  <c r="H246" i="3" s="1"/>
  <c r="J211" i="2"/>
  <c r="J206" i="2" s="1"/>
  <c r="J199" i="2" s="1"/>
  <c r="L290" i="2"/>
  <c r="J234" i="2"/>
  <c r="M191" i="1"/>
  <c r="L191" i="1"/>
  <c r="N191" i="1"/>
  <c r="L215" i="1"/>
  <c r="L260" i="1"/>
  <c r="J260" i="1"/>
  <c r="M290" i="1"/>
  <c r="P250" i="1"/>
  <c r="P246" i="1"/>
  <c r="P241" i="1" s="1"/>
  <c r="P240" i="1" s="1"/>
  <c r="M215" i="1"/>
  <c r="M260" i="1"/>
  <c r="N246" i="1"/>
  <c r="N241" i="1" s="1"/>
  <c r="N240" i="1" s="1"/>
  <c r="N250" i="1"/>
  <c r="J191" i="1"/>
  <c r="O260" i="1"/>
  <c r="O226" i="1"/>
  <c r="P191" i="1"/>
  <c r="O191" i="1"/>
  <c r="K217" i="2"/>
  <c r="H217" i="2"/>
  <c r="J290" i="2"/>
  <c r="L285" i="2"/>
  <c r="L281" i="2" s="1"/>
  <c r="J250" i="2"/>
  <c r="H255" i="2"/>
  <c r="K212" i="2"/>
  <c r="K142" i="2"/>
  <c r="K138" i="2" s="1"/>
  <c r="K137" i="2" s="1"/>
  <c r="H124" i="2"/>
  <c r="H123" i="2" s="1"/>
  <c r="K99" i="2"/>
  <c r="K98" i="2" s="1"/>
  <c r="J302" i="2"/>
  <c r="L250" i="2"/>
  <c r="L201" i="2"/>
  <c r="L200" i="2" s="1"/>
  <c r="H172" i="2"/>
  <c r="H171" i="2" s="1"/>
  <c r="H170" i="2" s="1"/>
  <c r="H169" i="2" s="1"/>
  <c r="J111" i="2"/>
  <c r="J110" i="2" s="1"/>
  <c r="I250" i="2"/>
  <c r="I29" i="2"/>
  <c r="I28" i="2" s="1"/>
  <c r="I21" i="2" s="1"/>
  <c r="I19" i="2" s="1"/>
  <c r="I302" i="2"/>
  <c r="I172" i="2"/>
  <c r="I171" i="2" s="1"/>
  <c r="I170" i="2" s="1"/>
  <c r="I169" i="2" s="1"/>
  <c r="L142" i="2"/>
  <c r="L138" i="2" s="1"/>
  <c r="L137" i="2" s="1"/>
  <c r="K124" i="2"/>
  <c r="K50" i="2"/>
  <c r="K49" i="2" s="1"/>
  <c r="K48" i="2" s="1"/>
  <c r="K47" i="2" s="1"/>
  <c r="I227" i="2"/>
  <c r="I226" i="2" s="1"/>
  <c r="I225" i="2" s="1"/>
  <c r="I224" i="2" s="1"/>
  <c r="L211" i="2"/>
  <c r="L206" i="2" s="1"/>
  <c r="J191" i="2"/>
  <c r="J190" i="2" s="1"/>
  <c r="J184" i="2" s="1"/>
  <c r="J179" i="2" s="1"/>
  <c r="J98" i="2"/>
  <c r="I99" i="2"/>
  <c r="I98" i="2" s="1"/>
  <c r="L99" i="2"/>
  <c r="L98" i="2" s="1"/>
  <c r="J227" i="2"/>
  <c r="J226" i="2" s="1"/>
  <c r="J225" i="2" s="1"/>
  <c r="J224" i="2" s="1"/>
  <c r="I142" i="2"/>
  <c r="I138" i="2" s="1"/>
  <c r="I137" i="2" s="1"/>
  <c r="I121" i="2" s="1"/>
  <c r="J79" i="2"/>
  <c r="J78" i="2" s="1"/>
  <c r="J77" i="2" s="1"/>
  <c r="J70" i="2" s="1"/>
  <c r="J46" i="2" s="1"/>
  <c r="K281" i="2"/>
  <c r="I255" i="2"/>
  <c r="I111" i="2"/>
  <c r="I110" i="2" s="1"/>
  <c r="L302" i="2"/>
  <c r="L301" i="2" s="1"/>
  <c r="H302" i="2"/>
  <c r="H301" i="2" s="1"/>
  <c r="I234" i="2"/>
  <c r="I285" i="2"/>
  <c r="I281" i="2" s="1"/>
  <c r="L179" i="2"/>
  <c r="K227" i="2"/>
  <c r="K226" i="2" s="1"/>
  <c r="K225" i="2" s="1"/>
  <c r="K224" i="2" s="1"/>
  <c r="J142" i="2"/>
  <c r="J138" i="2" s="1"/>
  <c r="J137" i="2" s="1"/>
  <c r="J121" i="2" s="1"/>
  <c r="H29" i="2"/>
  <c r="H28" i="2" s="1"/>
  <c r="H21" i="2" s="1"/>
  <c r="J29" i="2"/>
  <c r="J28" i="2" s="1"/>
  <c r="J21" i="2" s="1"/>
  <c r="K302" i="2"/>
  <c r="K301" i="2" s="1"/>
  <c r="H234" i="2"/>
  <c r="H285" i="2"/>
  <c r="H281" i="2" s="1"/>
  <c r="H227" i="2"/>
  <c r="H226" i="2" s="1"/>
  <c r="H225" i="2" s="1"/>
  <c r="H224" i="2" s="1"/>
  <c r="L50" i="2"/>
  <c r="L49" i="2" s="1"/>
  <c r="L48" i="2" s="1"/>
  <c r="L47" i="2" s="1"/>
  <c r="K290" i="2"/>
  <c r="L227" i="2"/>
  <c r="L226" i="2" s="1"/>
  <c r="L225" i="2" s="1"/>
  <c r="L224" i="2" s="1"/>
  <c r="L255" i="2"/>
  <c r="K255" i="2"/>
  <c r="L234" i="2"/>
  <c r="K234" i="2"/>
  <c r="K179" i="2"/>
  <c r="L159" i="2"/>
  <c r="L154" i="2" s="1"/>
  <c r="L120" i="2" s="1"/>
  <c r="K159" i="2"/>
  <c r="K154" i="2" s="1"/>
  <c r="K132" i="2"/>
  <c r="K131" i="2" s="1"/>
  <c r="K122" i="2" s="1"/>
  <c r="K121" i="2" s="1"/>
  <c r="L96" i="2"/>
  <c r="K95" i="2"/>
  <c r="L29" i="2"/>
  <c r="L28" i="2" s="1"/>
  <c r="K29" i="2"/>
  <c r="K28" i="2" s="1"/>
  <c r="L152" i="5"/>
  <c r="L166" i="5"/>
  <c r="N85" i="5"/>
  <c r="N84" i="5" s="1"/>
  <c r="P166" i="5"/>
  <c r="O85" i="5"/>
  <c r="O84" i="5" s="1"/>
  <c r="O300" i="5"/>
  <c r="O299" i="5" s="1"/>
  <c r="O152" i="5"/>
  <c r="L173" i="5"/>
  <c r="P152" i="5"/>
  <c r="M85" i="5"/>
  <c r="M84" i="5" s="1"/>
  <c r="N152" i="5"/>
  <c r="O235" i="5"/>
  <c r="P300" i="5"/>
  <c r="P299" i="5" s="1"/>
  <c r="P250" i="5"/>
  <c r="P246" i="5"/>
  <c r="P241" i="5" s="1"/>
  <c r="P240" i="5" s="1"/>
  <c r="N234" i="5"/>
  <c r="N233" i="5" s="1"/>
  <c r="N235" i="5"/>
  <c r="L191" i="5"/>
  <c r="M191" i="5"/>
  <c r="P191" i="5"/>
  <c r="J260" i="5"/>
  <c r="L260" i="5"/>
  <c r="J191" i="5"/>
  <c r="J219" i="5"/>
  <c r="J216" i="5"/>
  <c r="L223" i="5"/>
  <c r="L215" i="5"/>
  <c r="J235" i="5"/>
  <c r="J234" i="5"/>
  <c r="J233" i="5" s="1"/>
  <c r="M215" i="5"/>
  <c r="P234" i="5"/>
  <c r="P233" i="5" s="1"/>
  <c r="P235" i="5"/>
  <c r="N191" i="5"/>
  <c r="H315" i="3"/>
  <c r="H320" i="3"/>
  <c r="H319" i="3" s="1"/>
  <c r="H223" i="3"/>
  <c r="H222" i="3" s="1"/>
  <c r="H201" i="3"/>
  <c r="H116" i="3"/>
  <c r="H115" i="3" s="1"/>
  <c r="H136" i="3"/>
  <c r="H58" i="3"/>
  <c r="H57" i="3" s="1"/>
  <c r="H37" i="3"/>
  <c r="H36" i="3" s="1"/>
  <c r="J415" i="5"/>
  <c r="J420" i="5" s="1"/>
  <c r="J419" i="5" s="1"/>
  <c r="N300" i="5"/>
  <c r="N299" i="5" s="1"/>
  <c r="N291" i="5"/>
  <c r="N290" i="5" s="1"/>
  <c r="N246" i="5"/>
  <c r="N241" i="5" s="1"/>
  <c r="N240" i="5" s="1"/>
  <c r="P478" i="1"/>
  <c r="O438" i="1"/>
  <c r="O478" i="1"/>
  <c r="O324" i="1"/>
  <c r="P317" i="1"/>
  <c r="P300" i="1"/>
  <c r="P299" i="1" s="1"/>
  <c r="O300" i="1"/>
  <c r="O299" i="1" s="1"/>
  <c r="O291" i="1"/>
  <c r="O290" i="1" s="1"/>
  <c r="O250" i="1"/>
  <c r="O246" i="1"/>
  <c r="O241" i="1" s="1"/>
  <c r="O240" i="1" s="1"/>
  <c r="P223" i="1"/>
  <c r="P235" i="1"/>
  <c r="P234" i="1"/>
  <c r="O234" i="1"/>
  <c r="O235" i="1"/>
  <c r="K32" i="6"/>
  <c r="K115" i="6" s="1"/>
  <c r="K116" i="4"/>
  <c r="O404" i="1"/>
  <c r="O403" i="1" s="1"/>
  <c r="P404" i="1"/>
  <c r="P403" i="1" s="1"/>
  <c r="L70" i="2"/>
  <c r="K70" i="2"/>
  <c r="H70" i="2"/>
  <c r="H90" i="3"/>
  <c r="I90" i="3"/>
  <c r="J90" i="3"/>
  <c r="N513" i="5"/>
  <c r="N415" i="5" s="1"/>
  <c r="L31" i="1" l="1"/>
  <c r="L30" i="1" s="1"/>
  <c r="L21" i="1" s="1"/>
  <c r="I305" i="3"/>
  <c r="I304" i="3" s="1"/>
  <c r="I295" i="3" s="1"/>
  <c r="I211" i="2"/>
  <c r="I206" i="2" s="1"/>
  <c r="I199" i="2" s="1"/>
  <c r="N105" i="5"/>
  <c r="H211" i="2"/>
  <c r="H206" i="2" s="1"/>
  <c r="H199" i="2" s="1"/>
  <c r="H168" i="2" s="1"/>
  <c r="H143" i="3"/>
  <c r="L105" i="1"/>
  <c r="P83" i="5"/>
  <c r="M333" i="5"/>
  <c r="P83" i="1"/>
  <c r="P225" i="5"/>
  <c r="N83" i="5"/>
  <c r="J280" i="2"/>
  <c r="J279" i="2" s="1"/>
  <c r="J270" i="2" s="1"/>
  <c r="I280" i="2"/>
  <c r="I279" i="2" s="1"/>
  <c r="I270" i="2" s="1"/>
  <c r="I120" i="2"/>
  <c r="L31" i="5"/>
  <c r="L30" i="5" s="1"/>
  <c r="L21" i="5" s="1"/>
  <c r="J305" i="3"/>
  <c r="J304" i="3" s="1"/>
  <c r="J295" i="3" s="1"/>
  <c r="M83" i="1"/>
  <c r="P32" i="6"/>
  <c r="P115" i="6" s="1"/>
  <c r="J221" i="3"/>
  <c r="J20" i="3" s="1"/>
  <c r="L333" i="5"/>
  <c r="I221" i="3"/>
  <c r="I190" i="3" s="1"/>
  <c r="M21" i="5"/>
  <c r="O225" i="5"/>
  <c r="M173" i="5"/>
  <c r="J225" i="5"/>
  <c r="N173" i="5"/>
  <c r="J334" i="5"/>
  <c r="J340" i="5" s="1"/>
  <c r="H122" i="2"/>
  <c r="H121" i="2" s="1"/>
  <c r="H120" i="2" s="1"/>
  <c r="J83" i="5"/>
  <c r="O105" i="1"/>
  <c r="N224" i="1"/>
  <c r="N224" i="5"/>
  <c r="N223" i="5" s="1"/>
  <c r="M83" i="5"/>
  <c r="H280" i="2"/>
  <c r="H279" i="2" s="1"/>
  <c r="H270" i="2" s="1"/>
  <c r="J168" i="2"/>
  <c r="J143" i="3"/>
  <c r="J142" i="3" s="1"/>
  <c r="H233" i="3"/>
  <c r="H228" i="3" s="1"/>
  <c r="H221" i="3" s="1"/>
  <c r="H190" i="3" s="1"/>
  <c r="J174" i="1"/>
  <c r="M105" i="5"/>
  <c r="N105" i="1"/>
  <c r="M105" i="1"/>
  <c r="J120" i="2"/>
  <c r="K211" i="2"/>
  <c r="K206" i="2" s="1"/>
  <c r="K199" i="2" s="1"/>
  <c r="K168" i="2" s="1"/>
  <c r="L83" i="1"/>
  <c r="J105" i="1"/>
  <c r="M317" i="1"/>
  <c r="J105" i="5"/>
  <c r="I117" i="3"/>
  <c r="I116" i="3" s="1"/>
  <c r="I115" i="3" s="1"/>
  <c r="O83" i="1"/>
  <c r="J325" i="1"/>
  <c r="J318" i="1" s="1"/>
  <c r="P32" i="4"/>
  <c r="P116" i="4" s="1"/>
  <c r="J141" i="3"/>
  <c r="P105" i="1"/>
  <c r="P20" i="1" s="1"/>
  <c r="P11" i="1" s="1"/>
  <c r="H46" i="2"/>
  <c r="N173" i="1"/>
  <c r="J83" i="1"/>
  <c r="J20" i="1" s="1"/>
  <c r="J11" i="1" s="1"/>
  <c r="N83" i="1"/>
  <c r="O173" i="1"/>
  <c r="O83" i="5"/>
  <c r="H305" i="3"/>
  <c r="H304" i="3" s="1"/>
  <c r="H295" i="3" s="1"/>
  <c r="P105" i="5"/>
  <c r="L83" i="5"/>
  <c r="H142" i="3"/>
  <c r="H141" i="3" s="1"/>
  <c r="O105" i="5"/>
  <c r="K280" i="2"/>
  <c r="K279" i="2" s="1"/>
  <c r="K270" i="2" s="1"/>
  <c r="L317" i="1"/>
  <c r="L21" i="2"/>
  <c r="L19" i="2" s="1"/>
  <c r="J97" i="2"/>
  <c r="J96" i="2" s="1"/>
  <c r="J95" i="2" s="1"/>
  <c r="L190" i="1"/>
  <c r="M20" i="1"/>
  <c r="M12" i="1" s="1"/>
  <c r="M174" i="1"/>
  <c r="H56" i="3"/>
  <c r="H55" i="3" s="1"/>
  <c r="K21" i="2"/>
  <c r="O173" i="5"/>
  <c r="I141" i="3"/>
  <c r="O215" i="5"/>
  <c r="O190" i="5" s="1"/>
  <c r="O189" i="5" s="1"/>
  <c r="P173" i="5"/>
  <c r="L105" i="5"/>
  <c r="L190" i="5"/>
  <c r="L199" i="2"/>
  <c r="L168" i="2" s="1"/>
  <c r="L280" i="2"/>
  <c r="L279" i="2" s="1"/>
  <c r="L270" i="2" s="1"/>
  <c r="J190" i="1"/>
  <c r="M190" i="1"/>
  <c r="O224" i="1"/>
  <c r="O223" i="1" s="1"/>
  <c r="O225" i="1"/>
  <c r="I168" i="2"/>
  <c r="I20" i="2"/>
  <c r="I97" i="2"/>
  <c r="I96" i="2" s="1"/>
  <c r="I95" i="2" s="1"/>
  <c r="H20" i="2"/>
  <c r="H19" i="2"/>
  <c r="J20" i="2"/>
  <c r="J19" i="2"/>
  <c r="K120" i="2"/>
  <c r="L46" i="2"/>
  <c r="K46" i="2"/>
  <c r="M190" i="5"/>
  <c r="P215" i="5"/>
  <c r="P190" i="5" s="1"/>
  <c r="P189" i="5" s="1"/>
  <c r="J215" i="5"/>
  <c r="J190" i="5" s="1"/>
  <c r="H135" i="3"/>
  <c r="H134" i="3"/>
  <c r="H131" i="3" s="1"/>
  <c r="H130" i="3" s="1"/>
  <c r="P215" i="1"/>
  <c r="P190" i="1" s="1"/>
  <c r="P233" i="1"/>
  <c r="O233" i="1"/>
  <c r="N420" i="5"/>
  <c r="N419" i="5" s="1"/>
  <c r="N333" i="5"/>
  <c r="J54" i="3"/>
  <c r="I54" i="3"/>
  <c r="P20" i="5" l="1"/>
  <c r="P11" i="5" s="1"/>
  <c r="L189" i="5"/>
  <c r="N215" i="5"/>
  <c r="N190" i="5" s="1"/>
  <c r="J45" i="2"/>
  <c r="J18" i="2" s="1"/>
  <c r="M189" i="5"/>
  <c r="N20" i="5"/>
  <c r="N11" i="5" s="1"/>
  <c r="J190" i="3"/>
  <c r="M189" i="1"/>
  <c r="J333" i="5"/>
  <c r="J189" i="5" s="1"/>
  <c r="J326" i="1"/>
  <c r="L20" i="1"/>
  <c r="L12" i="1" s="1"/>
  <c r="L189" i="1"/>
  <c r="J20" i="5"/>
  <c r="J11" i="5" s="1"/>
  <c r="M20" i="5"/>
  <c r="M12" i="5" s="1"/>
  <c r="I20" i="3"/>
  <c r="O20" i="1"/>
  <c r="O11" i="1" s="1"/>
  <c r="N223" i="1"/>
  <c r="N215" i="1"/>
  <c r="N190" i="1" s="1"/>
  <c r="N189" i="1" s="1"/>
  <c r="H45" i="2"/>
  <c r="H18" i="2" s="1"/>
  <c r="L20" i="5"/>
  <c r="L12" i="5" s="1"/>
  <c r="O20" i="5"/>
  <c r="O11" i="5" s="1"/>
  <c r="N20" i="1"/>
  <c r="N11" i="1" s="1"/>
  <c r="J53" i="3"/>
  <c r="J18" i="3" s="1"/>
  <c r="O215" i="1"/>
  <c r="O190" i="1" s="1"/>
  <c r="O189" i="1" s="1"/>
  <c r="Q15" i="1" s="1"/>
  <c r="H21" i="3"/>
  <c r="H20" i="3" s="1"/>
  <c r="H18" i="3" s="1"/>
  <c r="H54" i="3"/>
  <c r="H53" i="3" s="1"/>
  <c r="J317" i="1"/>
  <c r="J189" i="1" s="1"/>
  <c r="J324" i="1"/>
  <c r="L20" i="2"/>
  <c r="L18" i="2" s="1"/>
  <c r="I53" i="3"/>
  <c r="I18" i="3" s="1"/>
  <c r="L45" i="2"/>
  <c r="P189" i="1"/>
  <c r="R15" i="1" s="1"/>
  <c r="K45" i="2"/>
  <c r="I45" i="2"/>
  <c r="I18" i="2" s="1"/>
  <c r="K20" i="2"/>
  <c r="K18" i="2" s="1"/>
  <c r="M15" i="2" s="1"/>
  <c r="K19" i="2"/>
  <c r="N189" i="5"/>
  <c r="H19" i="3" l="1"/>
  <c r="K327" i="14"/>
  <c r="K326" i="14" s="1"/>
  <c r="K325" i="14" s="1"/>
  <c r="K20" i="14" s="1"/>
  <c r="K18" i="14" s="1"/>
  <c r="M12" i="14" s="1"/>
</calcChain>
</file>

<file path=xl/comments1.xml><?xml version="1.0" encoding="utf-8"?>
<comments xmlns="http://schemas.openxmlformats.org/spreadsheetml/2006/main">
  <authors>
    <author>1</author>
  </authors>
  <commentList>
    <comment ref="K57" authorId="0">
      <text>
        <r>
          <rPr>
            <b/>
            <sz val="9"/>
            <color indexed="81"/>
            <rFont val="Tahoma"/>
            <family val="2"/>
            <charset val="204"/>
          </rPr>
          <t>1: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1</author>
  </authors>
  <commentList>
    <comment ref="K63" authorId="0">
      <text>
        <r>
          <rPr>
            <b/>
            <sz val="9"/>
            <color indexed="81"/>
            <rFont val="Tahoma"/>
            <family val="2"/>
            <charset val="204"/>
          </rPr>
          <t>1: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1</author>
  </authors>
  <commentList>
    <comment ref="K57" authorId="0">
      <text>
        <r>
          <rPr>
            <b/>
            <sz val="9"/>
            <color indexed="81"/>
            <rFont val="Tahoma"/>
            <family val="2"/>
            <charset val="204"/>
          </rPr>
          <t>1: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<sst xmlns="http://schemas.openxmlformats.org/spreadsheetml/2006/main" count="30002" uniqueCount="1241">
  <si>
    <t>0203</t>
  </si>
  <si>
    <t>240</t>
  </si>
  <si>
    <t>99 9 01 51180</t>
  </si>
  <si>
    <t>Мобилизационная  и вневойсковая подготовка</t>
  </si>
  <si>
    <t>Иные закупки товаров, работ и услуг для обеспечения государственных (муниципальных) нужд</t>
  </si>
  <si>
    <t>120</t>
  </si>
  <si>
    <t>Мобилизационная  и вневосковая подготовка</t>
  </si>
  <si>
    <t>Расходы на выплаты персоналу государственных (муниципальных) органов</t>
  </si>
  <si>
    <t xml:space="preserve">Осуществление первичного воинского учета на территориях, где отсутствуют военные комиссариаты (Федеральные средства) </t>
  </si>
  <si>
    <t>0501</t>
  </si>
  <si>
    <t>99 9 01 96010</t>
  </si>
  <si>
    <t>Жилищное хозяйство</t>
  </si>
  <si>
    <t xml:space="preserve">Обеспечение мероприятий по капитальному ремонту многоквартирных домов </t>
  </si>
  <si>
    <t>0502</t>
  </si>
  <si>
    <t>9901063</t>
  </si>
  <si>
    <t>0500</t>
  </si>
  <si>
    <t>Иные закупки товаров, работ и услуг для государственных нужд</t>
  </si>
  <si>
    <t xml:space="preserve">организация оказывающие банные услуги населению </t>
  </si>
  <si>
    <t>9900690</t>
  </si>
  <si>
    <t xml:space="preserve">Субсидии организациям коммунального хозяйства на компенсацию части потерь в доходах </t>
  </si>
  <si>
    <t>организации которые являются арендаторами объектов коммунальной инфраструктуры</t>
  </si>
  <si>
    <t>9900691</t>
  </si>
  <si>
    <t>Субсидии на возмещения части затрат организациям коммунального хозяйства</t>
  </si>
  <si>
    <t xml:space="preserve">Мероприятия в сфере коммунального хозяйства, направленные  для обеспечения условий проживания населения, отвечающих стандартам качества </t>
  </si>
  <si>
    <t>9900000</t>
  </si>
  <si>
    <t>Непрограммные расходы органов исполнительной власти муниципального образования  Тельмановское сельское поселение Тосненского района Ленинградской области</t>
  </si>
  <si>
    <t>410</t>
  </si>
  <si>
    <t>9900478</t>
  </si>
  <si>
    <t xml:space="preserve">Бюджетные инвестиции </t>
  </si>
  <si>
    <t>Приобретение объектов недвижимого имущества в муниципальную собственность</t>
  </si>
  <si>
    <t>99 9 01 13760</t>
  </si>
  <si>
    <r>
      <t>Мероприятие  по капитальному ремонту муниципального жилищного фонда</t>
    </r>
    <r>
      <rPr>
        <sz val="10"/>
        <color indexed="10"/>
        <rFont val="Times New Roman"/>
        <family val="1"/>
        <charset val="204"/>
      </rPr>
      <t xml:space="preserve"> </t>
    </r>
  </si>
  <si>
    <t>0503</t>
  </si>
  <si>
    <t>99 9 01 13280</t>
  </si>
  <si>
    <t>Благоустройство</t>
  </si>
  <si>
    <t>Мероприятия по содержанию объектов благоустройства территории муниципального образования  Тельмановское сельское поселение Тосненского района Ленинградской области области</t>
  </si>
  <si>
    <t>99 9 01 13270</t>
  </si>
  <si>
    <t>Мероприятия по развитию объектов благоустройства территории  муниципального образования</t>
  </si>
  <si>
    <t>99 9 01 13250</t>
  </si>
  <si>
    <t>Коммунальное  хозяйство</t>
  </si>
  <si>
    <r>
      <t xml:space="preserve">Мероприятия направленные на безаварийную работу объектов водоснабжения и водоотведения </t>
    </r>
    <r>
      <rPr>
        <sz val="10"/>
        <color indexed="10"/>
        <rFont val="Times New Roman"/>
        <family val="1"/>
        <charset val="204"/>
      </rPr>
      <t/>
    </r>
  </si>
  <si>
    <t>1003</t>
  </si>
  <si>
    <t>310</t>
  </si>
  <si>
    <t>99 9 01 12730</t>
  </si>
  <si>
    <t>1000</t>
  </si>
  <si>
    <t>Социальное обеспечение населения</t>
  </si>
  <si>
    <t>Публичные нормативные социальные выплаты гражданам</t>
  </si>
  <si>
    <t xml:space="preserve">Мероприятия в области социальной политики </t>
  </si>
  <si>
    <t>99 9 01 10630</t>
  </si>
  <si>
    <t>0412</t>
  </si>
  <si>
    <t>99 9 01 10400</t>
  </si>
  <si>
    <t>Другие вопросы в области национальной экономики</t>
  </si>
  <si>
    <t>0400</t>
  </si>
  <si>
    <t xml:space="preserve">Мероприятия в области строительства, архитектуры и градостроительства </t>
  </si>
  <si>
    <t>99 9 01 10360</t>
  </si>
  <si>
    <t>Мероприятия в области национальной экономики</t>
  </si>
  <si>
    <t>9901035</t>
  </si>
  <si>
    <t xml:space="preserve">Мероприятия по землеустройству и землепользованию </t>
  </si>
  <si>
    <t>0409</t>
  </si>
  <si>
    <t>9901011</t>
  </si>
  <si>
    <t>Дорожное хозяйство (дорожные фонды)</t>
  </si>
  <si>
    <t>Мероприятия по капитальному ремонту и ремонту автомобильных дорог общего пользования местного значения, дворовых территорий многоквартирных домов, прездов к дворовым территориям многоквартирных домов, располеженных на территории</t>
  </si>
  <si>
    <t>1105</t>
  </si>
  <si>
    <t>9900464</t>
  </si>
  <si>
    <t>Другие вопросы в области физической культуры и спорта</t>
  </si>
  <si>
    <t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</t>
  </si>
  <si>
    <t>0111</t>
  </si>
  <si>
    <t>99 9 01 10050</t>
  </si>
  <si>
    <t>Резервные фонды</t>
  </si>
  <si>
    <t>0100</t>
  </si>
  <si>
    <t>Резервные средства</t>
  </si>
  <si>
    <t/>
  </si>
  <si>
    <t>Резервные фонды исполнительных органов государственной власти субъектов Российской Федерации и органов местного самоуправления</t>
  </si>
  <si>
    <t>9900420</t>
  </si>
  <si>
    <t>420</t>
  </si>
  <si>
    <t xml:space="preserve">Бюджетные инвестиции в объекты капитального строительства объектов газификации (в том числе проектно-изыскательские работы) собственности муниципальных образований в рамках муниципальной </t>
  </si>
  <si>
    <t>1001</t>
  </si>
  <si>
    <t>320</t>
  </si>
  <si>
    <t>99 9 01 03080</t>
  </si>
  <si>
    <t>Пенсионное обеспечение</t>
  </si>
  <si>
    <t>Социальные выплаты гражданам, кроме публичных нормативных социальных выплат</t>
  </si>
  <si>
    <t xml:space="preserve">Доплаты к пенсиям муниципальных служащих </t>
  </si>
  <si>
    <t>99 9 01 00000</t>
  </si>
  <si>
    <t>непрограммные расходы</t>
  </si>
  <si>
    <t>99 9 00 00000</t>
  </si>
  <si>
    <t>0801</t>
  </si>
  <si>
    <t>9900016</t>
  </si>
  <si>
    <t>Культура</t>
  </si>
  <si>
    <t>Расходы на обеспечение деятельности муниципальных казенных
 учреждений</t>
  </si>
  <si>
    <t>99 0 00 00000</t>
  </si>
  <si>
    <t>0113</t>
  </si>
  <si>
    <t>850</t>
  </si>
  <si>
    <t>92 9 01 00030</t>
  </si>
  <si>
    <t>Другие общегосударственные вопросы</t>
  </si>
  <si>
    <t>Уплата налогов, сборов и иных платежей</t>
  </si>
  <si>
    <t>830</t>
  </si>
  <si>
    <t>9200003</t>
  </si>
  <si>
    <t>Исполнение судебных актов</t>
  </si>
  <si>
    <t xml:space="preserve">Выполнение других обязательств мунципальных образований </t>
  </si>
  <si>
    <t>92 9 01 00000</t>
  </si>
  <si>
    <t>92 9 00 00000</t>
  </si>
  <si>
    <t>92 0 00 00000</t>
  </si>
  <si>
    <t>Реализация государственных функций, связанных с общегосударственным управлением</t>
  </si>
  <si>
    <t>0104</t>
  </si>
  <si>
    <t>91 8 01 00080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</si>
  <si>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</si>
  <si>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 xml:space="preserve"> </t>
  </si>
  <si>
    <t xml:space="preserve">Обеспечение деятельности главы местной администрации (исполнительно-распорядительного органа муниципального образования) </t>
  </si>
  <si>
    <t>91 8 01 00000</t>
  </si>
  <si>
    <t>Непрограммные расходы</t>
  </si>
  <si>
    <t>91 8 00 00000</t>
  </si>
  <si>
    <t xml:space="preserve">Обеспечение деятельности главы администрациимуниципального образования Тельмановское сельское поселение Тосненского района Ленинградской области (исполнительно-распорядительного органа муниципального образования)  </t>
  </si>
  <si>
    <t>0103</t>
  </si>
  <si>
    <t>91 5 01 00120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</si>
  <si>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</si>
  <si>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r>
      <t xml:space="preserve">Обеспечение деятельности депутатов представительного органа муниципального образования </t>
    </r>
    <r>
      <rPr>
        <sz val="10"/>
        <color indexed="10"/>
        <rFont val="Times New Roman"/>
        <family val="1"/>
        <charset val="204"/>
      </rPr>
      <t/>
    </r>
  </si>
  <si>
    <t>91 5 01 00000</t>
  </si>
  <si>
    <t>91 5 00 00000</t>
  </si>
  <si>
    <t xml:space="preserve">Обеспечение деятельности депутатов представительного органа местного самоуправления муниципального образования городского(сельского) поселения Тосненского района Ленинградской области </t>
  </si>
  <si>
    <t>0106</t>
  </si>
  <si>
    <t>540</t>
  </si>
  <si>
    <t>9106064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</si>
  <si>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</si>
  <si>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Иные межбюджетные трансферты</t>
  </si>
  <si>
    <t>Иные межбюджетные трансферты бюджету района из бюджетов поселений на осуществление полномочий по внешнему муниципальному финансовому контролю в рамках расходов на руководство и управление в сфере установленных фукнций органов государственной власти субъек</t>
  </si>
  <si>
    <t>9100000</t>
  </si>
  <si>
    <t>Руководство и управление в сфере установленных функций органов государственной власти субъекта Российской Федерации и органов местного самоуправления</t>
  </si>
  <si>
    <t>91 3 01 71340</t>
  </si>
  <si>
    <t xml:space="preserve"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(областной бюджет) </t>
  </si>
  <si>
    <t>91 3 01 60640</t>
  </si>
  <si>
    <r>
      <t xml:space="preserve">Иные межбюджетные трансферты </t>
    </r>
    <r>
      <rPr>
        <sz val="10"/>
        <color indexed="10"/>
        <rFont val="Times New Roman"/>
        <family val="1"/>
        <charset val="204"/>
      </rPr>
      <t/>
    </r>
  </si>
  <si>
    <t>Иные межбюджетные трансферты бюджету района из бюджетов поселений на осуществление полномочий по внешнему муниципальному финансовому контролю</t>
  </si>
  <si>
    <t>9106062</t>
  </si>
  <si>
    <t>9107133</t>
  </si>
  <si>
    <t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профилактики безнадзорности и правонарушений  несовершеннолетних (областной бюджет)</t>
  </si>
  <si>
    <t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(местный бюджет) в рамках р</t>
  </si>
  <si>
    <t>9106060</t>
  </si>
  <si>
    <t>9106061</t>
  </si>
  <si>
    <t>Иные межбюджетные трансферты бюджету района из бюджетов поселений на осуществления отдельных полномочий в области градостроительной деятельности (местный бюджет)</t>
  </si>
  <si>
    <t>Иные межбюджетные трансферты бюджету района из бюджетов поселений на осуществления отдельных полномочий по исполнению бюджета (местный бюджет) в рамках расходов на руководство и управление в сфере установленных фукнций органов государственной власти субъе</t>
  </si>
  <si>
    <t>520</t>
  </si>
  <si>
    <t>9105065</t>
  </si>
  <si>
    <t>Субсидии</t>
  </si>
  <si>
    <t>Субсидия на решение вопросов местного значения межмуниципального характера в сфере архивного дела(местный бюджет) в рамках расходов на руководство и управление в сфере установленных фукнций органов государственной власти субъекта Российской Федерации и ор</t>
  </si>
  <si>
    <t>91 3 01 60620</t>
  </si>
  <si>
    <r>
      <t xml:space="preserve"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(местный бюджет) </t>
    </r>
    <r>
      <rPr>
        <sz val="10"/>
        <color indexed="10"/>
        <rFont val="Times New Roman"/>
        <family val="1"/>
        <charset val="204"/>
      </rPr>
      <t/>
    </r>
  </si>
  <si>
    <t>91 3 01 60610</t>
  </si>
  <si>
    <r>
      <t xml:space="preserve">Иные межбюджетные трансферты бюджету района из бюджетов поселений на осуществления отдельных полномочий в области градостроительной деятельности (местный бюджет) </t>
    </r>
    <r>
      <rPr>
        <sz val="10"/>
        <color indexed="10"/>
        <rFont val="Times New Roman"/>
        <family val="1"/>
        <charset val="204"/>
      </rPr>
      <t/>
    </r>
  </si>
  <si>
    <t>91 3 01 60600</t>
  </si>
  <si>
    <r>
      <t xml:space="preserve">Иные межбюджетные трансферты бюджету района из бюджетов поселений на осуществления отдельных полномочий по исполнению бюджета (местный бюджет) </t>
    </r>
    <r>
      <rPr>
        <sz val="10"/>
        <color indexed="10"/>
        <rFont val="Times New Roman"/>
        <family val="1"/>
        <charset val="204"/>
      </rPr>
      <t/>
    </r>
  </si>
  <si>
    <t>91 3 01 50650</t>
  </si>
  <si>
    <t>Иные межбюджетные трансферты бюджету района из бюджетов поселений на осуществления  полномочий по формированию архивных фондов (местный бюджет)</t>
  </si>
  <si>
    <t>91 3 01 00040</t>
  </si>
  <si>
    <t>Обеспечение функций органов местного самоуправления</t>
  </si>
  <si>
    <t>91 3 01 00000</t>
  </si>
  <si>
    <t>91 3 00 00000</t>
  </si>
  <si>
    <t xml:space="preserve">Обеспечение деятельности аппаратов органов местного самоуправления муниципального образования Тельмановское сельское поселение Тосненского района Ленинградской области </t>
  </si>
  <si>
    <t>91 0 00 00000</t>
  </si>
  <si>
    <t>Итого непрограммные расходы</t>
  </si>
  <si>
    <t>14 0 01 13180</t>
  </si>
  <si>
    <t>1601326</t>
  </si>
  <si>
    <t>Мероприятия направленные на безаварийную работу объектов водоснабжения и водоотведения в рамках муниципальной программы "Обеспечения населения питьевой водой городского (сельского) поселения Тосненского района Ленинградской области"</t>
  </si>
  <si>
    <t>1601325</t>
  </si>
  <si>
    <t>Мероприятия по строительству и реконструкции объектов водоснабжения, водоотведения и очистки сточных вод в рамках муниципальной программы "Обеспечения населения питьевой водой городского (сельского) поселения Тосненского района Ленинградской области"</t>
  </si>
  <si>
    <t>1600000</t>
  </si>
  <si>
    <r>
      <t xml:space="preserve">Муниципальная программа "Обеспечения населения питьевой водой городского (сельского) поселения Тосненского района Ленинградской области  </t>
    </r>
    <r>
      <rPr>
        <b/>
        <sz val="10"/>
        <color indexed="10"/>
        <rFont val="Times New Roman"/>
        <family val="1"/>
        <charset val="204"/>
      </rPr>
      <t>на 2014-2016 годы</t>
    </r>
    <r>
      <rPr>
        <b/>
        <sz val="10"/>
        <color indexed="8"/>
        <rFont val="Times New Roman"/>
        <family val="1"/>
        <charset val="204"/>
      </rPr>
      <t>"</t>
    </r>
  </si>
  <si>
    <t>0309</t>
  </si>
  <si>
    <t>1501329</t>
  </si>
  <si>
    <t>0300</t>
  </si>
  <si>
    <t xml:space="preserve">Мероприятия по устойчивому развитию части территорий в рамках   муниципальной программы "Развитие части территории городского (сельского) поселения Тосненского района Ленинградской области" </t>
  </si>
  <si>
    <t>1500000</t>
  </si>
  <si>
    <r>
      <t xml:space="preserve">Муниципальная программа "Развитие части территории городского (сельского) поселения Тосненского района Ленинградской области </t>
    </r>
    <r>
      <rPr>
        <b/>
        <sz val="10"/>
        <color indexed="10"/>
        <rFont val="Times New Roman"/>
        <family val="1"/>
        <charset val="204"/>
      </rPr>
      <t xml:space="preserve"> на 2014-2016 годы</t>
    </r>
    <r>
      <rPr>
        <b/>
        <sz val="10"/>
        <color indexed="8"/>
        <rFont val="Times New Roman"/>
        <family val="1"/>
        <charset val="204"/>
      </rPr>
      <t>"</t>
    </r>
  </si>
  <si>
    <t xml:space="preserve">Мероприятия по повышению надежности и энергетической эффективности </t>
  </si>
  <si>
    <t>14 0 01 00000</t>
  </si>
  <si>
    <t>Основное мероприятие "Реализация энергосберегающих мероприятий на территории муниципального образования Тельмановское сельское поселение Тосненского района Ленинградской области"</t>
  </si>
  <si>
    <t>14 0 00 00000</t>
  </si>
  <si>
    <t>Муниципальная программа "Энергосбережение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в 2015-2019 годах"</t>
  </si>
  <si>
    <t>13 0 01 14260</t>
  </si>
  <si>
    <t>13 0 01 10630</t>
  </si>
  <si>
    <t>13 0 01 00000</t>
  </si>
  <si>
    <t>Основное мероприятие "Реализация мероприятий по строительству и реконструкции объектов водоснабжения, водоотведения и очистки сточных вод"</t>
  </si>
  <si>
    <t>13 0 00 00000</t>
  </si>
  <si>
    <t>Муниципальна программа "Обеспечение устойчивого финкционирования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</t>
  </si>
  <si>
    <t>12 0 01 13280</t>
  </si>
  <si>
    <t>Мероприятия по содержанию объектов благоустройства территории муниципального образования  Тельмановское сельское поселение Тосненского района Ленинградской области</t>
  </si>
  <si>
    <t>12 0 01 13270</t>
  </si>
  <si>
    <t xml:space="preserve">Мероприятия по развитию объектов благоустройства территории  муниципального образования  Тельмановское сельское поселение Тосненского района Ленинградской области </t>
  </si>
  <si>
    <t>12 0 01 00000</t>
  </si>
  <si>
    <t>Основное мероприятие "Осуществление мероприятий по содержанию( в том числе проектно-изыскательские работы) и развитию объектов благоустройства территории,по организации сбора, вывоза бытовых отходов"</t>
  </si>
  <si>
    <t>12 0 00 00000</t>
  </si>
  <si>
    <r>
  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 в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2015-2019 годах</t>
    </r>
    <r>
      <rPr>
        <b/>
        <sz val="10"/>
        <color indexed="8"/>
        <rFont val="Times New Roman"/>
        <family val="1"/>
        <charset val="204"/>
      </rPr>
      <t>"</t>
    </r>
  </si>
  <si>
    <t>11 0 01 04200</t>
  </si>
  <si>
    <t>Мероприятия по обслуживанию объектов газификации в рамках муниципальной программы "Газификация территории муниципального образования Тельмановское сельское поселение Тосненского района Ленинградской области в 2014-2016 годах"</t>
  </si>
  <si>
    <t>Бюджетные инвестиции в объекты капитального строительства объектов газификации (в том числе проектно-изыскательские работы)</t>
  </si>
  <si>
    <t>11 0 01 00000</t>
  </si>
  <si>
    <t>Основное мероприятие "Организация газоснабжения"</t>
  </si>
  <si>
    <t>11 0 00 00000</t>
  </si>
  <si>
    <t>Муниципальная программа "Газификация территории муниципального образования Тельмановское сельское поселение Тосненского района Ленинградской области в 2015-2019 годах"</t>
  </si>
  <si>
    <t>10 2 01 13530</t>
  </si>
  <si>
    <t xml:space="preserve">Организация и проведение мероприятий, направленных на повышение безопасности дорожного движения </t>
  </si>
  <si>
    <t>10 2 01 10100</t>
  </si>
  <si>
    <r>
      <t>Мероприятия по содержанию автомобильных дорог</t>
    </r>
    <r>
      <rPr>
        <sz val="10"/>
        <color indexed="10"/>
        <rFont val="Times New Roman"/>
        <family val="1"/>
        <charset val="204"/>
      </rPr>
      <t xml:space="preserve"> </t>
    </r>
  </si>
  <si>
    <t>10 2 01 00000</t>
  </si>
  <si>
    <t>Основное мероприятие "Мероприяти по оптимизации мер профилактики правонарушений"</t>
  </si>
  <si>
    <t>10 2 00 00000</t>
  </si>
  <si>
    <t>10 1 01 70140</t>
  </si>
  <si>
    <t>Мероприятия на капитальный ремонт и ремонт автомобильных дорог общего пользования местного значения (областной бюджет)</t>
  </si>
  <si>
    <t>10 1 01 10130</t>
  </si>
  <si>
    <t xml:space="preserve">Мероприятия по капитальному ремонту и ремонту дворовых территорий многоквартирных домов, проездов к дворовым территориям многоквартирных домов, располеженных на территории поселения </t>
  </si>
  <si>
    <t>10 1 01 10110</t>
  </si>
  <si>
    <t>1010401</t>
  </si>
  <si>
    <t xml:space="preserve">Мероприятия по строительству и реконструкции автомобильных дорог общего пользования местного значения, расположенных на территории  в рамках подпрограммы "Поддержание и развитие существующей сети автомобильных дорог общего пользования местного значения"  </t>
  </si>
  <si>
    <r>
      <t>Мероприятия по капитальному ремонту и ремонт автомобильных дорог общего пользования местного значения</t>
    </r>
    <r>
      <rPr>
        <sz val="10"/>
        <color indexed="10"/>
        <rFont val="Times New Roman"/>
        <family val="1"/>
        <charset val="204"/>
      </rPr>
      <t/>
    </r>
  </si>
  <si>
    <t>10 1 01 10100</t>
  </si>
  <si>
    <t>10 1 01 00000</t>
  </si>
  <si>
    <t>Основное мероприятие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располеженных на территории "</t>
  </si>
  <si>
    <t>10 1 00 00000</t>
  </si>
  <si>
    <t xml:space="preserve">Подпрограмма "Поддержание и развитие существующей сети автомобильных дорог общего пользования местного значения"  </t>
  </si>
  <si>
    <t>10 0 00 00000</t>
  </si>
  <si>
    <t>Муниципальная программа "Развите автомобильных дорог в муниципальном образовании Тельмановское сельское поселение Тосненского района Ленинградской области в 2015-2019 годах"</t>
  </si>
  <si>
    <t>08 2 01 11520</t>
  </si>
  <si>
    <t>Защита населения и территории от  чрезвычайных ситуаций природного и техногенного характера, гражданская оборона</t>
  </si>
  <si>
    <t>0821343</t>
  </si>
  <si>
    <t xml:space="preserve">Мероприятия по обслуживанию аппаратно-программного комплекса автоматизированной информационной системы "Безопасный город" </t>
  </si>
  <si>
    <t>Мероприятия, направленные на обеспечение правопорядка</t>
  </si>
  <si>
    <t>08 2 01 00000</t>
  </si>
  <si>
    <t xml:space="preserve">Основное мероприятия "Мероприятия по обеспечению общественного порядка и профилактике правонарушений на территории муниципального образования Тельмановское сельское поселение Тосненского района Ленинградской области" </t>
  </si>
  <si>
    <t>08 2 00 00000</t>
  </si>
  <si>
    <t>Подпрограмма "Профилактика правонарушений, терроризма, экстремизма и противодействия незаконному потреблению и обороту наркотических средств на территории муниципального образования Тельмановское сельское поселение Тосненского района Ленинградской области</t>
  </si>
  <si>
    <t>08 1 02 11620</t>
  </si>
  <si>
    <r>
      <t xml:space="preserve">Мероприятия в области пожарной безопасности </t>
    </r>
    <r>
      <rPr>
        <sz val="10"/>
        <color indexed="10"/>
        <rFont val="Times New Roman"/>
        <family val="1"/>
        <charset val="204"/>
      </rPr>
      <t xml:space="preserve"> </t>
    </r>
  </si>
  <si>
    <t>08 1 02 00000</t>
  </si>
  <si>
    <t xml:space="preserve">Основное мероприятия "Обеспечения пожарной безопасности" </t>
  </si>
  <si>
    <t>08 1 01 11570</t>
  </si>
  <si>
    <r>
      <t>Мероприятия по обеспечению предупреждения и ликвидации последствий черезвычайных ситуаций и стихийных бедствий</t>
    </r>
    <r>
      <rPr>
        <sz val="10"/>
        <color indexed="10"/>
        <rFont val="Times New Roman"/>
        <family val="1"/>
        <charset val="204"/>
      </rPr>
      <t xml:space="preserve"> </t>
    </r>
  </si>
  <si>
    <t>08 1 01 00000</t>
  </si>
  <si>
    <t xml:space="preserve">Основное мероприятие "Защита населения и территорий, предупреждение и ликвидация последствий чрезвычайных ситуаций природного и техногенного характера"" </t>
  </si>
  <si>
    <t xml:space="preserve">Мероприятия по обеспечению предупреждения и ликвидации последствий черезвычайных ситуаций и стихийных бедствий </t>
  </si>
  <si>
    <t>08 1 00 00000</t>
  </si>
  <si>
    <t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</t>
  </si>
  <si>
    <t>08 0 00 00000</t>
  </si>
  <si>
    <t>Муниципальная программа "Безопасность в муниципальном образовании Тельмановское сельское поселение Тосненского района Ленинградской области в 2015-2019 годах"</t>
  </si>
  <si>
    <t>0804</t>
  </si>
  <si>
    <t>07 3 01 11220</t>
  </si>
  <si>
    <t>Другие вопросы в области культуры, кинематографии</t>
  </si>
  <si>
    <t>0731235</t>
  </si>
  <si>
    <t>0800</t>
  </si>
  <si>
    <t>Строительство,реконструкция и ремонт объектов культуры городского (сельского) поселения Тосненского района Ленинграсдкой области  в рамках подпрограммы «Обеспечение условий реализации программы городского (сельского) поселения Тосненского района Ленинграс</t>
  </si>
  <si>
    <t>Организация и проведение мероприятий в сфере культуры</t>
  </si>
  <si>
    <t>07 3 01 00000</t>
  </si>
  <si>
    <t>Основное мероприятие "Мероприятия организационного характера"</t>
  </si>
  <si>
    <t>07 3 00 00000</t>
  </si>
  <si>
    <t>0700000</t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</si>
  <si>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2014-2016 годах</t>
    </r>
    <r>
      <rPr>
        <b/>
        <sz val="10"/>
        <color indexed="8"/>
        <rFont val="Times New Roman"/>
        <family val="1"/>
        <charset val="204"/>
      </rPr>
      <t xml:space="preserve">" </t>
    </r>
  </si>
  <si>
    <t>07 2 01 00160</t>
  </si>
  <si>
    <t>110</t>
  </si>
  <si>
    <t>Расходы на выплаты персоналу казенных учреждений</t>
  </si>
  <si>
    <t xml:space="preserve">Расходы на обеспечение деятельности муниципальных казенных учреждений </t>
  </si>
  <si>
    <t>07 2 01 00000</t>
  </si>
  <si>
    <t>Основное мероприятия "Развитие культуры на территории поселения"</t>
  </si>
  <si>
    <t>07 2 00 00000</t>
  </si>
  <si>
    <t xml:space="preserve">Подпрограмма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 в 2015-2019 годах» </t>
  </si>
  <si>
    <t>0707</t>
  </si>
  <si>
    <t>07 1 01 12290</t>
  </si>
  <si>
    <t>Молодежная политика и оздоровление детей</t>
  </si>
  <si>
    <t>0700</t>
  </si>
  <si>
    <t xml:space="preserve">Организация  оздоровления, отдыха изанятости детей, подростков и молодежи </t>
  </si>
  <si>
    <t>07 1 01 00000</t>
  </si>
  <si>
    <t>Основное мероприятие "Обеспечение отдыха, оздоровления, занятости детей, подростков и молодежи"</t>
  </si>
  <si>
    <t>0711229</t>
  </si>
  <si>
    <t>Организация отдыха и оздоровления детей и подростков в рамках подпрограммы "Молодежь городского(сельского)поселения Тосненского района Ленинградской области" муниципальной программы "Развитие культуры городского (сельского) поселения Тосненского района Ле</t>
  </si>
  <si>
    <t>07 1 00 00000</t>
  </si>
  <si>
    <t xml:space="preserve">Подпрограмма "Молодежь в муниципальном образовании Тельмановское сельское поселение Тосненского района Ленинградской области в 2015-2019 годах" </t>
  </si>
  <si>
    <t>07 0 00 00000</t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</si>
  <si>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2015-2019 годах</t>
    </r>
    <r>
      <rPr>
        <b/>
        <sz val="10"/>
        <color indexed="8"/>
        <rFont val="Times New Roman"/>
        <family val="1"/>
        <charset val="204"/>
      </rPr>
      <t xml:space="preserve">" </t>
    </r>
  </si>
  <si>
    <t>05 0 02 10550</t>
  </si>
  <si>
    <t>0620480</t>
  </si>
  <si>
    <t>Приобретение объектов недвижимого имущества для оказания поддержки гражданам, пострадавшим в результате пожара муниципального жилого фонда в рамках подпрограммы "Оказание поддержки гражданам, пострадавшим в результате пожара муниципального жилищного фонда</t>
  </si>
  <si>
    <t>0620000</t>
  </si>
  <si>
    <t>Подпрограмма "Оказание поддержки гражданам, пострадавшим в результате пожара муниципального жилищного фонда" муниципальной программы "Обеспечение качественным жильем граждан на территории муниципального образования Тельмановское сельское поселение Тосненс</t>
  </si>
  <si>
    <t>0610477</t>
  </si>
  <si>
    <t>Приобретение объектов недвижимого имущества для переселения граждан из аварийного жилищного фонда в рамках подпрограммы "Переселение граждан из аварийного жилищного фонда"  муниципальной программы "Обеспечение качественным жильем граждан на территории мун</t>
  </si>
  <si>
    <t>0610000</t>
  </si>
  <si>
    <t>Подпрограмма "Переселение граждан из аварийного жилищного фонда"  муниципальной программы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</t>
  </si>
  <si>
    <t>0600000</t>
  </si>
  <si>
    <t>Муниципальная программа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2014-2016 годах"</t>
  </si>
  <si>
    <t>05 0 02 00000</t>
  </si>
  <si>
    <r>
      <t xml:space="preserve">Информационно-консультационная и организационно-методическая поддержка субъектов малого и среднего предпринимательства </t>
    </r>
    <r>
      <rPr>
        <sz val="10"/>
        <color indexed="10"/>
        <rFont val="Times New Roman"/>
        <family val="1"/>
        <charset val="204"/>
      </rPr>
      <t/>
    </r>
  </si>
  <si>
    <t>05 0 01 00000</t>
  </si>
  <si>
    <t>Основное мероприятие "Информационная, консультационная поддержка субъектов малого и среднего предпринимательства, развитие инфраструктуры поддержки малого и среднего предпринимательства"</t>
  </si>
  <si>
    <t>0500637</t>
  </si>
  <si>
    <t>Обеспечение деятельности инфраструктуры поддержки субъектов малого и среднего предпринимательства  в рамках муниципальной программы "Развитие и поддержка малого и среднего предпринимательства на территории муниципального образования Тельмановское сельское</t>
  </si>
  <si>
    <t>05 0 00 00000</t>
  </si>
  <si>
    <t>Муниципальная программа "Развитие и поддержка малого и среднего предпринимательства в муниципальном образовании Тельмановское сельское поселение Тосненского района Ленинградской области в 2015-2019 годах"</t>
  </si>
  <si>
    <t>04 3 01 13300</t>
  </si>
  <si>
    <t>1100</t>
  </si>
  <si>
    <t xml:space="preserve">Мероприятия по организации и проведение физкультурных спортивно-массовых  мероприятий </t>
  </si>
  <si>
    <t>04 3 01 00000</t>
  </si>
  <si>
    <t xml:space="preserve">Основное мероприятие "Организация и проведение официальных физкультурно-спортивных мероприятий  среди населения на территоррии поселения" </t>
  </si>
  <si>
    <t>04 3 00 00000</t>
  </si>
  <si>
    <t xml:space="preserve">Подпрограмма "Развитие физической культуры и массового спорта в муниципальном образовании Тельмановское сельское поселение Тосненского района Ленинградской области" </t>
  </si>
  <si>
    <t>0420464</t>
  </si>
  <si>
    <t>0421065</t>
  </si>
  <si>
    <t>Мероприятия по капитальному ремонту объектов физической культуры и спорта в рамках подпрограммы "Развитие объектов физической культуры и спорта в городском (сельском) поселении  Тосненского района Ленинградской области" муниципальной программы "Развитие ф</t>
  </si>
  <si>
    <t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муниц</t>
  </si>
  <si>
    <t>0420000</t>
  </si>
  <si>
    <t>Подпрограмма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области"  муниципальной программы "Развитие физической культуры и   спорта в муниципальном образова</t>
  </si>
  <si>
    <t>0410016</t>
  </si>
  <si>
    <t>Расходы на обеспечение деятельности муниципальных казенных учреждений в рамках подпрограммы "Обеспечение жителей городского (сельского) поселения Тосненского района Ленинградской области услугами в сфере спорта, оздоровление и досуга" муниципальной програ</t>
  </si>
  <si>
    <t>0410000</t>
  </si>
  <si>
    <t>Подпрограмма "Обеспечение жителей городского (сельского) поселения Тосненского района Ленинградской области услугами в сфере спорта, оздоровление и досуга" муниципальной программы "Развитие физической культуры и  спорта на территории городского (сельского</t>
  </si>
  <si>
    <t>04 0 00 00000</t>
  </si>
  <si>
    <t xml:space="preserve">Муниципальная программа "Развитие физической культуры и   спорта в муниципальном образовании Тельмановское сельское поселение Тосненского района Ленинградской области в 2015 - 2019 годах" </t>
  </si>
  <si>
    <t>Итого программные расходы</t>
  </si>
  <si>
    <t>Всего</t>
  </si>
  <si>
    <t>2017 год</t>
  </si>
  <si>
    <t>215 год</t>
  </si>
  <si>
    <t>2016 год
(тысяч рублей)</t>
  </si>
  <si>
    <t>2015 год
(тысяч рублей)</t>
  </si>
  <si>
    <t>Сумма</t>
  </si>
  <si>
    <t>ВР                 вид расхода</t>
  </si>
  <si>
    <t>ЦСР                 целевая статья</t>
  </si>
  <si>
    <t>Наименование</t>
  </si>
  <si>
    <t>0431130</t>
  </si>
  <si>
    <t>Мероприятия по организации и проведение физкультурных спортивно-массовых  мероприятий в рамках подпрограммы "Развитие физической культуры и массового спорта в муниципальном образовании Тельмановское сельское поселение Тосненского района Ленинградской обла</t>
  </si>
  <si>
    <t>0430000</t>
  </si>
  <si>
    <t>Подпрограмма "Развитие физической культуры и массового спорта в муниципальном образовании Тельмановское сельское поселение Тосненского района Ленинградской области" муниципальной программы "Развитие физической культуры и   спорта в муниципальном образован</t>
  </si>
  <si>
    <t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в 201</t>
  </si>
  <si>
    <t>Подпрограмма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в 2014 - 2016 годах"  муниципальной программы "Развитие физической культуры и   спорта в му</t>
  </si>
  <si>
    <t>0400000</t>
  </si>
  <si>
    <t xml:space="preserve">Муниципальная программа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</si>
  <si>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>Физическая культура и спорт</t>
  </si>
  <si>
    <t>Мероприятия в области социальной политики</t>
  </si>
  <si>
    <t>Доплаты к пенсиям муниципальных служащих</t>
  </si>
  <si>
    <t>Социальная политика</t>
  </si>
  <si>
    <t>0731122</t>
  </si>
  <si>
    <t>Организация и проведение мероприятий в сфере культуры в рамках подпрограммы «Обеспечение условий реализации программы муниципального образования Тельмановское сельское поселение Тосненского района Ленинградской области» муниципальной программы "Развитие к</t>
  </si>
  <si>
    <t>0730000</t>
  </si>
  <si>
    <t>Подпрограмма «Обеспечение условий реализации программы муниципального образования Тельмановское сельское поселение Тосненского района Ленинградской области» муниципальной программы "Развитие культуры муниципального образования Тельмановское сельское посел</t>
  </si>
  <si>
    <t>0720016</t>
  </si>
  <si>
    <t>Расходы на обеспечение деятельности муниципальных казенных учреждений в рамках подпрограммы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муниц</t>
  </si>
  <si>
    <t>0720000</t>
  </si>
  <si>
    <t xml:space="preserve">Подпрограмма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муниципальной программы "Развитие культуры муниципального образования Тельмановское </t>
  </si>
  <si>
    <t>Культура, кинематография</t>
  </si>
  <si>
    <t>0711168</t>
  </si>
  <si>
    <t>Мероприятия в сфере молодежной политики  в рамках подпрограммы "Молодежь муниципального образования Тельмановское сельское поселение Тосненского района Ленинградской области " муниципальной программы "Развитие культуры муниципального образования Тельманов</t>
  </si>
  <si>
    <t>0710000</t>
  </si>
  <si>
    <t>Подпрограмма "Молодежь муниципального образования Тельмановское сельское поселение Тосненского района Ленинградской области " муниципальной программы "Развитие культуры муниципального образования Тельмановское сельское поселение Тосненского района Ленингр</t>
  </si>
  <si>
    <t>Образование</t>
  </si>
  <si>
    <t>0505</t>
  </si>
  <si>
    <t>9500016</t>
  </si>
  <si>
    <t>Расходы на обеспечение деятельности муниципальных казенных учреждений</t>
  </si>
  <si>
    <t>9500000</t>
  </si>
  <si>
    <t>Учреждения по обеспечению развития жилищно-коммунального комплекса и благоустройства</t>
  </si>
  <si>
    <t>Другие вопросы в области жилищно-коммунального хозяйства</t>
  </si>
  <si>
    <t>1201328</t>
  </si>
  <si>
    <t>Мероприятия по содержанию объектов благоустройства территории муниципального образования  Тельмановское сельское поселение Тосненского района Ленинградской области в рамках муниципальной программы  "Благоустройство территории  муниципального образования Т</t>
  </si>
  <si>
    <t>1201327</t>
  </si>
  <si>
    <r>
      <t xml:space="preserve">Мероприятия по развитию объектов благоустройства территории  муниципального образования  Тельмановское сельское поселение Тосненского района Ленинградской области </t>
    </r>
    <r>
      <rPr>
        <sz val="10"/>
        <rFont val="Times New Roman"/>
        <family val="1"/>
        <charset val="204"/>
      </rPr>
      <t>в рамках муниципальной программы  "Благоустройство территории  муниципального образования Те</t>
    </r>
  </si>
  <si>
    <t>1200000</t>
  </si>
  <si>
    <r>
  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 в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2014-2016 годах</t>
    </r>
    <r>
      <rPr>
        <b/>
        <sz val="10"/>
        <color indexed="8"/>
        <rFont val="Times New Roman"/>
        <family val="1"/>
        <charset val="204"/>
      </rPr>
      <t>"</t>
    </r>
  </si>
  <si>
    <t>1401318</t>
  </si>
  <si>
    <t>Мероприятия по повышению надежности и энергетической эффективности в рамках муниципальной программы "Энергосбережение и повышение энергоэффективности на территории муниципального образования Тельмановское сельское поселение Тосненского района Ленинградско</t>
  </si>
  <si>
    <t>1400000</t>
  </si>
  <si>
    <t>Муниципальная программа "Энергосбережение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в 2014-2016 годах"</t>
  </si>
  <si>
    <t>1101320</t>
  </si>
  <si>
    <t>414</t>
  </si>
  <si>
    <t>1100420</t>
  </si>
  <si>
    <t>Бюджетные инвестиции в объекты  капитального строительства государственной (муниципальной) собственности</t>
  </si>
  <si>
    <t>Бюджетные инвестиции в объекты капитального строительства объектов газификации (в том числе проектно-изыскательские работы) собственности муниципальных образований в рамках муниципальной программы "Газификация территории муниципального образования Тельман</t>
  </si>
  <si>
    <t>1100000</t>
  </si>
  <si>
    <r>
      <t>Муниципальная программа "Газификация территории муниципального образования Тельмановское сельское поселение Тосненского района Ленинградской области в 2014-2016 годах</t>
    </r>
    <r>
      <rPr>
        <b/>
        <sz val="10"/>
        <color indexed="8"/>
        <rFont val="Times New Roman"/>
        <family val="1"/>
        <charset val="204"/>
      </rPr>
      <t>"</t>
    </r>
  </si>
  <si>
    <t>440</t>
  </si>
  <si>
    <t>9901377</t>
  </si>
  <si>
    <t>Бюджетные инвестиции на приобретение объектов недвижимого имущества</t>
  </si>
  <si>
    <t>Мероприятия в области жилищного хозяйства</t>
  </si>
  <si>
    <t>9901376</t>
  </si>
  <si>
    <t>Мероприятие  по капитальному ремонту муниципального жилищного фонда</t>
  </si>
  <si>
    <t>Жилищно-коммунальное хозяйство</t>
  </si>
  <si>
    <t>9901038</t>
  </si>
  <si>
    <t>Мероприятия в области строительства, архитектуры и градостроительства</t>
  </si>
  <si>
    <t>9901036</t>
  </si>
  <si>
    <t>0501055</t>
  </si>
  <si>
    <t>Информационная и консультационная поддержка субъектов малого и среднего предпринимательства, развитие инфраструктуры поддержки малого и среднего предпринимательства муниципальной программы "Развитие и поддержка малого и среднего предпринимательства на тер</t>
  </si>
  <si>
    <t>0500000</t>
  </si>
  <si>
    <t>Муниципальная программа "Развитие и поддержка малого и среднего предпринимательства на территории муниципального образования Тельмановское сельское поселение Тосненского района Ленинградской области в 2014-2016 годах"</t>
  </si>
  <si>
    <t>1021010</t>
  </si>
  <si>
    <t>Мероприятия по содержанию автомобильных дорог в рамках подпрограммы"Обеспечение условий для организации дорожного движения на территории" муниципальной программы "Развитие автомобильных дорог в муниципальном образовании Тельмановское сельское поселение То</t>
  </si>
  <si>
    <t>1020000</t>
  </si>
  <si>
    <t>Подпрограмма "Обеспечение условий для организации дорожного движения на территории" муниципальной программы "Развитие автомобильных дорог в муниципальном образовании Тельмановское сельское поселение Тосненского района Ленинградской области в 2014-2016 год</t>
  </si>
  <si>
    <t>1011011</t>
  </si>
  <si>
    <t>Мероприятия по капитальному ремонту и ремонту автомобильных дорог общего пользования местного значения, дворовых территорий многоквартирных домов, прездов к дворовым территориям многоквартирных домов, располеженных на территории в рамках подпрограммы "Под</t>
  </si>
  <si>
    <t>1010000</t>
  </si>
  <si>
    <t>Подпрограмма "Поддержание и развитие существующей сети автомобильных дорог общего пользования местного значения"  муниципальной программы "Развитие автомобильных дорог в муниципальном образовании Тельмановское сельское поселение Тосненского района Ленингр</t>
  </si>
  <si>
    <t>1000000</t>
  </si>
  <si>
    <t>Муниципальная программа "Развите автомобильных дорог в муниципальном образовании Тельмановское сельское поселение Тосненского района Ленинградской области в 2014-2016 годах"</t>
  </si>
  <si>
    <t>Национальная экономика</t>
  </si>
  <si>
    <t>0821152</t>
  </si>
  <si>
    <t>Мерпориятие по вовлечению в предупреждение правонарушений на территории городского (сельского) поселения Тосненского района Ленинградской области граждан и организаций, стимулирование и поддержка гражданских инциатив в рамках подпрограммы "Профилактика пр</t>
  </si>
  <si>
    <t>0820000</t>
  </si>
  <si>
    <t>0811157</t>
  </si>
  <si>
    <t>0811162</t>
  </si>
  <si>
    <t>Мероприятия в области пожарной безопасности  в рамках подпрограммы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</t>
  </si>
  <si>
    <t>Мероприятия по обеспечению предупреждения и ликвидации последствий черезвычайных ситуаций и стихийных бедствий в рамках подпрограммы "Предупреждение и ликвидация чрезвычайных ситуаций, обеспечение пожарной безопасности, обеспечение мероприятий гражданской</t>
  </si>
  <si>
    <t>0810000</t>
  </si>
  <si>
    <t>0800000</t>
  </si>
  <si>
    <t>Муниципальная программа "Безопасность в муниципальном образовании Тельмановское сельское поселение Тосненского района Ленинградской области в 2014-2016 годах"</t>
  </si>
  <si>
    <t>Национальная безопасность и правоохранительная деятельность</t>
  </si>
  <si>
    <t>9905118</t>
  </si>
  <si>
    <t>0200</t>
  </si>
  <si>
    <t>Расходы на выплаты персоналу государственных органов</t>
  </si>
  <si>
    <t>Осуществление первичного воинского учета на территориях, где отсутствуют военные комиссариаты (Федеральные средства)</t>
  </si>
  <si>
    <t>Национальная безопасность</t>
  </si>
  <si>
    <t>Выполнение других обязательств мунципальных образований</t>
  </si>
  <si>
    <t>9200000</t>
  </si>
  <si>
    <t>9901005</t>
  </si>
  <si>
    <t>0107</t>
  </si>
  <si>
    <t>9901204</t>
  </si>
  <si>
    <t>Проведение выборов в представительные органы муниципального образования</t>
  </si>
  <si>
    <t>Обеспечение проведения выборов и референдумов</t>
  </si>
  <si>
    <t>9107134</t>
  </si>
  <si>
    <t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(областной бюджет)</t>
  </si>
  <si>
    <t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(местный бюджет)</t>
  </si>
  <si>
    <t>Иные межбюджетные трансферты бюджету района из бюджетов поселений на осуществления отдельных полномочий по исполнению бюджета (местный бюджет)</t>
  </si>
  <si>
    <t>Субсидия на решение вопросов местного значения межмуниципального характера в сфере архивного дела(местный бюджет)</t>
  </si>
  <si>
    <t>9100008</t>
  </si>
  <si>
    <t>Обеспечение деятельности главы местной администрации (исполнительно-распорядительного органа муниципального образования)</t>
  </si>
  <si>
    <t>0102</t>
  </si>
  <si>
    <t>Обеспечение деятельности Главы муниципального образования</t>
  </si>
  <si>
    <t>Функционирование высшего должностного лица субъекта Российской Федерации и муниципального образования</t>
  </si>
  <si>
    <t>008</t>
  </si>
  <si>
    <t>Общегосударственные вопросы</t>
  </si>
  <si>
    <t>Итого</t>
  </si>
  <si>
    <t>Рз ПР</t>
  </si>
  <si>
    <t>ПР подраздел</t>
  </si>
  <si>
    <t>Рз             раздел</t>
  </si>
  <si>
    <t>Г
код главного распорядителя</t>
  </si>
  <si>
    <t>(тысяч рублей)</t>
  </si>
  <si>
    <t xml:space="preserve"> группам и подгруппам видов расходов классификации расходов бюджетов, а также по разделам и подразделам </t>
  </si>
  <si>
    <t>(муниципальным программам  и непрограммным направлениям деятельности),</t>
  </si>
  <si>
    <t>бюджетных ассигнований по целевым статьям</t>
  </si>
  <si>
    <t xml:space="preserve">РАСПРЕДЕЛЕНИЕ </t>
  </si>
  <si>
    <t xml:space="preserve"> =</t>
  </si>
  <si>
    <t>усл расх</t>
  </si>
  <si>
    <t>д.б.</t>
  </si>
  <si>
    <t>___________________ Ю.Н. Кваша</t>
  </si>
  <si>
    <t>Глава муниципального образования</t>
  </si>
  <si>
    <t xml:space="preserve">    от  "  "  декабря 2015  №     </t>
  </si>
  <si>
    <t>Тосненского района  Ленинградской области</t>
  </si>
  <si>
    <t>МО Тельмановское сельское поселение</t>
  </si>
  <si>
    <t xml:space="preserve">к   решению совета депутатов </t>
  </si>
  <si>
    <t>Приложение  № 9</t>
  </si>
  <si>
    <t>04</t>
  </si>
  <si>
    <t>08</t>
  </si>
  <si>
    <t>иные закупки товаров, работ и услуг для обеспечения государственных (муниципальных) нужд</t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</si>
  <si>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b/>
        <sz val="8"/>
        <color indexed="10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2015-2019 годах</t>
    </r>
    <r>
      <rPr>
        <b/>
        <sz val="8"/>
        <color indexed="8"/>
        <rFont val="Arial"/>
        <family val="2"/>
        <charset val="204"/>
      </rPr>
      <t xml:space="preserve">" </t>
    </r>
  </si>
  <si>
    <t>01</t>
  </si>
  <si>
    <t>уплата налогов, сборов и иных платежей</t>
  </si>
  <si>
    <t>расходы на выплаты персоналу казенных учреждений</t>
  </si>
  <si>
    <t>00</t>
  </si>
  <si>
    <t>Культура и кинематография</t>
  </si>
  <si>
    <t>МУК "Тельмановский сельский Дом культуры"</t>
  </si>
  <si>
    <t>15 0 01 13290</t>
  </si>
  <si>
    <t>05</t>
  </si>
  <si>
    <t>11</t>
  </si>
  <si>
    <t>Мероприятия по устойчивому развитию части территорий</t>
  </si>
  <si>
    <t>15 0 01 00000</t>
  </si>
  <si>
    <t>Основное мероприятие "Поддержка проектов местных инициатив граждан"</t>
  </si>
  <si>
    <t>15 0 00 00000</t>
  </si>
  <si>
    <t>Муниципальная программа "Развитие части территории Тосненского городского поселения Тосненского района Ленинградской области на 2015-2019 годы"</t>
  </si>
  <si>
    <t>04 3 02 13310</t>
  </si>
  <si>
    <t xml:space="preserve">Обеспечение подготовки и участия сборных команд Тосненского городского поселения в областных, всероссийских и международных мероприятиях </t>
  </si>
  <si>
    <t>04 3 02 00000</t>
  </si>
  <si>
    <t xml:space="preserve">Основное мероприятие "Обеспечение подготовки и участия  команд Тосненского городского поселения  в областных, всероссийский и международных мероприятиях" </t>
  </si>
  <si>
    <t>04 2 02 14060</t>
  </si>
  <si>
    <t>Мероприятия по капитальному ремонту объектов физической культуры и спорта</t>
  </si>
  <si>
    <t>04 2 02 13640</t>
  </si>
  <si>
    <t>Мероприятия по текущему содержанию и ремонту объектов физической культуры</t>
  </si>
  <si>
    <t>04 2 02 00000</t>
  </si>
  <si>
    <t>Основное мероприятие "Капитальный ремонт, ремонт, эксплуатация спортивных объектов"</t>
  </si>
  <si>
    <t>04 2 01 04050</t>
  </si>
  <si>
    <t>бюджетные инвестиции</t>
  </si>
  <si>
    <t>Организация мероприятий по проектированию, строительству и реконструкции объектов физической культуры и спорта</t>
  </si>
  <si>
    <t>04 2 01 00000</t>
  </si>
  <si>
    <t>Основное мероприятие "Строительство, реконструкция и проектирование спортивных объектов"</t>
  </si>
  <si>
    <t>04 2 00 00000</t>
  </si>
  <si>
    <t xml:space="preserve">Подпрограмма "Развитие объектов физической культуры и спорта в Тосненском городском поселении Тосненского района Ленинградской области" </t>
  </si>
  <si>
    <t>04 1 01 00160</t>
  </si>
  <si>
    <t>02</t>
  </si>
  <si>
    <t>04 1 01 00000</t>
  </si>
  <si>
    <t>Основное мероприятие "Развитие физической культуры и спорта"</t>
  </si>
  <si>
    <t>04 1 00 00000</t>
  </si>
  <si>
    <t xml:space="preserve">Подпрограмма "Обеспечение жителей Тосненского городского поселения Тосненского района Ленинградской области услугами в сфере спорта, оздоровления и досуга" </t>
  </si>
  <si>
    <t>Муниципальная программа "Развитие физической культуры и спорта на территории Тосненского городского поселения Тосненского района Ленинградской области на 2015-2018 годы"</t>
  </si>
  <si>
    <t>Массовый спорт</t>
  </si>
  <si>
    <t>03</t>
  </si>
  <si>
    <t>10</t>
  </si>
  <si>
    <t>социальные выплаты гражданам, кроме публичных нормативных социальных выплат</t>
  </si>
  <si>
    <t>публичные нормативные социальные выплаты гражданам</t>
  </si>
  <si>
    <t>Непрограммные расходы органов исполнительной власти муниципального образования Тельмановское сельское поселениеТосненского района Ленинградской области</t>
  </si>
  <si>
    <t>07 3 02 04210</t>
  </si>
  <si>
    <t xml:space="preserve">Строительство, реконструкция объектов культуры Тосненского городского поселения Тосненского района Ленинградской области </t>
  </si>
  <si>
    <t>07 3 02 12350</t>
  </si>
  <si>
    <t>Капитальный ремонт и ремонт объектов культуры Тосненского городского поселения Тосненского района Ленинградской области</t>
  </si>
  <si>
    <t>07 3 02 00000</t>
  </si>
  <si>
    <t>Основное мероприятие "Развитие и модернизация объектов культуры Тосненского городского поселения Тосненского района Ленинградской области"</t>
  </si>
  <si>
    <t>07</t>
  </si>
  <si>
    <t>07 1 01 11680</t>
  </si>
  <si>
    <t>23 5 02 00160</t>
  </si>
  <si>
    <t>Расходы на обеспечение деятельности муниципальных казенных учреждений (расходы за счет платных услуг и неналоговых доходов)</t>
  </si>
  <si>
    <t>23 5 02 00000</t>
  </si>
  <si>
    <t>Основное мероприятие "Обеспечение благоустройства территории Тосненского городского поселения Тосненский район Ленинградской области"</t>
  </si>
  <si>
    <t>23 5 01 13330</t>
  </si>
  <si>
    <t>Мероприятия по проведению проектно-изыскательских работ по содержанию и благоустройству</t>
  </si>
  <si>
    <t>23 5 01 13280</t>
  </si>
  <si>
    <t xml:space="preserve">Мероприятия по благоустройству и содержанию территорий Тосненского городского поселения </t>
  </si>
  <si>
    <t>23 5 01 00000</t>
  </si>
  <si>
    <t>Основное мероприятие "Осуществление мероприятий по содержанию и развитию объектов благоустройства территории, организации сбора, вывоза бытовы отходов ( в том числе проектно-изыскательские работы)"</t>
  </si>
  <si>
    <t>23 5 00 00000</t>
  </si>
  <si>
    <t xml:space="preserve">Подпрограмма "Благоустройство территории Тосненского городского поселения Тосненского района Ленинградской области на 2015-2018 годы" </t>
  </si>
  <si>
    <t>Основное меропритие "Реализация энергосберегающих мероприятий"</t>
  </si>
  <si>
    <t>810</t>
  </si>
  <si>
    <t>23 2 01 14260</t>
  </si>
  <si>
    <t>субсидии юридическим лицам (кроме некоммерческих организаций), индивидуальным предпринимателям, физическим лицам</t>
  </si>
  <si>
    <t>99 9 01 14250</t>
  </si>
  <si>
    <r>
      <t xml:space="preserve">Мероприятия по строительству и реконструкции объектов водоснабжения, водоотведения и очистки сточных вод </t>
    </r>
    <r>
      <rPr>
        <sz val="10"/>
        <color indexed="10"/>
        <rFont val="Times New Roman"/>
        <family val="1"/>
        <charset val="204"/>
      </rPr>
      <t/>
    </r>
  </si>
  <si>
    <t>23 1 01 1320</t>
  </si>
  <si>
    <t>23 1 01 13200</t>
  </si>
  <si>
    <t>Мероприятия по обслуживанию объектов газификации</t>
  </si>
  <si>
    <t>Муниципальна программа "Обеспечение устойчивого финкционирования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в 2016-2020 годах "</t>
  </si>
  <si>
    <t>Коммунальное хозяйство</t>
  </si>
  <si>
    <t>99 9 01 13770</t>
  </si>
  <si>
    <t xml:space="preserve">Мероприятия в области жилищного хозяйства </t>
  </si>
  <si>
    <t xml:space="preserve">Мероприятия по капитальному ремонту муниципального жилищного фонда </t>
  </si>
  <si>
    <t>12</t>
  </si>
  <si>
    <t xml:space="preserve">Мероприятия в области национальной экономики </t>
  </si>
  <si>
    <t>99 9 01 10350</t>
  </si>
  <si>
    <t>Мероприятия по землеустройству и землепользованию</t>
  </si>
  <si>
    <t>9901010</t>
  </si>
  <si>
    <t>09</t>
  </si>
  <si>
    <t>Мероприятия по содержанию автомобильных дорог, расположенных на территории Тосненского городского поселения Тосненского района Ленинградской области в рамках непрограммных расходов Тосненского городского поселения Тосненского района Ленинградской области</t>
  </si>
  <si>
    <t>23 4 02 10130</t>
  </si>
  <si>
    <t xml:space="preserve">Мероприятия  по капитальному ремонту и ремонту  дворовых территорий многоквартирных домов, проездов к дворовым территориям многоквартирных домов, расположенных на территории Тосненского городского поселения Тосненского района Ленинградской области </t>
  </si>
  <si>
    <t>23 4 02 10110</t>
  </si>
  <si>
    <t xml:space="preserve">Мероприятия  по капитальному ремонту и ремонту автомобильных дорог общего пользования местного значения, расположенных на территории Тосненского городского поселения Тосненского района Ленинградской области </t>
  </si>
  <si>
    <t>23 4 02 10100</t>
  </si>
  <si>
    <t xml:space="preserve">Мероприятия по содержанию автомобильных дорог, расположенных на территории Тосненского городского поселения Тосненского района Ленинградской области </t>
  </si>
  <si>
    <t>23 4 02 00000</t>
  </si>
  <si>
    <t xml:space="preserve">04 </t>
  </si>
  <si>
    <t>Основное мероприятие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расположенных на территории Тосненско</t>
  </si>
  <si>
    <t>23 4 01 04010</t>
  </si>
  <si>
    <t>Мероприятия по строительству и реконструкции автомобильных дорог общего пользования местного значения, расположенных на территории Тосненского городского поселения Тосненского района Ленинградской области</t>
  </si>
  <si>
    <t>23 4 01 00000</t>
  </si>
  <si>
    <t>Основное мероприятие "Строительство и реконструкция автомобильных дорог общего пользования местного значения, расположенных на территории Тосненского городского поселения Тосненского района Ленинградской области"</t>
  </si>
  <si>
    <t>23 4 00 00000</t>
  </si>
  <si>
    <t xml:space="preserve">Подпрограмма "Развитие автомобильных дорог Тосненского городского поселения Тосненского района Ленинградской области на 2015-2018 годы" </t>
  </si>
  <si>
    <t>23 0 00 00000</t>
  </si>
  <si>
    <t>Муниципальная программа "Развитие коммунальной инфраструктуры, дорожного хозяйства и благоустройства территорий Тосненского городского поселения Тосненского района Ленинградской области на 2015-2018 годы"</t>
  </si>
  <si>
    <r>
      <t>Мероприятия по содержанию автомобильных дорог</t>
    </r>
    <r>
      <rPr>
        <sz val="8"/>
        <color indexed="10"/>
        <rFont val="Arial"/>
        <family val="2"/>
        <charset val="204"/>
      </rPr>
      <t xml:space="preserve"> </t>
    </r>
  </si>
  <si>
    <t>Основное мероприятие "Мероприятия по обеспечению общественного правопорядка и профилактике правонарушений"</t>
  </si>
  <si>
    <t xml:space="preserve">Подпрограмма "Обеспечение правопорядка и профилактика правонарушений" </t>
  </si>
  <si>
    <t>630</t>
  </si>
  <si>
    <t>субсидии некоммерческим организациям (за исключением государственных (муниципальных) учреждений)</t>
  </si>
  <si>
    <t xml:space="preserve">Мероприятия в области пожарной безопасности </t>
  </si>
  <si>
    <t>Основное мероприятие "Обеспечение пожарной безопасности"</t>
  </si>
  <si>
    <t>08 1 01 13340</t>
  </si>
  <si>
    <t>Создание, обслуживание и эксплуатация системы оповещения населения</t>
  </si>
  <si>
    <t>08 1 01 13350</t>
  </si>
  <si>
    <t>Обслуживание, эксплуатация и ремонт сооружений гражданской обороны</t>
  </si>
  <si>
    <r>
      <t>Мероприятия по обеспечению предупреждения и ликвидации последствий черезвычайных ситуаций и стихийных бедствий</t>
    </r>
    <r>
      <rPr>
        <sz val="8"/>
        <color indexed="10"/>
        <rFont val="Arial"/>
        <family val="2"/>
        <charset val="204"/>
      </rPr>
      <t xml:space="preserve"> </t>
    </r>
  </si>
  <si>
    <t>Защита населения и территории от чрезвычайных ситуаций природного и техногенного характера, гражданская оборона</t>
  </si>
  <si>
    <t>расходы на выплаты персоналу государственных (муниципальных) органов</t>
  </si>
  <si>
    <t>Непрограммные расходы органов исполнительной власти Тосненского городского поселения Тосненского района Ленинградской области</t>
  </si>
  <si>
    <t>13</t>
  </si>
  <si>
    <r>
      <t xml:space="preserve"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(областной бюджет) </t>
    </r>
    <r>
      <rPr>
        <sz val="10"/>
        <color indexed="10"/>
        <rFont val="Times New Roman"/>
        <family val="1"/>
        <charset val="204"/>
      </rPr>
      <t/>
    </r>
  </si>
  <si>
    <t>иные межбюджетные трансферты</t>
  </si>
  <si>
    <t>99 9 01 00030</t>
  </si>
  <si>
    <t>Выполнение других обязательств муниципальных образований</t>
  </si>
  <si>
    <t xml:space="preserve">Обеспечение деятельности аппаратов органов местного самоуправления муниципального образования городского(сельского) поселения Тосненского района Ленинградско области </t>
  </si>
  <si>
    <t>870</t>
  </si>
  <si>
    <t>резервные средства</t>
  </si>
  <si>
    <t>99  9 00 00000</t>
  </si>
  <si>
    <t xml:space="preserve">Непрограммные расходы </t>
  </si>
  <si>
    <t xml:space="preserve">Обеспечение деятельности органов местного самоуравления муниципального образования Тельмановское сельское поселение Тосненского района Ленинградской области </t>
  </si>
  <si>
    <t>Администрация муниципального образования Тельмановское сельское поселениеТосненского района Ленинградской области</t>
  </si>
  <si>
    <t>06</t>
  </si>
  <si>
    <t xml:space="preserve">Иные межбюджетные трансферты бюджету района из бюджетов поселений на осуществление полномочий по внешнему муниципальному финансовому контролю </t>
  </si>
  <si>
    <t>Обеспечение деятельности аппаратов органов местного самоуправления Тосненского городского поселения Тосненского района Ленинградской области</t>
  </si>
  <si>
    <t>Обеспечение деятельности органов местного самоуравления муниципального образования Тельмановское сельское поселение Тосненского района Ленинградской области</t>
  </si>
  <si>
    <t>Обеспечение деятельности депутатов представительного органа муниципального образования Тельмановское сельское поселение  поселения Тосненского района Ленинградской области</t>
  </si>
  <si>
    <t>Обеспечение деятельности депутатов представительного органа местного самоуправления муниципального образования Тельмановское сельское поселение  Тосненского района Ленинградской области</t>
  </si>
  <si>
    <t>Обеспечение деятельности аппаратов органов местного самоуправления муниципального образования Тельмановское сельское поселение Тосненского района Ленинградской области</t>
  </si>
  <si>
    <t>Функционирование  законодательных (представительных) органов государственной власти и представительных органов муниципальных образований</t>
  </si>
  <si>
    <t>91 1 01 00030</t>
  </si>
  <si>
    <t xml:space="preserve">02 </t>
  </si>
  <si>
    <t xml:space="preserve">01 </t>
  </si>
  <si>
    <t>Обеспечение деятельности Главы Тосненского городского поселения Тосненского района Ленинградской области</t>
  </si>
  <si>
    <t>91 1 01 00000</t>
  </si>
  <si>
    <t>91 1 00 00000</t>
  </si>
  <si>
    <t>Обеспечение деятельности органов местного самоуравления Тосненского городского поселения Тосненского района Ленинградской области</t>
  </si>
  <si>
    <t>Функционирование высшего должностного лица субъекта РФ и муниципального образования</t>
  </si>
  <si>
    <t>Совет депутатов муниципального образования Тельмановское сельское поселение Тосненского района Ленинградской области</t>
  </si>
  <si>
    <t>ВСЕГО (без условно утвержденных расходов)</t>
  </si>
  <si>
    <t>Сумма на 2018 год</t>
  </si>
  <si>
    <t>Сумма на 2017 год</t>
  </si>
  <si>
    <t>Сумма на 2016 год</t>
  </si>
  <si>
    <t xml:space="preserve">ВР </t>
  </si>
  <si>
    <t>ЦСР</t>
  </si>
  <si>
    <t xml:space="preserve">ПР </t>
  </si>
  <si>
    <t xml:space="preserve">Рз </t>
  </si>
  <si>
    <t>Г</t>
  </si>
  <si>
    <t>№ п/п</t>
  </si>
  <si>
    <t>Контрол суммы</t>
  </si>
  <si>
    <t>РАСХОДОВ МЕСТНОГО БЮДЖЕТА</t>
  </si>
  <si>
    <t>ВЕДОМСТВЕННАЯ СТРУКТУРА</t>
  </si>
  <si>
    <t>изъятие зем уч-ков для мун. нужд</t>
  </si>
  <si>
    <t>Приложение  № 10</t>
  </si>
  <si>
    <t xml:space="preserve">     </t>
  </si>
  <si>
    <t>ВСЕГО</t>
  </si>
  <si>
    <t xml:space="preserve">Мероприятия по содержанию автомобильных дорог </t>
  </si>
  <si>
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 в 2015-2019 годах"</t>
  </si>
  <si>
    <t xml:space="preserve">Муниципальная программа "Развитие культуры муниципального образования Тельмановское сельское поселение Тосненского района Ленинградской области в 2015-2019 годах" </t>
  </si>
  <si>
    <t>изъятие зем участка под дорогой на Волков лес</t>
  </si>
  <si>
    <t>91 3 01 60650</t>
  </si>
  <si>
    <t>99 9 01 13300</t>
  </si>
  <si>
    <t>Приложение  № 2</t>
  </si>
  <si>
    <t>муниципального образования Тельмановское сельское поселение</t>
  </si>
  <si>
    <t xml:space="preserve">    от  "    " ноября 2015 года №  </t>
  </si>
  <si>
    <t>__________________________ Ю.Н. Кваша</t>
  </si>
  <si>
    <t xml:space="preserve">               ПРОГНОЗИРУЕМЫЕ</t>
  </si>
  <si>
    <t xml:space="preserve">поступления доходов в местный бюджет </t>
  </si>
  <si>
    <t>(тыс.руб.)</t>
  </si>
  <si>
    <t>Код бюджетной</t>
  </si>
  <si>
    <t xml:space="preserve">  Источник доходов</t>
  </si>
  <si>
    <t>2017 г</t>
  </si>
  <si>
    <t>утв на 01.10.12</t>
  </si>
  <si>
    <t>октябрь</t>
  </si>
  <si>
    <t>ноябрь</t>
  </si>
  <si>
    <t>утв на 03.11.12</t>
  </si>
  <si>
    <t>исп на 01.10.12</t>
  </si>
  <si>
    <t>2018 г</t>
  </si>
  <si>
    <t>классификации</t>
  </si>
  <si>
    <t xml:space="preserve">  1 00 00000 00 0000 000</t>
  </si>
  <si>
    <t>НАЛОГОВЫЕ И НЕНАЛОГОВЫЕ ДОХОДЫ</t>
  </si>
  <si>
    <t xml:space="preserve">  </t>
  </si>
  <si>
    <t>Налоги на прибыль, доходы</t>
  </si>
  <si>
    <t xml:space="preserve">          1 01 00000 00 0000 000</t>
  </si>
  <si>
    <t xml:space="preserve">  1 01 02000 01 0000 110</t>
  </si>
  <si>
    <t>Налог на доходы  физических лиц</t>
  </si>
  <si>
    <t xml:space="preserve">  1 03 00000 00 0000 000</t>
  </si>
  <si>
    <t>НАЛОГИ НА ТОВАРЫ (РАБОТЫ, УСЛУГИ), РЕАЛИЗУЕМЫЕ НА ТЕРРИТОРИИ РОССИЙСКОЙ ФЕДЕРАЦИИ</t>
  </si>
  <si>
    <t xml:space="preserve">  1 03 02000 01 0000 110</t>
  </si>
  <si>
    <t>Акцизы по подакцизным товарам (продукции), производимым на территории Российской Федерации</t>
  </si>
  <si>
    <t xml:space="preserve">  1 05 00000 00 0000 000</t>
  </si>
  <si>
    <t>НАЛОГИ НА СОВОКУПНЫЙ ДОХОД</t>
  </si>
  <si>
    <t xml:space="preserve">  1 05 03010 00 0000 110</t>
  </si>
  <si>
    <t>Единый сельскохозяйственный налог</t>
  </si>
  <si>
    <t xml:space="preserve">  1 06 00000 00 0000 000</t>
  </si>
  <si>
    <t>НАЛОГИ НА ИМУЩЕСТВО</t>
  </si>
  <si>
    <t xml:space="preserve">  1 06 01000 00 0000 110</t>
  </si>
  <si>
    <t>Налог на имущество физических лиц</t>
  </si>
  <si>
    <t xml:space="preserve">  1 06 04000 02 0000 110</t>
  </si>
  <si>
    <t>Транспортный налог</t>
  </si>
  <si>
    <t xml:space="preserve">  1 06 06000 00 0000 110</t>
  </si>
  <si>
    <t>Земельный налог</t>
  </si>
  <si>
    <t xml:space="preserve">  1 08 00000 00 0000 000</t>
  </si>
  <si>
    <t>ГОСУДАРСТВЕННАЯ ПОШЛИНА, СБОРЫ</t>
  </si>
  <si>
    <t xml:space="preserve">  1 08 04020 01 0000 110</t>
  </si>
  <si>
    <t>Государственная пошлина за совершение нотариальных действий</t>
  </si>
  <si>
    <t>должностными лицами органов местного самоуправления, уполномочен-</t>
  </si>
  <si>
    <t>ными в соответствии с законодательными актами Российской Федерации</t>
  </si>
  <si>
    <t>на совершение нотариальных действий</t>
  </si>
  <si>
    <t xml:space="preserve">  1 11 00000 00 0000 000</t>
  </si>
  <si>
    <t>ДОХОДЫ ОТ ИСПОЛЬЗОВАНИЯ ИМУЩЕСТВА,</t>
  </si>
  <si>
    <t>НАХОДЯЩЕГОСЯ В ГОСУДАРСТВЕННОЙ И</t>
  </si>
  <si>
    <t>МУНИЦИПАЛЬНОЙ СОБСТВЕННОСТИ</t>
  </si>
  <si>
    <t xml:space="preserve">  1 11 05013 10 0000 120</t>
  </si>
  <si>
    <t>Доходы,получаемые в виде арендной платы за земельные участки,</t>
  </si>
  <si>
    <t xml:space="preserve">государственная собственность на которые не разграничена и которые </t>
  </si>
  <si>
    <t xml:space="preserve">расположены в границах сельских поселений, а также средства от продажи права </t>
  </si>
  <si>
    <t>на заключение договоров аренды указанных земельных участков</t>
  </si>
  <si>
    <t xml:space="preserve">  1 11 05035 10 0000 120</t>
  </si>
  <si>
    <t>Доходы от сдачи в аренду имущества, находящегося в оперативном</t>
  </si>
  <si>
    <t xml:space="preserve">управлении органов управления сельских поселений и созданных </t>
  </si>
  <si>
    <t xml:space="preserve">ими учреждений (за исключением имущества муниципальных бюджетных </t>
  </si>
  <si>
    <t>и автономных учреждений)</t>
  </si>
  <si>
    <t xml:space="preserve">  1 11 05075 10 0000 120</t>
  </si>
  <si>
    <t>Доходы от сдачи в аренду имущества, составляющего казну</t>
  </si>
  <si>
    <t>сельских поселений (за исключением земельных участков)</t>
  </si>
  <si>
    <t xml:space="preserve">  1 11 09045 10 0000 120</t>
  </si>
  <si>
    <t xml:space="preserve">Прочие поступления от использования имущества,находящегося </t>
  </si>
  <si>
    <t xml:space="preserve"> в собственности сельских поселений (за исключением имущества муниципальных </t>
  </si>
  <si>
    <t xml:space="preserve">бюджетных и автономных учреждений, а также имущества муниципальных </t>
  </si>
  <si>
    <t>унитарных предприятий, в том числе казенных)</t>
  </si>
  <si>
    <t xml:space="preserve">  1 13 00000 00 0000 000</t>
  </si>
  <si>
    <t>КОМПЕНСАЦИИ ЗАТРАТ ГОСУДАРСТВА</t>
  </si>
  <si>
    <t xml:space="preserve">  1 13 01995 10 0000 130</t>
  </si>
  <si>
    <t>Прочие доходы от оказания платных услуг(работ) получателями</t>
  </si>
  <si>
    <t xml:space="preserve">средств бюджетов поселений </t>
  </si>
  <si>
    <t xml:space="preserve">  1 13 02995 10 0000 130</t>
  </si>
  <si>
    <t>Прочие доходы от компенсации затрат бюджетов сельских поселений</t>
  </si>
  <si>
    <t xml:space="preserve">  1 14 00000 00 0000 000</t>
  </si>
  <si>
    <t xml:space="preserve">ДОХОДЫ ОТ ПРОДАЖИ МАТЕРИАЛЬНЫХ И </t>
  </si>
  <si>
    <t xml:space="preserve">НЕМАТЕРИАЛЬНЫХ АКТИВОВ </t>
  </si>
  <si>
    <t xml:space="preserve">  1 14 01050 10 0000 410 </t>
  </si>
  <si>
    <t>Доходы от продажи квартир, находящихся в собственности поселений</t>
  </si>
  <si>
    <t xml:space="preserve">  1 14 02053 10 0000 410 </t>
  </si>
  <si>
    <t>Доходы от реализации иного имущества,находящегося</t>
  </si>
  <si>
    <t>в собственности сельских поселений (за исключением имущества</t>
  </si>
  <si>
    <t>муниципальных бюджетных и автономных учреждений, а также имущества</t>
  </si>
  <si>
    <t xml:space="preserve">муниципальных унитарных предприятий, в том числе казенных), </t>
  </si>
  <si>
    <t>в части реализации основных средств по указанному имуществу</t>
  </si>
  <si>
    <t xml:space="preserve">  1 14 06013 10 0000 430</t>
  </si>
  <si>
    <t xml:space="preserve">Доходы от продажи земельных участков, государственная собствен- </t>
  </si>
  <si>
    <t>ность на которые не разграничена и которые расположены</t>
  </si>
  <si>
    <t>в границах сельских поселений</t>
  </si>
  <si>
    <t xml:space="preserve">  1 16  00000 00 0000 000</t>
  </si>
  <si>
    <t>ШТРАФЫ, САНКЦИИ, ВОЗМЕЩЕНИЕ УЩЕРБА</t>
  </si>
  <si>
    <t xml:space="preserve">  1 16  90050 10 6000 000</t>
  </si>
  <si>
    <t>Прочие поступления от денежных взысканий (штрафов) и иных сумм в возмещение ущерба, зачисляемые в бюджеты сельских поселений (федеральные государственные органы, Банк России, органы управления государственными внебюджетными фондами Российской Федерации)</t>
  </si>
  <si>
    <t xml:space="preserve">  1 17  00000 00 0000 000</t>
  </si>
  <si>
    <t>ПРОЧИЕ НЕНАЛОГОВЫЕ ДОХОДЫ</t>
  </si>
  <si>
    <t xml:space="preserve">  1 17  05050 10 0000 180</t>
  </si>
  <si>
    <t>Прочие неналоговые доходы бюджетов сельских поселений</t>
  </si>
  <si>
    <t xml:space="preserve">  2 00 00000 00 0000 000</t>
  </si>
  <si>
    <t>БЕЗВОЗМЕЗДНЫЕ ПОСТУПЛЕНИЯ</t>
  </si>
  <si>
    <t>2 02 15001 10 0000 151</t>
  </si>
  <si>
    <t>2 02 01001 10 0002 151</t>
  </si>
  <si>
    <t>Дотации бюджетам сельских поселений на выравнивание уровня бюджетной обеспеченности (из районного фонда)</t>
  </si>
  <si>
    <t>2 02 29999 10 0000 151</t>
  </si>
  <si>
    <t>Прочие субсидии бюджетам поселений</t>
  </si>
  <si>
    <t>2 02 02216 10 0000 151</t>
  </si>
  <si>
    <t>Субсидии бюджетам поселений на осуществление дорожной деятельности в отношении автомобильных дорог общего пользования, а также капитального ремонта и ремонта дворовых территорий многоквартирных домов, проездов к дворовым территориям многоквартирных домов населенных пунктов</t>
  </si>
  <si>
    <t>2 02 02999 10 0014 151</t>
  </si>
  <si>
    <t>Субсидии бюджетам поселений на обеспечение выплат стимулирующего характера работникам муниципальных учреждений культуры Ленинградской области в рамках подпрограммы "Обеспечение условий реализации государственной программы" государственной программы Ленинг</t>
  </si>
  <si>
    <t>2 02 35118 10 0000 151</t>
  </si>
  <si>
    <t>Субвенции бюджетам сельских поселений на осуществление первичного воинского учета на территориях, где отсутствуют военные комиссариаты</t>
  </si>
  <si>
    <t>2 02 30024 10 0000 151</t>
  </si>
  <si>
    <t>2 02 04012 10 0000 151</t>
  </si>
  <si>
    <t>Межбюджетные трансферты, передаваемые бюджетам сельских поселений для компенсации дополнительных расходов, возникших в результате решений, принятых органами власти другого уровня</t>
  </si>
  <si>
    <t>2 02 04999 10 0003 151</t>
  </si>
  <si>
    <t>Иные межбюджетные трансферты из бюджета муниципального образования Тосненский район Ленинградской области бюджетам сельских поселений, расположенных на территории Тосненского района Ленинградской области, на оказание дополнительной финансовой помощи на во</t>
  </si>
  <si>
    <t>2 07 05000 10 0000 180</t>
  </si>
  <si>
    <t>Прочие безвозмездные поступления в бюджеты сельских поселений</t>
  </si>
  <si>
    <t>ВСЕГО ДОХОДОВ</t>
  </si>
  <si>
    <t>Приложение  № 8</t>
  </si>
  <si>
    <t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 в 2014-2016 годах" муниципальной программы "Безопасность в муниципальном образовании Тельмановское сельское поселение Тосненского района Ленинградской области в 2014-2016 годах"</t>
  </si>
  <si>
    <t xml:space="preserve">Мероприятия по обеспечению предупреждения и ликвидации последствий черезвычайных ситуаций и стихийных бедствий в рамках подпрограммы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 в 2014-2016 годах" </t>
  </si>
  <si>
    <t xml:space="preserve">Мероприятия в области пожарной безопасности  в рамках подпрограммы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 в 2014-2016 годах" </t>
  </si>
  <si>
    <t>Подпрограмма "Профилактика правонарушений, терроризма, экстремизма и противодействия незаконному потреблению и обороту наркотических средств на территории муниципального образования Тельмановское сельское поселение Тосненского района Ленинградской области" муниципальной программы "Безопасность в муниципальном образовании Тельмановское сельское поселение Тосненского района Ленинградской области в 2014-2016 годах"</t>
  </si>
  <si>
    <t xml:space="preserve">Мерпориятие по вовлечению в предупреждение правонарушений на территории городского (сельского) поселения Тосненского района Ленинградской области граждан и организаций, стимулирование и поддержка гражданских инциатив в рамках подпрограммы "Профилактика правонарушений, терроризма, экстремизма и противодействия незаконному потреблению и обороту наркотических средств на территории муниципального образования Тельмановское сельское поселение Тосненского района Ленинградской области" </t>
  </si>
  <si>
    <t>Подпрограмма "Поддержание и развитие существующей сети автомобильных дорог общего пользования местного значения"  муниципальной программы "Развитие автомобильных дорог в муниципальном образовании Тельмановское сельское поселение Тосненского района Ленинградской области в 2014-2016 годах"</t>
  </si>
  <si>
    <t xml:space="preserve">Мероприятия по капитальному ремонту и ремонту автомобильных дорог общего пользования местного значения, дворовых территорий многоквартирных домов, прездов к дворовым территориям многоквартирных домов, располеженных на территории в рамках подпрограммы "Поддержание и развитие существующей сети автомобильных дорог общего пользования местного значения"  </t>
  </si>
  <si>
    <t>Подпрограмма "Обеспечение условий для организации дорожного движения на территории" муниципальной программы "Развитие автомобильных дорог в муниципальном образовании Тельмановское сельское поселение Тосненского района Ленинградской области в 2014-2016 годах"</t>
  </si>
  <si>
    <t>Мероприятия по содержанию автомобильных дорог в рамках подпрограммы"Обеспечение условий для организации дорожного движения на территории" муниципальной программы "Развитие автомобильных дорог в муниципальном образовании Тельмановское сельское поселение Тосненского района Ленинградской области в 2014-2016 годах"</t>
  </si>
  <si>
    <t>Обеспечение деятельности инфраструктуры поддержки субъектов малого и среднего предпринимательства  в рамках муниципальной программы "Развитие и поддержка малого и среднего предпринимательства на территории муниципального образования Тельмановское сельское поселение Тосненского района Ленинградской области в 2014-2016 годах"</t>
  </si>
  <si>
    <t>Информационная и консультационная поддержка субъектов малого и среднего предпринимательства, развитие инфраструктуры поддержки малого и среднего предпринимательства муниципальной программы "Развитие и поддержка малого и среднего предпринимательства на территории муниципального образования Тельмановское сельское поселение Тосненского района Ленинградской области в 2014-2016 годах"</t>
  </si>
  <si>
    <t>Подпрограмма "Переселение граждан из аварийного жилищного фонда"  муниципальной программы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2014-2016 годах"</t>
  </si>
  <si>
    <t>Приобретение объектов недвижимого имущества для переселения граждан из аварийного жилищного фонда в рамках подпрограммы "Переселение граждан из аварийного жилищного фонда"  муниципальной программы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2014-2016 годах"</t>
  </si>
  <si>
    <t>Подпрограмма "Оказание поддержки гражданам, пострадавшим в результате пожара муниципального жилищного фонда" муниципальной программы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2014-2016 годах"</t>
  </si>
  <si>
    <t>Приобретение объектов недвижимого имущества для оказания поддержки гражданам, пострадавшим в результате пожара муниципального жилого фонда в рамках подпрограммы "Оказание поддержки гражданам, пострадавшим в результате пожара муниципального жилищного фонда"</t>
  </si>
  <si>
    <t>Бюджетные инвестиции в объекты капитального строительства объектов газификации (в том числе проектно-изыскательские работы) собственности муниципальных образований в рамках муниципальной программы "Газификация территории муниципального образования Тельмановское сельское поселение Тосненского района Ленинградской области в 2014-2016 годах"</t>
  </si>
  <si>
    <t>Мероприятия по повышению надежности и энергетической эффективности в рамках муниципальной программы "Энергосбережение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в 2014-2016 годах"</t>
  </si>
  <si>
    <r>
      <t xml:space="preserve">Мероприятия по развитию объектов благоустройства территории  муниципального образования  Тельмановское сельское поселение Тосненского района Ленинградской области </t>
    </r>
    <r>
      <rPr>
        <sz val="10"/>
        <rFont val="Times New Roman"/>
        <family val="1"/>
        <charset val="204"/>
      </rPr>
      <t>в рамках муниципальной программы  "Благоустройство территории  муниципального образования Тельмановское сельское поселение Тосненского района Ленинградской области в 2014-2016 годах"</t>
    </r>
  </si>
  <si>
    <t>Мероприятия по содержанию объектов благоустройства территории муниципального образования  Тельмановское сельское поселение Тосненского района Ленинградской области в рамках муниципальной программы  "Благоустройство территории  муниципального образования Тельмановское сельское поселение Тосненского района Ленинградской области в 2014-2016 годах"</t>
  </si>
  <si>
    <t xml:space="preserve">Подпрограмма "Молодежь муниципального образования Тельмановское сельское поселение Тосненского района Ленинградской области "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 </t>
  </si>
  <si>
    <t xml:space="preserve">Мероприятия в сфере молодежной политики  в рамках подпрограммы "Молодежь муниципального образования Тельмановское сельское поселение Тосненского района Ленинградской области "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 </t>
  </si>
  <si>
    <t xml:space="preserve">Подпрограмма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 </t>
  </si>
  <si>
    <t xml:space="preserve">Расходы на обеспечение деятельности муниципальных казенных учреждений в рамках подпрограммы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 </t>
  </si>
  <si>
    <t>Подпрограмма «Обеспечение условий реализации программы муниципального образования Тельмановское сельское поселение Тосненского района Ленинградской области»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</t>
  </si>
  <si>
    <t>Организация и проведение мероприятий в сфере культуры в рамках подпрограммы «Обеспечение условий реализации программы муниципального образования Тельмановское сельское поселение Тосненского района Ленинградской области»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</t>
  </si>
  <si>
    <t>Подпрограмма "Обеспечение жителей городского (сельского) поселения Тосненского района Ленинградской области услугами в сфере спорта, оздоровление и досуга" муниципальной программы "Развитие физической культуры и  спорта на территории городского (сельского)</t>
  </si>
  <si>
    <t>Расходы на обеспечение деятельности муниципальных казенных учреждений в рамках подпрограммы "Обеспечение жителей городского (сельского) поселения Тосненского района Ленинградской области услугами в сфере спорта, оздоровление и досуга" муниципальной програм</t>
  </si>
  <si>
    <t xml:space="preserve">Подпрограмма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в 2014 - 2016 годах" 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</si>
  <si>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в 2014 - 2016 годах" 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</si>
  <si>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Подпрограмма "Развитие физической культуры и массового спорта в муниципальном образовании Тельмановское сельское поселение Тосненского района Ленинградской области"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</si>
  <si>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Мероприятия по организации и проведение физкультурных спортивно-массовых  мероприятий в рамках подпрограммы "Развитие физической культуры и массового спорта в муниципальном образовании Тельмановское сельское поселение Тосненского района Ленинградской области"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</si>
  <si>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>Рз 
раздел</t>
  </si>
  <si>
    <t xml:space="preserve">ПР    подраздел          </t>
  </si>
  <si>
    <t>2016 год</t>
  </si>
  <si>
    <t xml:space="preserve">Подпрограмма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области" 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</si>
  <si>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</si>
  <si>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 в 2015-2019 годах" </t>
  </si>
  <si>
    <t xml:space="preserve">Подпрограмма "Профилактика правонарушений, терроризма, экстремизма и противодействия незаконному потреблению и обороту наркотических средств на территории муниципального образования Тельмановское сельское поселение Тосненского района Ленинградской области" </t>
  </si>
  <si>
    <t>Субсидия на решение вопросов местного значения межмуниципального характера в сфере архивного дела(местный бюджет) в рамках расходов на руководство и управление в сфере установленных фукнций органов государственной власти субъекта Российской Федерации и органов местного самоуправления</t>
  </si>
  <si>
    <t>Иные межбюджетные трансферты бюджету района из бюджетов поселений на осуществления отдельных полномочий по исполнению бюджета (местный бюджет) в рамках расходов на руководство и управление в сфере установленных фукнций органов государственной власти субъекта Российской Федерации и органов местного самоуправления</t>
  </si>
  <si>
    <t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(местный бюджет) в рамках расходов на руководство и управление в сфере установленных фукнций органов государственной власти субъекта Российской Федерации и органов местного самоуправления</t>
  </si>
  <si>
    <t>Иные межбюджетные трансферты бюджету района из бюджетов поселений на осуществление полномочий по внешнему муниципальному финансовому контролю в рамках расходов на руководство и управление в сфере установленных фукнций органов государственной власти субъекта Российской Федерации и органов местного самоуправления</t>
  </si>
  <si>
    <t xml:space="preserve">Обеспечение проведения выборов и референдумов в муниципальном образовании Тельмановское сельское поселение Тосненского района Ленинградской области </t>
  </si>
  <si>
    <t>99 9 01 12240</t>
  </si>
  <si>
    <t>Сумма на 2019 год</t>
  </si>
  <si>
    <t>2019 год</t>
  </si>
  <si>
    <t>Приложение  № 4</t>
  </si>
  <si>
    <t xml:space="preserve">поступления доходов в местный  бюджет </t>
  </si>
  <si>
    <t>МО Тельмановское СП Тосненского района Ленинградской области</t>
  </si>
  <si>
    <t>2019 г</t>
  </si>
  <si>
    <t>Дотации бюджетам сельских поселений на выравнивание  бюджетной обеспеченности (из районного фонда)</t>
  </si>
  <si>
    <t>к решению совета депутатов</t>
  </si>
  <si>
    <t xml:space="preserve">Тосненского района Ленинградской области </t>
  </si>
  <si>
    <t>2017 год
(тысяч рублей)</t>
  </si>
  <si>
    <t>2018 год
(тысяч рублей)</t>
  </si>
  <si>
    <t xml:space="preserve">                                                                  к решению совета депутатов</t>
  </si>
  <si>
    <t xml:space="preserve">                                                                  Тосненского района Ленинградской области</t>
  </si>
  <si>
    <t>Нормативы поступления доходов в местный бюджет</t>
  </si>
  <si>
    <t>от уплаты федеральных, региональных и местных налогов и сборов</t>
  </si>
  <si>
    <t>Наименование дохода</t>
  </si>
  <si>
    <t>Местный бюджет</t>
  </si>
  <si>
    <t>Налог на доходы физических лиц</t>
  </si>
  <si>
    <t>Доходы от передачи в аренду земельных участков</t>
  </si>
  <si>
    <t>Доходы от продажи земельных участков</t>
  </si>
  <si>
    <t>Доходы от сдачи в аренду имущества</t>
  </si>
  <si>
    <t>Доходы от оказания платных услуг</t>
  </si>
  <si>
    <t>Доходы от реализации иного имущества</t>
  </si>
  <si>
    <t>Приложение 7</t>
  </si>
  <si>
    <t>Тосненского района Ленинградской области</t>
  </si>
  <si>
    <t xml:space="preserve"> от «10 » июля 2014 года № 116 </t>
  </si>
  <si>
    <t>Приложение  №5</t>
  </si>
  <si>
    <r>
      <t xml:space="preserve">    от " </t>
    </r>
    <r>
      <rPr>
        <sz val="12"/>
        <color indexed="9"/>
        <rFont val="Times New Roman"/>
        <family val="1"/>
        <charset val="204"/>
      </rPr>
      <t>04</t>
    </r>
    <r>
      <rPr>
        <sz val="12"/>
        <rFont val="Times New Roman"/>
        <family val="1"/>
        <charset val="204"/>
      </rPr>
      <t xml:space="preserve"> " ноября 2015 года № </t>
    </r>
    <r>
      <rPr>
        <sz val="12"/>
        <color indexed="9"/>
        <rFont val="Times New Roman"/>
        <family val="1"/>
        <charset val="204"/>
      </rPr>
      <t xml:space="preserve">160  </t>
    </r>
  </si>
  <si>
    <t>Наименование  объекта</t>
  </si>
  <si>
    <t>Сумма,
тыс.рублей</t>
  </si>
  <si>
    <t>ИТОГО:</t>
  </si>
  <si>
    <t xml:space="preserve">                                                                  Приложение 13</t>
  </si>
  <si>
    <t>Приложение  № 7</t>
  </si>
  <si>
    <t xml:space="preserve"> Межбюджетные трансферты, передаваемые муниципальным образованием Тельмановское сельское поселение Тосненского района Ленинградской области муниципальному образованию Тосненский район Ленинградской области на исполнение полномочий</t>
  </si>
  <si>
    <t xml:space="preserve">Иные межбюджетные трансферты бюджету района из бюджетов поселений на осуществления  полномочий по формированию архивных фондов </t>
  </si>
  <si>
    <r>
      <t xml:space="preserve"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</t>
    </r>
    <r>
      <rPr>
        <sz val="10"/>
        <color indexed="10"/>
        <rFont val="Times New Roman"/>
        <family val="1"/>
        <charset val="204"/>
      </rPr>
      <t/>
    </r>
  </si>
  <si>
    <r>
      <t>Иные межбюджетные трансферты бюджету района из бюджетов поселений на осуществления отдельных полномочий по исполнению бюджета</t>
    </r>
    <r>
      <rPr>
        <sz val="10"/>
        <color indexed="10"/>
        <rFont val="Times New Roman"/>
        <family val="1"/>
        <charset val="204"/>
      </rPr>
      <t/>
    </r>
  </si>
  <si>
    <t>Сумма
(тыс. руб.)</t>
  </si>
  <si>
    <t>ИТОГО</t>
  </si>
  <si>
    <t>(тыс. руб.)</t>
  </si>
  <si>
    <t>Обеспечение выплат стимулирующего характера работникам учреждений культуры</t>
  </si>
  <si>
    <t>99 9 01 70360</t>
  </si>
  <si>
    <t>14</t>
  </si>
  <si>
    <t xml:space="preserve">Другие вопросы в области национальной безопасности и правоохранительной деятельности
</t>
  </si>
  <si>
    <t xml:space="preserve"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</t>
  </si>
  <si>
    <r>
      <t xml:space="preserve"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</t>
    </r>
    <r>
      <rPr>
        <sz val="10"/>
        <color indexed="10"/>
        <rFont val="Times New Roman"/>
        <family val="1"/>
        <charset val="204"/>
      </rPr>
      <t/>
    </r>
  </si>
  <si>
    <t xml:space="preserve">Подпрограмма «Обеспечение условий реализации муниципальной программы» </t>
  </si>
  <si>
    <t xml:space="preserve">Подпрограмма "Обеспечение условий для организации дорожного движения на территории муниципального образования Тельмановское сельское поселение Тосненского района Ленинградской области" </t>
  </si>
  <si>
    <r>
  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 в</t>
    </r>
    <r>
      <rPr>
        <sz val="8"/>
        <color indexed="10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2015-2019 годах</t>
    </r>
    <r>
      <rPr>
        <sz val="8"/>
        <color indexed="8"/>
        <rFont val="Arial"/>
        <family val="2"/>
        <charset val="204"/>
      </rPr>
      <t>"</t>
    </r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</si>
  <si>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sz val="8"/>
        <color indexed="10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2015-2019 годах</t>
    </r>
    <r>
      <rPr>
        <sz val="8"/>
        <color indexed="8"/>
        <rFont val="Arial"/>
        <family val="2"/>
        <charset val="204"/>
      </rPr>
      <t xml:space="preserve">" </t>
    </r>
  </si>
  <si>
    <t xml:space="preserve">        расходы на выплаты персоналу казенных учреждений</t>
  </si>
  <si>
    <t xml:space="preserve">        Расходы на выплаты персоналу казенных учреждений</t>
  </si>
  <si>
    <t>__________________________ Г.В.Сакулин</t>
  </si>
  <si>
    <t>2020 г</t>
  </si>
  <si>
    <t>2020 год</t>
  </si>
  <si>
    <t>Сумма на 2020 год</t>
  </si>
  <si>
    <t xml:space="preserve">                                  от  "  " декабря 2017 года № </t>
  </si>
  <si>
    <t>на 2018 год и плановый период 2019 и 2020 годов</t>
  </si>
  <si>
    <t>___________________ Г.В.Сакулин</t>
  </si>
  <si>
    <t>Подпрограмма "Жилье для молодежи"</t>
  </si>
  <si>
    <t>Основное мероприятие "Улучшение жилищных условий молодых граждан (молодых семей)"</t>
  </si>
  <si>
    <t>Обеспечение мероприятия по предоставлению социальных выплат молодым гражданам и молодым семьям, в том числе многодетным семьям, нуждающимся в улучшении жилищных условий</t>
  </si>
  <si>
    <t>Социальное обеспечение и иные выплаты населению</t>
  </si>
  <si>
    <t>Подпрограмма "Поддержка граждан, нуждающихся в улучшении жилищных условий, на основе принципов ипотечного кредитования в Ленинградской области"</t>
  </si>
  <si>
    <t>15 1 00 00000</t>
  </si>
  <si>
    <t>15 1 01 00000</t>
  </si>
  <si>
    <t>15 1 01 S0750</t>
  </si>
  <si>
    <t>15 2 00 00000</t>
  </si>
  <si>
    <t>15 2 01 00000</t>
  </si>
  <si>
    <t>15 2 01 S0740</t>
  </si>
  <si>
    <t>300</t>
  </si>
  <si>
    <t xml:space="preserve">Муниципальная программа "Обеспечение качественным жильем граждан на территории муниципального образования Тельмановское сельское поселение  Тосненского района Ленинградской области " </t>
  </si>
  <si>
    <t>99 9 01 70140</t>
  </si>
  <si>
    <t xml:space="preserve">Мероприятия по капитальному ремонту и ремонт автомобильных дорог общего пользования местного значения (областной бюджет) </t>
  </si>
  <si>
    <t xml:space="preserve">Дотации бюджетам сельских поселений на выравнивание  
бюджетной обеспеченности </t>
  </si>
  <si>
    <t>Обеспечение деятельности Главы муниципального образования Тельмановское сельское поселение Тосненского района Ленинградской области</t>
  </si>
  <si>
    <t>Обеспечение деятельности органов местного самоуправления муниципального образования Тельмановское сельское поселение  Тосненского района Ленинградской области</t>
  </si>
  <si>
    <t>Обеспечение деятельности Главы муниципального образования Тельмановское сельское поселение</t>
  </si>
  <si>
    <t xml:space="preserve">Адресная инвестиционная программа </t>
  </si>
  <si>
    <t xml:space="preserve">муниципального образования Тельмановское сельское поселение Тосненского района Ленинградской области </t>
  </si>
  <si>
    <t>Мощность объекта</t>
  </si>
  <si>
    <t>Ед. изм.</t>
  </si>
  <si>
    <t>Сроки производства работ</t>
  </si>
  <si>
    <t>Направление инвестирования</t>
  </si>
  <si>
    <t>Сумма на 2017 год,
тыс.рублей</t>
  </si>
  <si>
    <t>Разработка проектно-сметной документации по строительству объекта «Распределительный газопровод по территории малоэтажной застройки ПЖСК «Волков лес» МО Тельмановское сельское поселение Тосненского района Ленинградской области»</t>
  </si>
  <si>
    <t xml:space="preserve">в подземном исполнении  6356 </t>
  </si>
  <si>
    <t>м.п</t>
  </si>
  <si>
    <t>проектирование</t>
  </si>
  <si>
    <t>экспертиза</t>
  </si>
  <si>
    <t>Разработка проектной документации по объекту: «Реконструкция системы водоснабжения п. Войскорово Тосненского района Ленинградской области»</t>
  </si>
  <si>
    <t>м3/сут</t>
  </si>
  <si>
    <t>2016-2018</t>
  </si>
  <si>
    <t>проектно-изыскательские работы</t>
  </si>
  <si>
    <t>Муниципальная программа "Газификация территории муниципального образования Тельмановское сельское поселение Тосненского района Ленинградской области"</t>
  </si>
  <si>
    <t>Проектирование внутрипоселкового газопровода дер. Ям-Ижора МО Тельмановское сельское поселение Тосненского района Ленинградской области</t>
  </si>
  <si>
    <t>в подземном исполнении  около 10000</t>
  </si>
  <si>
    <t>ДОХОДЫ ОТ ОКАЗАНИЯ ПЛАТНЫХ УСЛУГ (РАБОТ) И</t>
  </si>
  <si>
    <t>Субсидии бюджетам сельских поселений на осуществление дорожной деятельности в отношении автомобильных дорог общего пользования, а также капитального ремонта и ремонта дворовых территорий многоквартирных домов, проездов к дворовым территориям многоквартирных домов населенных пунктов (ремонт автомобильных дорог общего пользования местного значения)</t>
  </si>
  <si>
    <t>Субвенции бюджетам сельских поселений на выполнение передаваемых полномочий субъектов Российской Федерации (на выполнение передаваемых полномочий Ленинградской области в сфере административнных правоотношений)</t>
  </si>
  <si>
    <t>Прочие субсидии бюджетам сельских поселений (на обеспечение выплат стимулирующег характера работникам учреждений культуры )</t>
  </si>
  <si>
    <t>Мероприятия по содержанию автомобильных дорог, расположенных на территории МО Тельмановское сельское поселения Тосненского района Ленинградской области в рамках непрограммных расходов Тосненского городского поселения Тосненского района Ленинградской области</t>
  </si>
  <si>
    <t xml:space="preserve">    от  "  " декабря  2018 года № </t>
  </si>
  <si>
    <t xml:space="preserve">    от  " " декабря 2018  года № </t>
  </si>
  <si>
    <t>2021 г</t>
  </si>
  <si>
    <t xml:space="preserve">     от  "  " декабря 2018  года № </t>
  </si>
  <si>
    <t>классификации расходов бюджетов  на 2019 год</t>
  </si>
  <si>
    <t xml:space="preserve">от  "  "  декабря 2019  № </t>
  </si>
  <si>
    <t>классификации расходов бюджетов  на плановый период 2020 и 2021 годов</t>
  </si>
  <si>
    <t>2021 год</t>
  </si>
  <si>
    <t xml:space="preserve">    от "  " декабря 2018 года № </t>
  </si>
  <si>
    <t>на 2019 год</t>
  </si>
  <si>
    <t xml:space="preserve">    от " " декабря 2018 года № </t>
  </si>
  <si>
    <t>на плановый период 2020 и 2021 годов</t>
  </si>
  <si>
    <t>Сумма на 2021 год</t>
  </si>
  <si>
    <t xml:space="preserve">                                  от  "  " декабря 2018 года № </t>
  </si>
  <si>
    <t xml:space="preserve">Муниципальная программа "Развитие физической культуры и   спорта в муниципальном образовании Тельмановское сельское поселение Тосненского района Ленинградской области" </t>
  </si>
  <si>
    <t>Муниципальная программа "Развитие и поддержка малого и среднего предпринимательства в муниципальном образовании Тельмановское сельское поселение Тосненского района Ленинградской области"</t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</si>
  <si>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</t>
    </r>
    <r>
      <rPr>
        <b/>
        <sz val="10"/>
        <color indexed="8"/>
        <rFont val="Times New Roman"/>
        <family val="1"/>
        <charset val="204"/>
      </rPr>
      <t xml:space="preserve">" </t>
    </r>
  </si>
  <si>
    <t xml:space="preserve">Подпрограмма "Молодежь в муниципальном образовании Тельмановское сельское поселение Тосненского района Ленинградской области" </t>
  </si>
  <si>
    <r>
      <t xml:space="preserve">Муниципальная программа "Развитие культуры муниципального образования Тельмановское сельское поселение Тосненского района Ленинградской области </t>
    </r>
    <r>
      <rPr>
        <b/>
        <sz val="10"/>
        <color indexed="8"/>
        <rFont val="Times New Roman"/>
        <family val="1"/>
        <charset val="204"/>
      </rPr>
      <t xml:space="preserve">" </t>
    </r>
  </si>
  <si>
    <t xml:space="preserve">Подпрограмма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</t>
  </si>
  <si>
    <t>Муниципальная программа "Безопасность в муниципальном образовании Тельмановское сельское поселение Тосненского района Ленинградской области"</t>
  </si>
  <si>
    <t xml:space="preserve"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области" </t>
  </si>
  <si>
    <t>Муниципальная программа "Развите автомобильных дорог в муниципальном образовании Тельмановское сельское поселение Тосненского района Ленинградской области "</t>
  </si>
  <si>
    <r>
  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</t>
    </r>
    <r>
      <rPr>
        <b/>
        <sz val="10"/>
        <color indexed="8"/>
        <rFont val="Times New Roman"/>
        <family val="1"/>
        <charset val="204"/>
      </rPr>
      <t>"</t>
    </r>
  </si>
  <si>
    <t>Субсидии юридическим лицам (кроме некоммерческих организаций), индивидуальным предпринимателям, физическим лицам – производителям товаров, работ, услуг</t>
  </si>
  <si>
    <t>Муниципальна программа "Обеспечение устойчивого финкционирования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"</t>
  </si>
  <si>
    <t>Мероприятия в сфере поддержки издательств и периодических средств массовой информации, в том числе периодических изданий, учрежденных органами местного самоуправления</t>
  </si>
  <si>
    <t>99 9 01 13730</t>
  </si>
  <si>
    <t>Периодическая печать и издательства</t>
  </si>
  <si>
    <t>Закупка товаров, работ и услуг для обеспечения  государственных (муниципальных нужд)</t>
  </si>
  <si>
    <t xml:space="preserve">Мероприятия направленные на формирование уставного фонда муниципального унитарного предприятия для организации деятельности по водоснабжению и водоотведению на территории муниципального образования </t>
  </si>
  <si>
    <t>99 9 01 60870</t>
  </si>
  <si>
    <t xml:space="preserve">Субсидии на пополнение оборотных средств предприятиям коммунального хозяйства </t>
  </si>
  <si>
    <t>99 9 01 06910</t>
  </si>
  <si>
    <t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</t>
  </si>
  <si>
    <t>Муниципальная программа "Развите автомобильных дорог в муниципальном образовании Тельмановское сельское поселение Тосненского района Ленинградской области"</t>
  </si>
  <si>
    <t>Муниципальна программа "Обеспечение устойчивого финкционирования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области"</t>
  </si>
  <si>
    <t>Мероприятия направленные на осуществление деятельности предприятий коммунального хозяйтва на территории поселения водоотведению на территории муниципального образования</t>
  </si>
  <si>
    <t>Мероприятия направленные на пополнение оборотных средств предприятиям коммунального хозяйства  муниципального образования</t>
  </si>
  <si>
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области"</t>
  </si>
  <si>
    <t xml:space="preserve">Муниципальная программа "Развитие культуры муниципального образования Тельмановское сельское поселение Тосненского района Ленинградской области" </t>
  </si>
  <si>
    <t xml:space="preserve">Муниципальная программа "Развитие культуры муниципального образования Тельмановское сельское поселение Тосненского района Ленинградской области " </t>
  </si>
  <si>
    <t>Средства массовой информации</t>
  </si>
  <si>
    <t>Мероприятия в сфере поддержкииздательств и периодических средств массовой информации, в том числе периодических изданий, учрежденных органами местного самоуправления</t>
  </si>
  <si>
    <t>Приложение  № 5</t>
  </si>
  <si>
    <t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области"</t>
  </si>
  <si>
    <r>
      <t>Мероприятия по обеспечению предупреждения и ликвидации последствий черезвычайных ситуаций и стихийных бедствий</t>
    </r>
    <r>
      <rPr>
        <sz val="8"/>
        <color indexed="10"/>
        <rFont val="Times New Roman"/>
        <family val="1"/>
        <charset val="204"/>
      </rPr>
      <t xml:space="preserve"> </t>
    </r>
  </si>
  <si>
    <t xml:space="preserve">Обеспечение деятельности аппаратов органов местного самоуправления муниципального образования городского(сельского) поселения Тосненского района Ленинградской области </t>
  </si>
  <si>
    <r>
      <t>Мероприятия по содержанию автомобильных дорог</t>
    </r>
    <r>
      <rPr>
        <sz val="8"/>
        <color indexed="10"/>
        <rFont val="Times New Roman"/>
        <family val="1"/>
        <charset val="204"/>
      </rPr>
      <t xml:space="preserve"> </t>
    </r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</si>
  <si>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</t>
    </r>
    <r>
      <rPr>
        <sz val="8"/>
        <color indexed="8"/>
        <rFont val="Times New Roman"/>
        <family val="1"/>
        <charset val="204"/>
      </rPr>
      <t xml:space="preserve">" </t>
    </r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</si>
  <si>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b/>
        <sz val="8"/>
        <color indexed="10"/>
        <rFont val="Times New Roman"/>
        <family val="1"/>
        <charset val="204"/>
      </rPr>
      <t xml:space="preserve"> </t>
    </r>
    <r>
      <rPr>
        <b/>
        <sz val="8"/>
        <rFont val="Times New Roman"/>
        <family val="1"/>
        <charset val="204"/>
      </rPr>
      <t>2015-2019 годах</t>
    </r>
    <r>
      <rPr>
        <b/>
        <sz val="8"/>
        <color indexed="8"/>
        <rFont val="Times New Roman"/>
        <family val="1"/>
        <charset val="204"/>
      </rPr>
      <t xml:space="preserve">" </t>
    </r>
  </si>
  <si>
    <t xml:space="preserve">           на плановый период  2020 и 2021 годов</t>
  </si>
  <si>
    <t>от  "  "  декабря 2018  №</t>
  </si>
  <si>
    <t xml:space="preserve">               на  2019  год и на плановый период 2020 и 2021 годов</t>
  </si>
  <si>
    <t>Приложение  № 6</t>
  </si>
  <si>
    <t>Основное мероприятие "Формирование комфортной городской среды на благоустройство дворовой территории многоквартирных домов"</t>
  </si>
  <si>
    <t>Закупка товаров,  работ и услуг для обеспечения государственных (муниципальных) нужд</t>
  </si>
  <si>
    <t>Муниципальная программа "Формирование комфортной среды на территории муниципального образования Тельмановское сельское поселение Тосненского района Ленинградской области на 2019-2021 годы"</t>
  </si>
  <si>
    <t>Обеспечение мероприятий по формированию современной городской среды муниципального образования Тельмановское сельское поселение Тосненского района Ленинградской области</t>
  </si>
  <si>
    <t>Основное мероприятие "Формирование комфортной городской среды на благоустройство  общественной территории сельского поселения "</t>
  </si>
  <si>
    <t>27 0 00 00000</t>
  </si>
  <si>
    <t>27 0 01 00000</t>
  </si>
  <si>
    <t>27 0 01 L5550</t>
  </si>
  <si>
    <t>200</t>
  </si>
  <si>
    <t>27 0 02 00000</t>
  </si>
  <si>
    <t>27 0 02 L5550</t>
  </si>
  <si>
    <t>99 9 01 S0360</t>
  </si>
  <si>
    <t>содержание контрактная служба</t>
  </si>
  <si>
    <t>м.п.</t>
  </si>
  <si>
    <t>Реконструкция (ремонт и прокладка новых) тепловых сетей в пос. Тельмана муниципального образования Тельмановскоесельское поселениеТоснсенкого района Ленинградской области</t>
  </si>
  <si>
    <t>ремонт и прокдадка новых тепловых сетей</t>
  </si>
  <si>
    <t>Муниципальная программа "Обеспечение устойчивого функционирования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области"</t>
  </si>
  <si>
    <t>Молодежная политика</t>
  </si>
  <si>
    <t>99 9 01 S0140</t>
  </si>
  <si>
    <t xml:space="preserve">Мероприятия по капитальному ремонту и ремонт автомобильных дорог общего пользования местного значения  </t>
  </si>
  <si>
    <t xml:space="preserve">Мероприятия по капитальному ремонту и ремонт автомобильных дорог общего пользования местного значения </t>
  </si>
  <si>
    <t>на 2019 год и на плановый период 2020 и 2021 годов</t>
  </si>
  <si>
    <t>классификации расходов бюджетов  на 2019 год и на плановый период 2020 и 2021 годов</t>
  </si>
  <si>
    <t>07 2 01 S0360</t>
  </si>
  <si>
    <t>2 07 05030 10 0000 150</t>
  </si>
  <si>
    <t>2 02 30024 10 0000 150</t>
  </si>
  <si>
    <t>2 02 35118 10 0000 150</t>
  </si>
  <si>
    <t>2 02 29999 10 0000 150</t>
  </si>
  <si>
    <t xml:space="preserve">2 02 20216 10 0000 150 </t>
  </si>
  <si>
    <t>2 02 15001 10 0000 150</t>
  </si>
  <si>
    <t>итого</t>
  </si>
  <si>
    <t>Приложение №8</t>
  </si>
  <si>
    <t>тыс.руб.</t>
  </si>
  <si>
    <t>Наименование  направления</t>
  </si>
  <si>
    <t>Сумма  на 2020 год</t>
  </si>
  <si>
    <t>Сумма  на 2021 год</t>
  </si>
  <si>
    <t xml:space="preserve">Объем и распределение бюджетных ассгнований дорожного фонда бюджета </t>
  </si>
  <si>
    <t>10 1 01 S0140</t>
  </si>
  <si>
    <t>072 01 S0360</t>
  </si>
  <si>
    <t>Основное мероприятие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расположенных на территории муниципального образования Тельмановское сельское поселение Тосненского района Ленинградской области "</t>
  </si>
  <si>
    <t>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расположенных на территории муниципального образования Тельмановское сельское поселение Тосненского района Ленинградской области</t>
  </si>
  <si>
    <t>Мероприятия по капитальному ремонту и ремонт автомобильных дорог общего пользования местного значения</t>
  </si>
  <si>
    <t>Ямочный ремонт муниципальных дорог в поселке Тельмана</t>
  </si>
  <si>
    <t>Ямочный ремонт проездов к дворовым территориям многоквартирных домов  поселке Тельмана</t>
  </si>
  <si>
    <t xml:space="preserve">    от  "  " декабря  2019 года № </t>
  </si>
  <si>
    <t xml:space="preserve">               на  2020  год и на плановый период 2021 и 2022 годов</t>
  </si>
  <si>
    <t>2022 г</t>
  </si>
  <si>
    <t>классификации расходов бюджетов  на 2020 год и на плановый период 2021 и 2022 годов</t>
  </si>
  <si>
    <t>на 2020 год и на плановый период 2021 и 2022 годов</t>
  </si>
  <si>
    <t>Сумма на 2022 год</t>
  </si>
  <si>
    <t>2022 год</t>
  </si>
  <si>
    <t xml:space="preserve">на 2020 год </t>
  </si>
  <si>
    <t>Штрафы, неустойки, пени, уплаченные в случае просрочки исполнения поставщиком (подрядчиком, исполнителем) обязательств, предусмотренных муниципальным контрактом, заключенным муниципальным органом, казенным учреждением сельского поселения</t>
  </si>
  <si>
    <t xml:space="preserve">  1 16  07010 10 6000 140</t>
  </si>
  <si>
    <t xml:space="preserve">2 02 20077 10 0000 150 </t>
  </si>
  <si>
    <t>Субсидии бюджетам сельских поселений на софинансирование капитальных вложений в объекты муниципальной собственности</t>
  </si>
  <si>
    <t>исполнение судебных актов</t>
  </si>
  <si>
    <t>Поощрение органов местного самоуправления муниципальных образований Ленинградской области за достижение наилучших результатов социально - экономического развития Ленинградской области</t>
  </si>
  <si>
    <t>99 9 01 76020</t>
  </si>
  <si>
    <t>99 9 01 11570</t>
  </si>
  <si>
    <t xml:space="preserve">Мероприятия по капитальному ремонту и ремонту муниципального жилищного фонда </t>
  </si>
  <si>
    <t>11 0 01 S0200</t>
  </si>
  <si>
    <t>Основное мероприятие "Реализация мероприятий по обеспечнию устойчивого функционирования объектов теплоснабжения"</t>
  </si>
  <si>
    <t>13 0 02 00000</t>
  </si>
  <si>
    <t>Мероприятия по обеспечнию устойчивого функционирования объектов теплоснабжения пос.Тельмана</t>
  </si>
  <si>
    <t>13 0 02 S0160</t>
  </si>
  <si>
    <t>Муниципальная программа «Реализация инициативных предложений  населения сельских населенных пунктов муниципального образования Тельмановское сельское поселение Тосненского района Ленинградской области на 2019-2024 годы»</t>
  </si>
  <si>
    <t>29 0 00 00000</t>
  </si>
  <si>
    <t>Основное мероприятие "Повышение уровня благоустройства и безопасности проживания на части территории, являющейся административным центром поселения"</t>
  </si>
  <si>
    <t>29 0 01 00000</t>
  </si>
  <si>
    <t>Повышение  уровня благоустройства и безопасности проживания на части  территории муниципального образования Тельмановское сельское поселение Тосненского района Ленинградской области</t>
  </si>
  <si>
    <t>29 0 01 S4770</t>
  </si>
  <si>
    <t>Федеральный проект "Формирование комфортной городской среды"</t>
  </si>
  <si>
    <t>27 0 F2 00000</t>
  </si>
  <si>
    <t>Реализация программ формирования современной городской среды</t>
  </si>
  <si>
    <t>27 0 F2 55550</t>
  </si>
  <si>
    <t>Основное мероприятие "Поддержка проектов местных инциатив граждан"</t>
  </si>
  <si>
    <t>Мероприятия по развитию на части территории муниципального образования Тельмановское сельское поселение Тосненского района Ленинградской области иных форм местного самоуправления</t>
  </si>
  <si>
    <t>Муниципальная программа «Грантовая плддержка местных инициатив граждан, проживающих в сельской местности на 2019-2024 годы»</t>
  </si>
  <si>
    <t>30 0 00 00000</t>
  </si>
  <si>
    <t>Подпрограмма "Благоустройство  внутридворовой территории муниципального образования Тельмановское сельское поселение Тосненского района Ленинградской области"</t>
  </si>
  <si>
    <t>30 1 00 00000</t>
  </si>
  <si>
    <t>Основное мероприятие "Повышение уровня благоустройства и безопасности проживания на части территории муниципального образования Тельмановское сельское поселение Тосненского района Ленинградской области"</t>
  </si>
  <si>
    <t>30 1 01 00000</t>
  </si>
  <si>
    <t>Благоустройство спортивной и детской площадки внутридворовой территории муниципального образования Тельмановское сельское поселение Тосненского района Ленинградской области</t>
  </si>
  <si>
    <t>30 1 01 S5670</t>
  </si>
  <si>
    <t>Субсидии на возмещение фактически понесенных затрат на выполнение работ по содержанию и эксплуатации объектов уличного освещения на территории МО Тельмановское СП Тосненского района Ленинградской области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</si>
  <si>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</si>
  <si>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Мероприятия по развитию общественной инфраструктуры муниципального значения</t>
  </si>
  <si>
    <t>99 9 01 72020</t>
  </si>
  <si>
    <t>Мероприятия в сфере молодежной политики</t>
  </si>
  <si>
    <t xml:space="preserve">Совет депутатов муниципального образования Тельмановское сельское поселение Тосненского  района  Ленинградской  области </t>
  </si>
  <si>
    <t>044</t>
  </si>
  <si>
    <t>Основное мероприятие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располеженных на территории"</t>
  </si>
  <si>
    <t>29 0 01 S4660</t>
  </si>
  <si>
    <t>Сумма  на 2022 год</t>
  </si>
  <si>
    <t>30 1 02 06070</t>
  </si>
  <si>
    <t>БОРЩЕВИК</t>
  </si>
  <si>
    <t>25 0 00 00000</t>
  </si>
  <si>
    <t>25 0 01 00000</t>
  </si>
  <si>
    <t>25 0 01 04310</t>
  </si>
  <si>
    <t>Закупка товаров, работ и услуг для обеспечения государственных (муниципальных) нужд</t>
  </si>
  <si>
    <t>Муниципальная программа "Борьба с борщевиком Сосновского на территории муниципального образования Тельмановское сельское поселение Тосненского района Ленинградской области "</t>
  </si>
  <si>
    <t>Основное мероприятие "Мероприятие по борьбе с борщевиком Сосновского на территории муниципального образования Тельмановское сельское поселение Тосненского района Ленинградской области"</t>
  </si>
  <si>
    <t>Мероприятие по борьбе с борщевиком Сосновского на территории муниципального образования Тельмановское сельское поселение Тосненского района Ленинградской области</t>
  </si>
  <si>
    <t>25 0 01 S4310</t>
  </si>
  <si>
    <t>Подпрограмма "Развитие  иных форм местного самоуправления на территории муниципального образования Тельмановское сельское поселение Тосненского района Ленинградской области"</t>
  </si>
  <si>
    <t xml:space="preserve">Обеспечение мероприятия по  участию населения в осуществлении местного самоуправления в иных формах </t>
  </si>
  <si>
    <t>15 2 01 S4660</t>
  </si>
  <si>
    <t>04 3 02 S5670</t>
  </si>
  <si>
    <t>Основное мероприятие "Комплексное обустройство населенных пунктов, расположенных в сельской местности, объектами социальной и инженерной инфраструктуры"</t>
  </si>
  <si>
    <t>Обеспечение устойчивого развития сельских территорий</t>
  </si>
  <si>
    <t>Муниципальная программа "Развитие части территорий муниципального образования Тельмановское сельское поселение Тосненского района Ленинградской области "</t>
  </si>
  <si>
    <t>400</t>
  </si>
  <si>
    <t>Капитальные вложения в объекты государственной (муниципальной) собственности</t>
  </si>
  <si>
    <t>100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</si>
  <si>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</si>
  <si>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800</t>
  </si>
  <si>
    <t>Иные бюджетные ассигнования</t>
  </si>
  <si>
    <t>500</t>
  </si>
  <si>
    <t>Муниципальная программа «Реализация инициативных предложений  населения сельских населенных пунктов муниципального образования Тельмановское сельское поселение Тосненского района Ленинградской области»</t>
  </si>
  <si>
    <t xml:space="preserve">  Иные бюджетные ассигнования</t>
  </si>
  <si>
    <t>Межбюджетные трансферты</t>
  </si>
  <si>
    <t>Другие вопросы в области национальной безопасности и правоохранительной деятельности</t>
  </si>
  <si>
    <t xml:space="preserve">Проектирование с строительство </t>
  </si>
  <si>
    <t>Муниципальная программа "Обеспечение населения Никольского городского поселения Тосненского района Ленинградской области питьевой водой"</t>
  </si>
  <si>
    <t>Наименование объекта</t>
  </si>
  <si>
    <t>Бюджетополучатель</t>
  </si>
  <si>
    <t>Источники финансирования</t>
  </si>
  <si>
    <t>Сумма, тыс. рублей</t>
  </si>
  <si>
    <t>Ввод в эксплуатацию объекта</t>
  </si>
  <si>
    <t>2021г.</t>
  </si>
  <si>
    <t xml:space="preserve">Администрация Никольского                 городского поселения Тосненского района Ленинградской области </t>
  </si>
  <si>
    <t>местный бюджет</t>
  </si>
  <si>
    <t>областной бюджет</t>
  </si>
  <si>
    <t>Итого по объекту</t>
  </si>
  <si>
    <t>Расширение и реконструкция площадки резервуаров чистой воды водопроводной насосной станции 3-го подъема Никольского городского поселения , расположенных по адресу: Ленинградская область, Тосненский район, г. Никольское, ул. Заводская  (строительно-монтажные работы)</t>
  </si>
  <si>
    <t>Реконструкция канализационных очистных сооружений г. Никольское  (проектно-изыскательские работы)</t>
  </si>
  <si>
    <t>Строительство водовода от магистрального водовода "Невский водопровод" до площадки резервуаров чистой воды г. Никольское (проектно-изыскательские работы)</t>
  </si>
  <si>
    <t>по Муниципальной программе</t>
  </si>
  <si>
    <t>х</t>
  </si>
  <si>
    <t>по адресным инвестициям</t>
  </si>
  <si>
    <t xml:space="preserve">  на 2020 год и на плановый период 2021 и 2022 годов</t>
  </si>
  <si>
    <t xml:space="preserve">Администрация муниципального образования Тельмановское сельское поселение Тосненского района Ленинградской области </t>
  </si>
  <si>
    <t>Проектирование и строительство спортивной площадки на территории МО Тельмановское сельское поселение Тосненского района Ленинградской области</t>
  </si>
  <si>
    <t>тыс.рубл.</t>
  </si>
  <si>
    <t>Адресная инвестиционная программа муниципального образования Тельмановское сельское поселение Тосненского района Ленинградской области на 2020 год и на плановый период 2021 и 2022 годов</t>
  </si>
  <si>
    <t>Муниципальная программа "Формирование комфортной городской среды на территории муниципального образования Тельмановское сельское поселение Тосненского района Ленинградской области"</t>
  </si>
  <si>
    <t>Муниципальная программа "Формирование комфортной городской среды на территории муниципального образования Тельмановское сельское поселение Тосненского района Ленинградской области "</t>
  </si>
  <si>
    <t>Муниципальная программа «Грантовая плддержка местных инициатив граждан, проживающих в сельской местности»</t>
  </si>
  <si>
    <t>2020-2022</t>
  </si>
  <si>
    <t>2 02 45160 10 0000 150</t>
  </si>
  <si>
    <t>Межбюджетные трансферты, передаваемые бюджетам сельских поселений для компенсации дополнительных расходов, возникших в результате решений, принятых органами власти другого уровня(депутатские средства)</t>
  </si>
  <si>
    <t>Прочие субсидии бюджетам сельских поселений (субсидии на реализацию областного закона от 28 декабря 2018 г. № 147-оз «О старостах сельских населенных пунктов Ленинградской области и содействии участию населения в осуществлении местного самоуправления в иных формах на частях территории муниципальных образований Ленинградской области )</t>
  </si>
  <si>
    <t>Прочие субсидии бюджетам сельских поселений (субсидии на на реализацию комплекса мероприятий по борьбе с борщевиком Сосновского на территориях муниципальных образований Ленинградской области)</t>
  </si>
  <si>
    <t>Прочие субсидии бюджетам сельских поселений (субсидии бюджетам сельских поселений на реализацию областного закона от 15 января 2018 года № 3-оз "О содействии участию населения в осуществлении местного самоуправления в иных формах на территориях административных центров муниципальных образований Ленинградской области")</t>
  </si>
  <si>
    <t xml:space="preserve">    от  "16" декабря  2019 года № 131</t>
  </si>
  <si>
    <t>99 9 01 12040</t>
  </si>
  <si>
    <t xml:space="preserve">  1 16  07010 10 0000 140</t>
  </si>
  <si>
    <t>99 9 01 S4840</t>
  </si>
  <si>
    <t>Поддержка развития общественной инфраструктуры муниципального значения</t>
  </si>
  <si>
    <t>031</t>
  </si>
  <si>
    <t>ТЕРРИТОРИАЛЬНАЯ ИЗБИРАТЕЛЬНАЯ КОМИССИЯ ТОСНЕНСКОГО МУНИЦИПАЛЬНОГО РАЙОНА ЛЕНИНГРАДСКОЙ ОБЛАСТИ</t>
  </si>
  <si>
    <t xml:space="preserve">Обеспечение проведения выборов и референдумов </t>
  </si>
  <si>
    <t xml:space="preserve">Непрограммные расходы органов исполнительной власти муниципального образования  поселения Тосненского района Ленинградской области </t>
  </si>
  <si>
    <t>Специальные расходы</t>
  </si>
  <si>
    <t>880</t>
  </si>
  <si>
    <t xml:space="preserve">Обеспечение проведения выборов и референдумов в муниципальном образовании Тельмановское сельское поселении Тосненского района Ленинградской области </t>
  </si>
  <si>
    <t>12 0 02 S4840</t>
  </si>
  <si>
    <t>12 0 02 00000</t>
  </si>
  <si>
    <t>Основное мероприятие "Развитие общественной инфраструктуры муниципального значения в МО Тельмановское СП Тосненского района Ленинградской области"</t>
  </si>
  <si>
    <t>Мепоприятия по поддержке развития общественной инфраструктуры муниципального значения</t>
  </si>
  <si>
    <t>2 07 05020 10 0000 150</t>
  </si>
  <si>
    <t>Поступления от денежных пожертвований, предоставляемых физическими лицами получателям средств бюджетов сельских поселений</t>
  </si>
  <si>
    <t>2 04 05099 10 0000 150</t>
  </si>
  <si>
    <t>Прочие безвозмездные поступления от негосударственных организаций в бюджеты сельских поселений</t>
  </si>
  <si>
    <t>Объект «Распределительный газопровод по территории малоэтажной застройки ИЖС п.Тельмана МО Тельмановское сельское поселение Тосненского района Ленинградской области»
ПИР</t>
  </si>
  <si>
    <t>Объект "Распределительный газопровод по территории дер. Ям-Ижора МО Тельмановское сельское поселение Тосненского района Ленинградской области"
1 этап
2 этап</t>
  </si>
  <si>
    <t>27 001 00000</t>
  </si>
  <si>
    <t>27 0 01 S4750</t>
  </si>
  <si>
    <t>Реализация мероприятий по благоустройству дворовой территории муниципального образования Тельмановское сельское поселение Тосненского района Ленинградской области</t>
  </si>
  <si>
    <t>Основное мероприятие "Формирование комфортной городской среды по благоустройству дворовой территории муниципального образования Тельмановское сельское поселение Тосненского района Ленинградской области"</t>
  </si>
  <si>
    <t xml:space="preserve">    от  "   " мая  2020 года № </t>
  </si>
  <si>
    <t xml:space="preserve">    от  "   " мая  2020 года №  </t>
  </si>
  <si>
    <t xml:space="preserve">Итого по программе </t>
  </si>
  <si>
    <t>Объект «Распределительный газопровод по территории малоэтажной застройки ИЖС п.Тельмана МО Тельмановское сельское поселение Тосненского района Ленинградской области»
ПИР                                                                  Строительство</t>
  </si>
  <si>
    <t>Объект "Распределительный газопровод по территории дер. Ям-Ижора МО Тельмановское сельское поселение Тосненского района Ленинградской области"
1 этап
ПИР                                                                                       Стротельство</t>
  </si>
  <si>
    <t>Итого по этапу</t>
  </si>
  <si>
    <t>2 этап                                                                       ПИР                                                            Строительство</t>
  </si>
  <si>
    <t>благоустройство</t>
  </si>
  <si>
    <t>Муниципальная программа "Развитие автомобильных дорог в муниципальном образовании Тельмановское сельское поселение Тосненского района Ленинградской области"</t>
  </si>
  <si>
    <t>Муниципальная программа "Обустройство новых контейнерных площадок на территории МО Тельмановское СП"</t>
  </si>
  <si>
    <t>19 0 00 00000</t>
  </si>
  <si>
    <t>19 0 01 0000</t>
  </si>
  <si>
    <t xml:space="preserve">Основное мероприятие "Обеспечение реализации государственных функций в сфере обращения с отходами"
</t>
  </si>
  <si>
    <t>19 0 01 S4790</t>
  </si>
  <si>
    <t>Муниципальная программа «Обустройство новых контейнерных площадок на территории МО Тельмановское СП»</t>
  </si>
  <si>
    <t>19 0 01 00000</t>
  </si>
  <si>
    <t>Основное мероприятие "Обеспечение реализации государственных функций в сфере обращения с отходами"</t>
  </si>
  <si>
    <t>Мероприятия по организации сбора и вывоза бытовых отходов с  территории муниципального образования Тельмановское сельское поселение Тосненского района Ленинградской области</t>
  </si>
  <si>
    <t xml:space="preserve">Мероприятия по организации сбора и вывоза бытовых отходов с  территории муниципального образования Тельмановское сельское поселение Тосненского района </t>
  </si>
  <si>
    <t>Прочие  субсидии бюджетам сельских поселений (субсидии на мероприятия по созданию мест (площадок) накопления твердых коммунальных отходов</t>
  </si>
  <si>
    <t>Ремонт муниципальных дорог в поселке Тельмана</t>
  </si>
  <si>
    <t>Ремонт проездов к дворовым территориям многоквартирных домов  поселке Тельмана</t>
  </si>
  <si>
    <t xml:space="preserve">    от  "  " июня  2020 года № </t>
  </si>
  <si>
    <t>2 02 4999 10 0000 150</t>
  </si>
  <si>
    <t>Прочие межбюджетные трансферты, передаваемые бюджетам сельских поселений (по увековечению памяти погибших при защите Отечества)</t>
  </si>
  <si>
    <t>Прочие  субсидии бюджетам сельских поселений ( субсидии на реализацию мероприятий по обеспечению устойчивого функционирования объектов теплоснабжения)</t>
  </si>
  <si>
    <t>Прочие  субсидии бюджетам сельских поселений ( субсидии на реализацию мероприятий по установке автоматизированных индивидуальных тепловых пунктов с погодным и часовым регулированием)</t>
  </si>
  <si>
    <t>2 02 25576 10 0000 150</t>
  </si>
  <si>
    <t>13 0 03 00000</t>
  </si>
  <si>
    <t>13 0 03 S0810</t>
  </si>
  <si>
    <t>Основное мероприятие "Реализация мероприятий поэнергосбережению и повышению энергетической эффективности "</t>
  </si>
  <si>
    <t>Мероприятия по установке автоматизированных индивидуальных тепловых пунктов с погодным и часовым регулированием</t>
  </si>
  <si>
    <t>Сельское хозяйство и рыболовство</t>
  </si>
  <si>
    <t>31 0 00 00000</t>
  </si>
  <si>
    <t>31 1 00 00000</t>
  </si>
  <si>
    <t>31 1 01 00000</t>
  </si>
  <si>
    <t>31 1 01 L5760</t>
  </si>
  <si>
    <t xml:space="preserve">Подпрограмма "Развитие благоустройства территории муниципального образования Тельмановского поселения Тосненского района Ленинградской </t>
  </si>
  <si>
    <t xml:space="preserve">Основное мероприятие "Благоустройство территории муниципального образования Тельмановское сельского поселения Тосненского района </t>
  </si>
  <si>
    <t>Мероприятия по комплексному развитию сельских территорий</t>
  </si>
  <si>
    <t>Основное мероприятие "Реализация мероприятий по энергосбережению и повышению энергетической эффективности "</t>
  </si>
  <si>
    <t>31 2 00 00000</t>
  </si>
  <si>
    <t>31 2 01 00000</t>
  </si>
  <si>
    <t>31 2 01 S5670</t>
  </si>
  <si>
    <t>Мероприятия по развитию сети учреждений культурно-досугового типа, социального назначения и сети спортивных сооружений на сельских территориях</t>
  </si>
  <si>
    <t>99 9 01 06040</t>
  </si>
  <si>
    <t>Мероприятие по увековечиванию памяти погибших при защите Отечества</t>
  </si>
  <si>
    <t>99 9 01 11160</t>
  </si>
  <si>
    <t>99 9 0111160</t>
  </si>
  <si>
    <t xml:space="preserve">Муниципальная программа "Комплексное развитие территории муниципального образования Тель мановского сельского поселения Тосненского района" </t>
  </si>
  <si>
    <t>Строительство, в т.ч. проектирование Дома культуры</t>
  </si>
  <si>
    <t>Строительство универсальной спортивной площадки в пос. Тельмана</t>
  </si>
  <si>
    <t>Строительство универсальной спортивной площадки в пос. Войскорово</t>
  </si>
  <si>
    <t>2021-2022</t>
  </si>
  <si>
    <t>2021-2023</t>
  </si>
  <si>
    <t>Строительство, в т.ч. проектирование ФОКа с универсальным спортивным залом в пос. Тельмана</t>
  </si>
  <si>
    <t>2 02 16001 10 0000 150</t>
  </si>
  <si>
    <t>Дотации бюджетам сельских поселений на выравнивание  бюджетной обеспеченности из бюджетов муниципальных районов</t>
  </si>
  <si>
    <t>Прочие  субсидии бюджетам сельских поселений (на поддержку развития общественной инфраструктуры муниципального значения)</t>
  </si>
  <si>
    <t>Подпрограмма "Современный облик территории муниципального образования Тельмановское сельское поселение Тосненского района Ленинградской области"</t>
  </si>
  <si>
    <t>Основное мероприятие "Развитие сети учреждений культурно-досугового типа, социального назначения на сельских территориях"</t>
  </si>
  <si>
    <t xml:space="preserve">Мероприятия по обеспечнию устойчивого функционирования объектов теплоснабжения </t>
  </si>
  <si>
    <t>Мероприятия по бюджетным инвестициям в объекты капитального строительства объектов газификации (в том числе проектно-изыскательские работы)</t>
  </si>
  <si>
    <t>99 9 0114250</t>
  </si>
  <si>
    <t xml:space="preserve"> Мероприятия по строительству и реконструкции объектов водоснабжения, водоотведения и очистки сточных вод</t>
  </si>
  <si>
    <t xml:space="preserve">  1 14 06025 10 0000 430 </t>
  </si>
  <si>
    <t>Доходы от продажи земельных участков, находящихся в собственности сельских поселений (за исключением земельных участков муниципальных бюджетных и автономных учреждений)</t>
  </si>
  <si>
    <t xml:space="preserve">               на  2021  год и на плановый период 2022 и 2023 годов</t>
  </si>
  <si>
    <t>классификации расходов бюджетов  на 2021 год и на плановый период 2022 и 2023 годов</t>
  </si>
  <si>
    <t>2023 год</t>
  </si>
  <si>
    <t>2023 г</t>
  </si>
  <si>
    <t xml:space="preserve">  на 2021 год и на плановый период 2022 и 2023 годов</t>
  </si>
  <si>
    <t xml:space="preserve">    от  "13" мая  2020 года № 168</t>
  </si>
  <si>
    <t xml:space="preserve">на 2021 год </t>
  </si>
  <si>
    <t>на 2021 год и на плановый период 2022 и 2023 годов</t>
  </si>
  <si>
    <t>Сумма на 2023 год</t>
  </si>
  <si>
    <t>Сумма  на 2023 год</t>
  </si>
  <si>
    <t>Сохранение целевых показателей повышения оплаты труда работников муниципальных учреждений культуры в соответствии с Указом Президента Российской Федерации от 7 мая 2012 года № 597 "О мероприятиях по реализации государственной социальной политики"</t>
  </si>
  <si>
    <t>Защита населения и территории от  чрезвычайных ситуаций природного и техногенного характера, пожарная безопасность</t>
  </si>
  <si>
    <t>условно утвержденные расходы</t>
  </si>
  <si>
    <t>Всего с условно утвержденными</t>
  </si>
  <si>
    <t>Адресная инвестиционная программа муниципального образования Тельмановское сельское поселение Тосненского района Ленинградской области на 2021 год и на плановый период 2022 и 2023 годов</t>
  </si>
  <si>
    <t>Ремонт участков асфальтобетонного покрытия и обочин муниципальных автомобильных дорог общего пользования местного значения МО Тельмановское СП</t>
  </si>
  <si>
    <t>Муниципальная программа "Комплексное развитие территории муниципального образования Тель мановского сельского поселения Тосненского района"</t>
  </si>
  <si>
    <t>Муниципальная программа  "Комплексное развитие территории муниципального образования Тель мановского сельского поселения Тосненского района"</t>
  </si>
  <si>
    <t>Подпрограмма "Предупреждение и ликвидация чрезвычайных ситуаций, обеспечение пожарной безопасности на территории муниципального образования Тельмановское сельское поселение Тосненского района Ленинградской области</t>
  </si>
  <si>
    <t xml:space="preserve">Подпрограмма "Предупреждение и ликвидация чрезвычайных ситуаций, обеспечение пожарной безопасности на территории муниципального образования Тельмановское сельское поселение Тосненского района Ленинградской области" </t>
  </si>
  <si>
    <t>Прочие субсидии бюджетам сельских поселений (субсидии на сохранение целевых показателей повышения оплаты труда работников муниципальных учреждений культуры в соответствии с Указом Президента Российской Федерации от 7 мая 2012 года № 597 "О мероприятиях по реализации государственной социальной политики"</t>
  </si>
  <si>
    <t>Прочие  субсидии бюджетам сельских поселений (субсидии на материально-техническое обеспечение деятельности молодежных коворкинг-центров)</t>
  </si>
  <si>
    <t>07 1 02 00000</t>
  </si>
  <si>
    <t>Материально-техническое обеспечение молодежных коворкинг-центров</t>
  </si>
  <si>
    <t>07 1 02 S4820</t>
  </si>
  <si>
    <t>07 1 02 14820</t>
  </si>
  <si>
    <t>Основное мероприятие "Молодежь в муниципальном образовании Тельмановское сельское поселение Тосненского района Ленинградской области"</t>
  </si>
  <si>
    <t>Мероприятия по ремонту помещений для размещения молодежных коворкинг-центров</t>
  </si>
  <si>
    <t xml:space="preserve">    от  "22" декабря  2020 года № 187 </t>
  </si>
  <si>
    <t xml:space="preserve">    от  "22" декабря  2020 года № 187</t>
  </si>
  <si>
    <t xml:space="preserve">    от  "  " февраля  2021 года № </t>
  </si>
  <si>
    <t>Субсидии бюджетам сельских поселений на осуществление дорожной деятельности в отношении автомобильных дорог общего пользования, а также капитального ремонта и ремонта дворовых территорий многоквартирных домов, проездов к дворовым территориям многоквартирных домов населенных пунктов (ремонт автомобильных дорог общего пользования местного значения, имеющих приоритетный социально-значимый характер)</t>
  </si>
  <si>
    <t>Субсидии бюджетам сельских поселений на обеспечение комплексного развития сельских территорий (благоустройство территории)</t>
  </si>
  <si>
    <t>10 1 01 S4200</t>
  </si>
  <si>
    <t>Капитальный ремонт и ремонт автомобильных дорог общего пользования местного значения, имеющих приоритетный социально значимый характер, расположенных на территории муниципального образования Тельмановское сельское поселение Тосненского района Ленинградской области</t>
  </si>
  <si>
    <t xml:space="preserve">    от  "  " апреля  2021 года №  </t>
  </si>
  <si>
    <t>99 9 01 05760</t>
  </si>
  <si>
    <t>Приложение  № 3</t>
  </si>
  <si>
    <t>Иные межбюджетные трансферты бюджету района из бюджетов поселений на осуществления отдельных полномочий по осуществлению градостроительной деятельности</t>
  </si>
  <si>
    <r>
      <t xml:space="preserve">Иные межбюджетные трансферты бюджету района из бюджетов поселений на осуществления отдельных полномочий в области градостроительной деятельности </t>
    </r>
    <r>
      <rPr>
        <sz val="10"/>
        <color indexed="10"/>
        <rFont val="Times New Roman"/>
        <family val="1"/>
        <charset val="204"/>
      </rPr>
      <t/>
    </r>
  </si>
  <si>
    <t>Приложение № 8</t>
  </si>
  <si>
    <t>Приложение  № 1</t>
  </si>
  <si>
    <t xml:space="preserve">    от  "13" мая  2021 года № 216  </t>
  </si>
  <si>
    <t xml:space="preserve">     от  "13" мая  2021 года № 216  </t>
  </si>
  <si>
    <t xml:space="preserve">    от  "13"  мая  2021 года № 216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</si>
</sst>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41" formatCode="_-* #,##0_р_._-;\-* #,##0_р_._-;_-* &quot;-&quot;_р_._-;_-@_-"/>
    <numFmt numFmtId="43" formatCode="_-* #,##0.00_р_._-;\-* #,##0.00_р_._-;_-* &quot;-&quot;??_р_._-;_-@_-"/>
    <numFmt numFmtId="164" formatCode="_-* #,##0.00\ _₽_-;\-* #,##0.00\ _₽_-;_-* &quot;-&quot;??\ _₽_-;_-@_-"/>
    <numFmt numFmtId="165" formatCode="_(* #,##0.00_);_(* \(#,##0.00\);_(* &quot;-&quot;??_);_(@_)"/>
    <numFmt numFmtId="166" formatCode="0.000"/>
    <numFmt numFmtId="167" formatCode="_(* #,##0.000_);_(* \(#,##0.000\);_(* &quot;-&quot;??_);_(@_)"/>
    <numFmt numFmtId="168" formatCode="#,##0.000"/>
    <numFmt numFmtId="169" formatCode="?"/>
    <numFmt numFmtId="170" formatCode="_(&quot;$&quot;* #,##0.00_);_(&quot;$&quot;* \(#,##0.00\);_(&quot;$&quot;* &quot;-&quot;??_);_(@_)"/>
    <numFmt numFmtId="171" formatCode="_-* #,##0.000_р_._-;\-* #,##0.000_р_._-;_-* &quot;-&quot;???_р_._-;_-@_-"/>
    <numFmt numFmtId="172" formatCode="000000"/>
    <numFmt numFmtId="173" formatCode="00000\-0000"/>
    <numFmt numFmtId="174" formatCode="#,##0.00000"/>
    <numFmt numFmtId="175" formatCode="#,##0.000_ ;\-#,##0.000\ "/>
    <numFmt numFmtId="176" formatCode="_-* #,##0.000_р_._-;\-* #,##0.000_р_._-;_-* &quot;-&quot;??_р_._-;_-@_-"/>
    <numFmt numFmtId="177" formatCode="_-* #,##0.00000_р_._-;\-* #,##0.00000_р_._-;_-* &quot;-&quot;??_р_._-;_-@_-"/>
    <numFmt numFmtId="178" formatCode="#,##0.00_ ;[Red]\-#,##0.00\ "/>
    <numFmt numFmtId="179" formatCode="#,##0.0000"/>
    <numFmt numFmtId="180" formatCode="_-* #,##0.00000_р_._-;\-* #,##0.00000_р_._-;_-* &quot;-&quot;???_р_._-;_-@_-"/>
    <numFmt numFmtId="181" formatCode="_-* #,##0.00000_р_._-;\-* #,##0.00000_р_._-;_-* &quot;-&quot;?????_р_._-;_-@_-"/>
    <numFmt numFmtId="182" formatCode="_-* #,##0.000\ _₽_-;\-* #,##0.000\ _₽_-;_-* &quot;-&quot;???\ _₽_-;_-@_-"/>
    <numFmt numFmtId="183" formatCode="#,##0.00000_ ;\-#,##0.00000\ "/>
    <numFmt numFmtId="184" formatCode="0.00000"/>
    <numFmt numFmtId="185" formatCode="#,##0.0000000_ ;\-#,##0.0000000\ "/>
  </numFmts>
  <fonts count="111" x14ac:knownFonts="1">
    <font>
      <sz val="10"/>
      <name val="Arial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name val="Arial"/>
      <family val="2"/>
      <charset val="204"/>
    </font>
    <font>
      <sz val="10"/>
      <color indexed="10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9"/>
      <color indexed="8"/>
      <name val="Arial"/>
      <family val="2"/>
      <charset val="204"/>
    </font>
    <font>
      <sz val="9"/>
      <name val="Times New Roman"/>
      <family val="1"/>
      <charset val="204"/>
    </font>
    <font>
      <b/>
      <sz val="10"/>
      <color indexed="8"/>
      <name val="Arial"/>
      <family val="2"/>
      <charset val="204"/>
    </font>
    <font>
      <i/>
      <sz val="10"/>
      <name val="Times New Roman"/>
      <family val="1"/>
      <charset val="204"/>
    </font>
    <font>
      <sz val="10"/>
      <color indexed="8"/>
      <name val="Arial"/>
      <family val="2"/>
      <charset val="204"/>
    </font>
    <font>
      <b/>
      <sz val="12"/>
      <color indexed="8"/>
      <name val="Times New Roman"/>
      <family val="1"/>
      <charset val="204"/>
    </font>
    <font>
      <b/>
      <sz val="10"/>
      <color indexed="10"/>
      <name val="Times New Roman"/>
      <family val="1"/>
      <charset val="204"/>
    </font>
    <font>
      <i/>
      <sz val="10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name val="Times New Roman CYR"/>
      <charset val="204"/>
    </font>
    <font>
      <b/>
      <sz val="11"/>
      <color indexed="8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Arial"/>
      <family val="2"/>
      <charset val="204"/>
    </font>
    <font>
      <sz val="11"/>
      <color indexed="8"/>
      <name val="Times New Roman"/>
      <family val="1"/>
      <charset val="204"/>
    </font>
    <font>
      <sz val="11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9"/>
      <name val="Arial"/>
      <family val="2"/>
      <charset val="204"/>
    </font>
    <font>
      <sz val="12"/>
      <color indexed="9"/>
      <name val="Times New Roman"/>
      <family val="1"/>
      <charset val="204"/>
    </font>
    <font>
      <sz val="10"/>
      <color indexed="9"/>
      <name val="Arial"/>
      <family val="2"/>
      <charset val="204"/>
    </font>
    <font>
      <sz val="12"/>
      <name val="Times New Roman"/>
      <family val="1"/>
    </font>
    <font>
      <u/>
      <sz val="12"/>
      <name val="Times New Roman"/>
      <family val="1"/>
      <charset val="204"/>
    </font>
    <font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8"/>
      <name val="Arial"/>
      <family val="2"/>
      <charset val="204"/>
    </font>
    <font>
      <sz val="8"/>
      <color indexed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indexed="8"/>
      <name val="Arial"/>
      <family val="2"/>
      <charset val="204"/>
    </font>
    <font>
      <b/>
      <sz val="8"/>
      <color indexed="10"/>
      <name val="Arial"/>
      <family val="2"/>
      <charset val="204"/>
    </font>
    <font>
      <sz val="8"/>
      <color indexed="10"/>
      <name val="Arial"/>
      <family val="2"/>
      <charset val="204"/>
    </font>
    <font>
      <i/>
      <sz val="8"/>
      <color indexed="8"/>
      <name val="Arial"/>
      <family val="2"/>
      <charset val="204"/>
    </font>
    <font>
      <b/>
      <sz val="13"/>
      <name val="Times New Roman"/>
      <family val="1"/>
      <charset val="204"/>
    </font>
    <font>
      <u/>
      <sz val="10"/>
      <name val="Arial"/>
      <family val="2"/>
      <charset val="204"/>
    </font>
    <font>
      <i/>
      <sz val="8"/>
      <name val="Arial"/>
      <family val="2"/>
      <charset val="204"/>
    </font>
    <font>
      <b/>
      <sz val="8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Arial"/>
      <family val="2"/>
      <charset val="204"/>
    </font>
    <font>
      <sz val="12"/>
      <name val="Arial Cyr"/>
      <charset val="204"/>
    </font>
    <font>
      <b/>
      <sz val="14"/>
      <name val="Times New Roman"/>
      <family val="1"/>
      <charset val="204"/>
    </font>
    <font>
      <b/>
      <sz val="12"/>
      <name val="Arial Cyr"/>
      <charset val="204"/>
    </font>
    <font>
      <sz val="12"/>
      <color indexed="8"/>
      <name val="Times New Roman"/>
      <family val="1"/>
      <charset val="204"/>
    </font>
    <font>
      <sz val="12"/>
      <name val="Arial"/>
      <family val="2"/>
      <charset val="204"/>
    </font>
    <font>
      <sz val="9"/>
      <name val="Arial"/>
      <family val="2"/>
      <charset val="204"/>
    </font>
    <font>
      <sz val="10"/>
      <color theme="0"/>
      <name val="Arial"/>
      <family val="2"/>
      <charset val="204"/>
    </font>
    <font>
      <b/>
      <sz val="10"/>
      <name val="Arial Cyr"/>
      <charset val="204"/>
    </font>
    <font>
      <sz val="12"/>
      <name val="Times New Roman CYR"/>
      <charset val="204"/>
    </font>
    <font>
      <sz val="12"/>
      <name val="Arial Narrow"/>
      <family val="2"/>
      <charset val="204"/>
    </font>
    <font>
      <sz val="10"/>
      <name val="Arial Narrow"/>
      <family val="2"/>
      <charset val="204"/>
    </font>
    <font>
      <sz val="8"/>
      <name val="Times New Roman"/>
      <family val="1"/>
    </font>
    <font>
      <sz val="13"/>
      <name val="Times New Roman"/>
      <family val="1"/>
      <charset val="204"/>
    </font>
    <font>
      <b/>
      <sz val="10"/>
      <name val="Times New Roman CYR"/>
      <charset val="204"/>
    </font>
    <font>
      <sz val="9"/>
      <color rgb="FF00000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i/>
      <sz val="10"/>
      <name val="Times New Roman"/>
      <family val="1"/>
      <charset val="204"/>
    </font>
    <font>
      <sz val="8"/>
      <color indexed="8"/>
      <name val="Times New Roman"/>
      <family val="1"/>
      <charset val="204"/>
    </font>
    <font>
      <b/>
      <i/>
      <sz val="10"/>
      <color indexed="8"/>
      <name val="Times New Roman"/>
      <family val="1"/>
      <charset val="204"/>
    </font>
    <font>
      <b/>
      <u/>
      <sz val="10"/>
      <color indexed="8"/>
      <name val="Arial"/>
      <family val="2"/>
      <charset val="204"/>
    </font>
    <font>
      <u/>
      <sz val="10"/>
      <color indexed="8"/>
      <name val="Arial"/>
      <family val="2"/>
      <charset val="204"/>
    </font>
    <font>
      <sz val="14"/>
      <name val="Times New Roman"/>
      <family val="1"/>
      <charset val="204"/>
    </font>
    <font>
      <sz val="9"/>
      <color indexed="8"/>
      <name val="Times New Roman"/>
      <family val="1"/>
      <charset val="204"/>
    </font>
    <font>
      <b/>
      <sz val="9"/>
      <name val="Times New Roman"/>
      <family val="1"/>
      <charset val="204"/>
    </font>
    <font>
      <i/>
      <sz val="8"/>
      <name val="Times New Roman"/>
      <family val="1"/>
      <charset val="204"/>
    </font>
    <font>
      <b/>
      <sz val="9"/>
      <name val="Arial"/>
      <family val="2"/>
      <charset val="204"/>
    </font>
    <font>
      <b/>
      <sz val="8"/>
      <color indexed="8"/>
      <name val="Times New Roman"/>
      <family val="1"/>
      <charset val="204"/>
    </font>
    <font>
      <i/>
      <sz val="8"/>
      <color indexed="8"/>
      <name val="Times New Roman"/>
      <family val="1"/>
      <charset val="204"/>
    </font>
    <font>
      <sz val="8"/>
      <color indexed="10"/>
      <name val="Times New Roman"/>
      <family val="1"/>
      <charset val="204"/>
    </font>
    <font>
      <b/>
      <sz val="8"/>
      <color indexed="10"/>
      <name val="Times New Roman"/>
      <family val="1"/>
      <charset val="204"/>
    </font>
    <font>
      <i/>
      <sz val="10"/>
      <color indexed="8"/>
      <name val="Arial"/>
      <family val="2"/>
      <charset val="204"/>
    </font>
    <font>
      <i/>
      <sz val="10"/>
      <name val="Arial"/>
      <family val="2"/>
      <charset val="204"/>
    </font>
    <font>
      <sz val="10"/>
      <color rgb="FFFF0000"/>
      <name val="Arial"/>
      <family val="2"/>
      <charset val="204"/>
    </font>
    <font>
      <b/>
      <u/>
      <sz val="1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2"/>
      <name val="Times New Roman"/>
      <family val="1"/>
    </font>
    <font>
      <b/>
      <u/>
      <sz val="12"/>
      <name val="Times New Roman"/>
      <family val="1"/>
      <charset val="204"/>
    </font>
    <font>
      <b/>
      <sz val="10"/>
      <color theme="0"/>
      <name val="Arial"/>
      <family val="2"/>
      <charset val="204"/>
    </font>
    <font>
      <b/>
      <sz val="11"/>
      <color rgb="FFFF0000"/>
      <name val="Calibri"/>
      <family val="2"/>
      <charset val="204"/>
      <scheme val="minor"/>
    </font>
    <font>
      <b/>
      <sz val="10"/>
      <color rgb="FFFF0000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8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4"/>
      <name val="Arial"/>
      <family val="2"/>
      <charset val="204"/>
    </font>
    <font>
      <sz val="14"/>
      <name val="Arial"/>
      <family val="2"/>
      <charset val="204"/>
    </font>
    <font>
      <i/>
      <sz val="11"/>
      <name val="Arial"/>
      <family val="2"/>
      <charset val="204"/>
    </font>
    <font>
      <i/>
      <sz val="11"/>
      <name val="Arial Cyr"/>
      <charset val="204"/>
    </font>
    <font>
      <i/>
      <sz val="14"/>
      <name val="Arial"/>
      <family val="2"/>
      <charset val="204"/>
    </font>
    <font>
      <sz val="9"/>
      <color theme="0"/>
      <name val="Times New Roman"/>
      <family val="1"/>
      <charset val="204"/>
    </font>
    <font>
      <sz val="10"/>
      <color theme="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i/>
      <sz val="11"/>
      <name val="Times New Roman"/>
      <family val="1"/>
      <charset val="204"/>
    </font>
    <font>
      <i/>
      <sz val="14"/>
      <name val="Times New Roman"/>
      <family val="1"/>
      <charset val="204"/>
    </font>
    <font>
      <b/>
      <i/>
      <sz val="10"/>
      <color indexed="8"/>
      <name val="Arial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0"/>
      </patternFill>
    </fill>
    <fill>
      <patternFill patternType="solid">
        <fgColor indexed="55"/>
        <bgColor indexed="64"/>
      </patternFill>
    </fill>
    <fill>
      <patternFill patternType="solid">
        <fgColor indexed="55"/>
        <bgColor indexed="0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79998168889431442"/>
        <bgColor indexed="64"/>
      </patternFill>
    </fill>
  </fills>
  <borders count="8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56">
    <xf numFmtId="0" fontId="0" fillId="0" borderId="0"/>
    <xf numFmtId="165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0" fontId="7" fillId="0" borderId="0"/>
    <xf numFmtId="0" fontId="9" fillId="0" borderId="0"/>
    <xf numFmtId="0" fontId="8" fillId="0" borderId="0"/>
    <xf numFmtId="0" fontId="9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37" fillId="0" borderId="0"/>
    <xf numFmtId="0" fontId="38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5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51" fillId="0" borderId="0"/>
    <xf numFmtId="170" fontId="51" fillId="0" borderId="0" applyFont="0" applyFill="0" applyBorder="0" applyAlignment="0" applyProtection="0"/>
    <xf numFmtId="0" fontId="51" fillId="0" borderId="0"/>
    <xf numFmtId="0" fontId="8" fillId="0" borderId="0"/>
    <xf numFmtId="17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170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6" fillId="0" borderId="0"/>
    <xf numFmtId="0" fontId="8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43" fontId="8" fillId="0" borderId="0" applyFont="0" applyFill="0" applyBorder="0" applyAlignment="0" applyProtection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561">
    <xf numFmtId="0" fontId="0" fillId="0" borderId="0" xfId="0"/>
    <xf numFmtId="0" fontId="8" fillId="0" borderId="0" xfId="3" applyFont="1" applyFill="1"/>
    <xf numFmtId="0" fontId="8" fillId="0" borderId="0" xfId="3" applyFont="1" applyFill="1" applyBorder="1"/>
    <xf numFmtId="166" fontId="8" fillId="0" borderId="0" xfId="1" applyNumberFormat="1" applyFont="1" applyFill="1" applyAlignment="1">
      <alignment horizontal="right"/>
    </xf>
    <xf numFmtId="0" fontId="8" fillId="0" borderId="0" xfId="3" applyFont="1" applyFill="1" applyAlignment="1">
      <alignment horizontal="center" vertical="center"/>
    </xf>
    <xf numFmtId="0" fontId="8" fillId="0" borderId="0" xfId="3" applyFont="1" applyFill="1" applyAlignment="1">
      <alignment horizontal="center"/>
    </xf>
    <xf numFmtId="0" fontId="8" fillId="0" borderId="0" xfId="3" applyFont="1" applyFill="1" applyAlignment="1">
      <alignment horizontal="left" vertical="center"/>
    </xf>
    <xf numFmtId="166" fontId="10" fillId="0" borderId="1" xfId="1" applyNumberFormat="1" applyFont="1" applyFill="1" applyBorder="1" applyAlignment="1">
      <alignment horizontal="right" vertical="center" wrapText="1"/>
    </xf>
    <xf numFmtId="166" fontId="8" fillId="0" borderId="1" xfId="1" applyNumberFormat="1" applyFont="1" applyFill="1" applyBorder="1" applyAlignment="1">
      <alignment horizontal="right"/>
    </xf>
    <xf numFmtId="49" fontId="10" fillId="0" borderId="1" xfId="3" applyNumberFormat="1" applyFont="1" applyFill="1" applyBorder="1" applyAlignment="1">
      <alignment horizontal="center" vertical="center" wrapText="1"/>
    </xf>
    <xf numFmtId="49" fontId="11" fillId="0" borderId="1" xfId="3" applyNumberFormat="1" applyFont="1" applyFill="1" applyBorder="1" applyAlignment="1" applyProtection="1">
      <alignment horizontal="center" vertical="center" wrapText="1"/>
    </xf>
    <xf numFmtId="0" fontId="8" fillId="0" borderId="1" xfId="3" applyFont="1" applyFill="1" applyBorder="1" applyAlignment="1">
      <alignment horizontal="center" vertical="center"/>
    </xf>
    <xf numFmtId="0" fontId="8" fillId="0" borderId="1" xfId="3" applyFont="1" applyFill="1" applyBorder="1" applyAlignment="1">
      <alignment horizontal="left" vertical="center"/>
    </xf>
    <xf numFmtId="0" fontId="8" fillId="0" borderId="1" xfId="3" applyFont="1" applyFill="1" applyBorder="1"/>
    <xf numFmtId="166" fontId="11" fillId="0" borderId="1" xfId="1" applyNumberFormat="1" applyFont="1" applyFill="1" applyBorder="1" applyAlignment="1">
      <alignment horizontal="right"/>
    </xf>
    <xf numFmtId="0" fontId="11" fillId="0" borderId="1" xfId="0" applyFont="1" applyFill="1" applyBorder="1" applyAlignment="1">
      <alignment horizontal="justify" vertical="top" wrapText="1"/>
    </xf>
    <xf numFmtId="0" fontId="11" fillId="0" borderId="1" xfId="0" applyFont="1" applyFill="1" applyBorder="1"/>
    <xf numFmtId="166" fontId="12" fillId="0" borderId="2" xfId="1" applyNumberFormat="1" applyFont="1" applyFill="1" applyBorder="1" applyAlignment="1">
      <alignment horizontal="right"/>
    </xf>
    <xf numFmtId="166" fontId="13" fillId="0" borderId="2" xfId="1" applyNumberFormat="1" applyFont="1" applyFill="1" applyBorder="1" applyAlignment="1">
      <alignment horizontal="right"/>
    </xf>
    <xf numFmtId="166" fontId="8" fillId="0" borderId="2" xfId="1" applyNumberFormat="1" applyFont="1" applyFill="1" applyBorder="1" applyAlignment="1">
      <alignment horizontal="right"/>
    </xf>
    <xf numFmtId="0" fontId="8" fillId="0" borderId="2" xfId="3" applyFont="1" applyFill="1" applyBorder="1" applyAlignment="1">
      <alignment horizontal="center" vertical="center"/>
    </xf>
    <xf numFmtId="49" fontId="12" fillId="0" borderId="2" xfId="3" applyNumberFormat="1" applyFont="1" applyFill="1" applyBorder="1" applyAlignment="1" applyProtection="1">
      <alignment horizontal="center" vertical="center" wrapText="1"/>
    </xf>
    <xf numFmtId="0" fontId="8" fillId="0" borderId="2" xfId="3" applyFont="1" applyFill="1" applyBorder="1" applyAlignment="1">
      <alignment horizontal="center"/>
    </xf>
    <xf numFmtId="0" fontId="11" fillId="0" borderId="2" xfId="3" applyNumberFormat="1" applyFont="1" applyFill="1" applyBorder="1" applyAlignment="1" applyProtection="1">
      <alignment horizontal="left" vertical="center" wrapText="1"/>
    </xf>
    <xf numFmtId="0" fontId="8" fillId="0" borderId="2" xfId="3" applyFont="1" applyFill="1" applyBorder="1"/>
    <xf numFmtId="49" fontId="10" fillId="0" borderId="4" xfId="3" applyNumberFormat="1" applyFont="1" applyFill="1" applyBorder="1" applyAlignment="1">
      <alignment horizontal="center" vertical="center" wrapText="1"/>
    </xf>
    <xf numFmtId="0" fontId="8" fillId="0" borderId="5" xfId="3" applyFont="1" applyFill="1" applyBorder="1"/>
    <xf numFmtId="168" fontId="11" fillId="0" borderId="6" xfId="3" applyNumberFormat="1" applyFont="1" applyFill="1" applyBorder="1" applyAlignment="1">
      <alignment horizontal="right" vertical="center" wrapText="1"/>
    </xf>
    <xf numFmtId="168" fontId="11" fillId="0" borderId="7" xfId="3" applyNumberFormat="1" applyFont="1" applyFill="1" applyBorder="1" applyAlignment="1">
      <alignment horizontal="right" vertical="center" wrapText="1"/>
    </xf>
    <xf numFmtId="168" fontId="11" fillId="0" borderId="1" xfId="3" applyNumberFormat="1" applyFont="1" applyFill="1" applyBorder="1"/>
    <xf numFmtId="168" fontId="14" fillId="0" borderId="1" xfId="3" applyNumberFormat="1" applyFont="1" applyFill="1" applyBorder="1" applyAlignment="1">
      <alignment horizontal="center" vertical="center" wrapText="1"/>
    </xf>
    <xf numFmtId="49" fontId="14" fillId="0" borderId="1" xfId="3" applyNumberFormat="1" applyFont="1" applyFill="1" applyBorder="1" applyAlignment="1">
      <alignment horizontal="center" vertical="center" wrapText="1"/>
    </xf>
    <xf numFmtId="0" fontId="8" fillId="0" borderId="8" xfId="3" applyFont="1" applyFill="1" applyBorder="1"/>
    <xf numFmtId="49" fontId="11" fillId="0" borderId="1" xfId="3" applyNumberFormat="1" applyFont="1" applyFill="1" applyBorder="1" applyAlignment="1">
      <alignment horizontal="center" vertical="center" wrapText="1"/>
    </xf>
    <xf numFmtId="49" fontId="15" fillId="0" borderId="1" xfId="3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vertical="center" wrapText="1"/>
    </xf>
    <xf numFmtId="166" fontId="12" fillId="0" borderId="1" xfId="1" applyNumberFormat="1" applyFont="1" applyFill="1" applyBorder="1" applyAlignment="1">
      <alignment horizontal="right"/>
    </xf>
    <xf numFmtId="49" fontId="12" fillId="0" borderId="1" xfId="3" applyNumberFormat="1" applyFont="1" applyFill="1" applyBorder="1" applyAlignment="1" applyProtection="1">
      <alignment horizontal="center" vertical="center" wrapText="1"/>
    </xf>
    <xf numFmtId="0" fontId="11" fillId="0" borderId="1" xfId="3" applyNumberFormat="1" applyFont="1" applyFill="1" applyBorder="1" applyAlignment="1" applyProtection="1">
      <alignment horizontal="left" vertical="center" wrapText="1"/>
    </xf>
    <xf numFmtId="0" fontId="11" fillId="0" borderId="10" xfId="0" applyFont="1" applyFill="1" applyBorder="1"/>
    <xf numFmtId="0" fontId="8" fillId="0" borderId="12" xfId="3" applyFont="1" applyFill="1" applyBorder="1"/>
    <xf numFmtId="49" fontId="14" fillId="0" borderId="0" xfId="3" applyNumberFormat="1" applyFont="1" applyFill="1" applyBorder="1" applyAlignment="1">
      <alignment horizontal="center" vertical="center" wrapText="1"/>
    </xf>
    <xf numFmtId="0" fontId="14" fillId="0" borderId="7" xfId="3" applyFont="1" applyFill="1" applyBorder="1" applyAlignment="1">
      <alignment horizontal="left" vertical="center" wrapText="1"/>
    </xf>
    <xf numFmtId="0" fontId="8" fillId="0" borderId="15" xfId="3" applyFont="1" applyFill="1" applyBorder="1"/>
    <xf numFmtId="0" fontId="8" fillId="0" borderId="16" xfId="3" applyFont="1" applyFill="1" applyBorder="1"/>
    <xf numFmtId="49" fontId="14" fillId="0" borderId="16" xfId="3" applyNumberFormat="1" applyFont="1" applyFill="1" applyBorder="1" applyAlignment="1">
      <alignment horizontal="center" vertical="center" wrapText="1"/>
    </xf>
    <xf numFmtId="168" fontId="10" fillId="0" borderId="9" xfId="3" applyNumberFormat="1" applyFont="1" applyFill="1" applyBorder="1" applyAlignment="1">
      <alignment vertical="center" wrapText="1"/>
    </xf>
    <xf numFmtId="168" fontId="10" fillId="0" borderId="1" xfId="3" applyNumberFormat="1" applyFont="1" applyFill="1" applyBorder="1" applyAlignment="1">
      <alignment vertical="center" wrapText="1"/>
    </xf>
    <xf numFmtId="49" fontId="10" fillId="0" borderId="1" xfId="3" applyNumberFormat="1" applyFont="1" applyFill="1" applyBorder="1" applyAlignment="1">
      <alignment vertical="center" wrapText="1"/>
    </xf>
    <xf numFmtId="0" fontId="10" fillId="0" borderId="7" xfId="3" applyFont="1" applyFill="1" applyBorder="1" applyAlignment="1">
      <alignment horizontal="left" vertical="center" wrapText="1"/>
    </xf>
    <xf numFmtId="168" fontId="15" fillId="0" borderId="9" xfId="3" applyNumberFormat="1" applyFont="1" applyFill="1" applyBorder="1" applyAlignment="1">
      <alignment vertical="center" wrapText="1"/>
    </xf>
    <xf numFmtId="168" fontId="15" fillId="0" borderId="1" xfId="3" applyNumberFormat="1" applyFont="1" applyFill="1" applyBorder="1" applyAlignment="1">
      <alignment vertical="center" wrapText="1"/>
    </xf>
    <xf numFmtId="0" fontId="15" fillId="0" borderId="7" xfId="3" applyFont="1" applyFill="1" applyBorder="1" applyAlignment="1">
      <alignment horizontal="left" vertical="center" wrapText="1"/>
    </xf>
    <xf numFmtId="167" fontId="10" fillId="0" borderId="1" xfId="1" applyNumberFormat="1" applyFont="1" applyFill="1" applyBorder="1" applyAlignment="1">
      <alignment horizontal="right" vertical="center" wrapText="1"/>
    </xf>
    <xf numFmtId="168" fontId="11" fillId="0" borderId="1" xfId="3" applyNumberFormat="1" applyFont="1" applyFill="1" applyBorder="1" applyAlignment="1">
      <alignment horizontal="right" vertical="center"/>
    </xf>
    <xf numFmtId="0" fontId="10" fillId="0" borderId="1" xfId="0" applyFont="1" applyFill="1" applyBorder="1" applyAlignment="1">
      <alignment horizontal="justify" vertical="top" wrapText="1"/>
    </xf>
    <xf numFmtId="168" fontId="10" fillId="0" borderId="17" xfId="3" applyNumberFormat="1" applyFont="1" applyFill="1" applyBorder="1" applyAlignment="1">
      <alignment horizontal="right" vertical="center" wrapText="1"/>
    </xf>
    <xf numFmtId="168" fontId="10" fillId="0" borderId="18" xfId="3" applyNumberFormat="1" applyFont="1" applyFill="1" applyBorder="1" applyAlignment="1">
      <alignment horizontal="right" vertical="center" wrapText="1"/>
    </xf>
    <xf numFmtId="0" fontId="10" fillId="0" borderId="7" xfId="3" applyFont="1" applyFill="1" applyBorder="1" applyAlignment="1">
      <alignment vertical="top" wrapText="1"/>
    </xf>
    <xf numFmtId="168" fontId="8" fillId="0" borderId="7" xfId="3" applyNumberFormat="1" applyFont="1" applyFill="1" applyBorder="1"/>
    <xf numFmtId="168" fontId="8" fillId="0" borderId="1" xfId="3" applyNumberFormat="1" applyFont="1" applyFill="1" applyBorder="1"/>
    <xf numFmtId="168" fontId="10" fillId="0" borderId="10" xfId="3" applyNumberFormat="1" applyFont="1" applyFill="1" applyBorder="1" applyAlignment="1">
      <alignment vertical="center" wrapText="1"/>
    </xf>
    <xf numFmtId="168" fontId="12" fillId="0" borderId="17" xfId="3" applyNumberFormat="1" applyFont="1" applyFill="1" applyBorder="1" applyAlignment="1">
      <alignment horizontal="right" vertical="center" wrapText="1"/>
    </xf>
    <xf numFmtId="168" fontId="12" fillId="0" borderId="18" xfId="3" applyNumberFormat="1" applyFont="1" applyFill="1" applyBorder="1" applyAlignment="1">
      <alignment horizontal="right" vertical="center" wrapText="1"/>
    </xf>
    <xf numFmtId="168" fontId="11" fillId="0" borderId="18" xfId="3" applyNumberFormat="1" applyFont="1" applyFill="1" applyBorder="1" applyAlignment="1">
      <alignment horizontal="right" vertical="center" wrapText="1"/>
    </xf>
    <xf numFmtId="168" fontId="14" fillId="0" borderId="10" xfId="3" applyNumberFormat="1" applyFont="1" applyFill="1" applyBorder="1" applyAlignment="1">
      <alignment horizontal="center" vertical="center" wrapText="1"/>
    </xf>
    <xf numFmtId="0" fontId="11" fillId="0" borderId="7" xfId="4" applyFont="1" applyFill="1" applyBorder="1" applyAlignment="1">
      <alignment vertical="top" wrapText="1"/>
    </xf>
    <xf numFmtId="167" fontId="10" fillId="0" borderId="1" xfId="1" applyNumberFormat="1" applyFont="1" applyFill="1" applyBorder="1" applyAlignment="1">
      <alignment vertical="center" wrapText="1"/>
    </xf>
    <xf numFmtId="166" fontId="10" fillId="0" borderId="18" xfId="1" applyNumberFormat="1" applyFont="1" applyFill="1" applyBorder="1" applyAlignment="1">
      <alignment horizontal="right" vertical="center" wrapText="1"/>
    </xf>
    <xf numFmtId="166" fontId="10" fillId="0" borderId="10" xfId="1" applyNumberFormat="1" applyFont="1" applyFill="1" applyBorder="1" applyAlignment="1">
      <alignment horizontal="right" vertical="center" wrapText="1"/>
    </xf>
    <xf numFmtId="0" fontId="17" fillId="0" borderId="7" xfId="3" applyFont="1" applyFill="1" applyBorder="1" applyAlignment="1">
      <alignment horizontal="left" vertical="center" wrapText="1"/>
    </xf>
    <xf numFmtId="167" fontId="10" fillId="0" borderId="15" xfId="1" applyNumberFormat="1" applyFont="1" applyFill="1" applyBorder="1" applyAlignment="1">
      <alignment horizontal="right" vertical="center" wrapText="1"/>
    </xf>
    <xf numFmtId="168" fontId="11" fillId="0" borderId="0" xfId="3" applyNumberFormat="1" applyFont="1" applyFill="1" applyBorder="1" applyAlignment="1">
      <alignment horizontal="right" vertical="center"/>
    </xf>
    <xf numFmtId="49" fontId="10" fillId="0" borderId="0" xfId="3" applyNumberFormat="1" applyFont="1" applyFill="1" applyBorder="1" applyAlignment="1">
      <alignment vertical="center" wrapText="1"/>
    </xf>
    <xf numFmtId="167" fontId="10" fillId="0" borderId="0" xfId="1" applyNumberFormat="1" applyFont="1" applyFill="1" applyBorder="1" applyAlignment="1">
      <alignment horizontal="right" vertical="center" wrapText="1"/>
    </xf>
    <xf numFmtId="49" fontId="10" fillId="0" borderId="0" xfId="3" applyNumberFormat="1" applyFont="1" applyFill="1" applyBorder="1" applyAlignment="1">
      <alignment horizontal="center" vertical="center" wrapText="1"/>
    </xf>
    <xf numFmtId="0" fontId="10" fillId="0" borderId="1" xfId="3" applyFont="1" applyFill="1" applyBorder="1" applyAlignment="1">
      <alignment horizontal="left" vertical="center" wrapText="1"/>
    </xf>
    <xf numFmtId="0" fontId="11" fillId="0" borderId="1" xfId="3" applyFont="1" applyFill="1" applyBorder="1" applyAlignment="1">
      <alignment horizontal="center" vertical="center"/>
    </xf>
    <xf numFmtId="166" fontId="15" fillId="0" borderId="1" xfId="1" applyNumberFormat="1" applyFont="1" applyFill="1" applyBorder="1" applyAlignment="1">
      <alignment horizontal="right" vertical="center" wrapText="1"/>
    </xf>
    <xf numFmtId="0" fontId="12" fillId="0" borderId="1" xfId="3" applyFont="1" applyFill="1" applyBorder="1" applyAlignment="1">
      <alignment horizontal="center" vertical="center"/>
    </xf>
    <xf numFmtId="168" fontId="12" fillId="0" borderId="6" xfId="3" applyNumberFormat="1" applyFont="1" applyFill="1" applyBorder="1" applyAlignment="1">
      <alignment horizontal="right" vertical="center" wrapText="1"/>
    </xf>
    <xf numFmtId="168" fontId="12" fillId="0" borderId="7" xfId="3" applyNumberFormat="1" applyFont="1" applyFill="1" applyBorder="1" applyAlignment="1">
      <alignment horizontal="right" vertical="center" wrapText="1"/>
    </xf>
    <xf numFmtId="0" fontId="11" fillId="0" borderId="1" xfId="0" applyFont="1" applyFill="1" applyBorder="1" applyAlignment="1">
      <alignment wrapText="1"/>
    </xf>
    <xf numFmtId="0" fontId="18" fillId="0" borderId="0" xfId="3" applyFont="1" applyFill="1"/>
    <xf numFmtId="0" fontId="18" fillId="0" borderId="0" xfId="3" applyFont="1" applyFill="1" applyBorder="1"/>
    <xf numFmtId="0" fontId="18" fillId="0" borderId="8" xfId="3" applyFont="1" applyFill="1" applyBorder="1"/>
    <xf numFmtId="0" fontId="11" fillId="0" borderId="0" xfId="0" applyFont="1" applyFill="1" applyBorder="1"/>
    <xf numFmtId="167" fontId="15" fillId="0" borderId="1" xfId="1" applyNumberFormat="1" applyFont="1" applyFill="1" applyBorder="1" applyAlignment="1">
      <alignment horizontal="right" vertical="center" wrapText="1"/>
    </xf>
    <xf numFmtId="0" fontId="10" fillId="0" borderId="1" xfId="3" applyFont="1" applyFill="1" applyBorder="1" applyAlignment="1">
      <alignment horizontal="center" vertical="center" wrapText="1"/>
    </xf>
    <xf numFmtId="49" fontId="12" fillId="0" borderId="1" xfId="3" applyNumberFormat="1" applyFont="1" applyFill="1" applyBorder="1" applyAlignment="1">
      <alignment horizontal="center" vertical="center" wrapText="1"/>
    </xf>
    <xf numFmtId="0" fontId="11" fillId="0" borderId="7" xfId="3" applyFont="1" applyFill="1" applyBorder="1" applyAlignment="1">
      <alignment horizontal="left" vertical="center" wrapText="1"/>
    </xf>
    <xf numFmtId="0" fontId="13" fillId="0" borderId="8" xfId="3" applyFont="1" applyFill="1" applyBorder="1" applyAlignment="1">
      <alignment horizontal="center" vertical="center"/>
    </xf>
    <xf numFmtId="167" fontId="12" fillId="0" borderId="1" xfId="1" applyNumberFormat="1" applyFont="1" applyFill="1" applyBorder="1" applyAlignment="1">
      <alignment horizontal="right" vertical="center" wrapText="1"/>
    </xf>
    <xf numFmtId="167" fontId="11" fillId="0" borderId="1" xfId="1" applyNumberFormat="1" applyFont="1" applyFill="1" applyBorder="1" applyAlignment="1">
      <alignment horizontal="right" vertical="center" wrapText="1"/>
    </xf>
    <xf numFmtId="0" fontId="15" fillId="0" borderId="1" xfId="3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wrapText="1"/>
    </xf>
    <xf numFmtId="168" fontId="15" fillId="0" borderId="9" xfId="1" applyNumberFormat="1" applyFont="1" applyFill="1" applyBorder="1" applyAlignment="1">
      <alignment horizontal="right" vertical="center" wrapText="1"/>
    </xf>
    <xf numFmtId="168" fontId="15" fillId="0" borderId="1" xfId="1" applyNumberFormat="1" applyFont="1" applyFill="1" applyBorder="1" applyAlignment="1">
      <alignment horizontal="right" vertical="center" wrapText="1"/>
    </xf>
    <xf numFmtId="166" fontId="10" fillId="0" borderId="0" xfId="1" applyNumberFormat="1" applyFont="1" applyFill="1" applyBorder="1" applyAlignment="1">
      <alignment horizontal="right" vertical="center" wrapText="1"/>
    </xf>
    <xf numFmtId="49" fontId="11" fillId="0" borderId="19" xfId="5" applyNumberFormat="1" applyFont="1" applyFill="1" applyBorder="1" applyAlignment="1">
      <alignment vertical="center" wrapText="1"/>
    </xf>
    <xf numFmtId="0" fontId="11" fillId="0" borderId="0" xfId="0" applyFont="1" applyFill="1" applyBorder="1" applyAlignment="1">
      <alignment wrapText="1"/>
    </xf>
    <xf numFmtId="166" fontId="12" fillId="0" borderId="1" xfId="1" applyNumberFormat="1" applyFont="1" applyFill="1" applyBorder="1" applyAlignment="1">
      <alignment horizontal="right" vertical="center" wrapText="1"/>
    </xf>
    <xf numFmtId="0" fontId="19" fillId="0" borderId="7" xfId="4" applyFont="1" applyFill="1" applyBorder="1" applyAlignment="1">
      <alignment horizontal="left" vertical="center" wrapText="1"/>
    </xf>
    <xf numFmtId="166" fontId="11" fillId="0" borderId="1" xfId="1" applyNumberFormat="1" applyFont="1" applyFill="1" applyBorder="1" applyAlignment="1">
      <alignment horizontal="right" vertical="center" wrapText="1"/>
    </xf>
    <xf numFmtId="0" fontId="11" fillId="0" borderId="1" xfId="4" applyFont="1" applyFill="1" applyBorder="1" applyAlignment="1">
      <alignment horizontal="left" vertical="center" wrapText="1"/>
    </xf>
    <xf numFmtId="0" fontId="11" fillId="0" borderId="7" xfId="3" applyNumberFormat="1" applyFont="1" applyFill="1" applyBorder="1" applyAlignment="1" applyProtection="1">
      <alignment horizontal="left" vertical="center" wrapText="1"/>
    </xf>
    <xf numFmtId="0" fontId="11" fillId="0" borderId="7" xfId="0" applyFont="1" applyFill="1" applyBorder="1"/>
    <xf numFmtId="0" fontId="11" fillId="0" borderId="7" xfId="3" applyNumberFormat="1" applyFont="1" applyFill="1" applyBorder="1" applyAlignment="1">
      <alignment horizontal="left" vertical="center" wrapText="1" shrinkToFit="1"/>
    </xf>
    <xf numFmtId="169" fontId="11" fillId="0" borderId="1" xfId="4" applyNumberFormat="1" applyFont="1" applyFill="1" applyBorder="1" applyAlignment="1" applyProtection="1">
      <alignment horizontal="left" vertical="center" wrapText="1"/>
    </xf>
    <xf numFmtId="169" fontId="11" fillId="0" borderId="7" xfId="3" applyNumberFormat="1" applyFont="1" applyFill="1" applyBorder="1" applyAlignment="1">
      <alignment horizontal="left" vertical="center" wrapText="1"/>
    </xf>
    <xf numFmtId="169" fontId="11" fillId="0" borderId="7" xfId="3" applyNumberFormat="1" applyFont="1" applyFill="1" applyBorder="1" applyAlignment="1" applyProtection="1">
      <alignment horizontal="left" vertical="center" wrapText="1"/>
    </xf>
    <xf numFmtId="0" fontId="11" fillId="0" borderId="7" xfId="3" applyNumberFormat="1" applyFont="1" applyFill="1" applyBorder="1" applyAlignment="1" applyProtection="1">
      <alignment horizontal="left" vertical="center" wrapText="1" shrinkToFit="1"/>
    </xf>
    <xf numFmtId="0" fontId="11" fillId="0" borderId="1" xfId="3" applyNumberFormat="1" applyFont="1" applyFill="1" applyBorder="1" applyAlignment="1">
      <alignment horizontal="center" vertical="center" wrapText="1"/>
    </xf>
    <xf numFmtId="0" fontId="12" fillId="0" borderId="1" xfId="3" applyNumberFormat="1" applyFont="1" applyFill="1" applyBorder="1" applyAlignment="1">
      <alignment horizontal="center" vertical="center" wrapText="1"/>
    </xf>
    <xf numFmtId="0" fontId="11" fillId="0" borderId="7" xfId="4" applyFont="1" applyFill="1" applyBorder="1" applyAlignment="1">
      <alignment horizontal="left" vertical="center" wrapText="1"/>
    </xf>
    <xf numFmtId="0" fontId="11" fillId="0" borderId="1" xfId="4" applyNumberFormat="1" applyFont="1" applyFill="1" applyBorder="1" applyAlignment="1" applyProtection="1">
      <alignment horizontal="left" vertical="center" wrapText="1"/>
    </xf>
    <xf numFmtId="166" fontId="11" fillId="0" borderId="1" xfId="1" applyNumberFormat="1" applyFont="1" applyFill="1" applyBorder="1" applyAlignment="1">
      <alignment vertical="center"/>
    </xf>
    <xf numFmtId="167" fontId="11" fillId="0" borderId="1" xfId="1" applyNumberFormat="1" applyFont="1" applyFill="1" applyBorder="1" applyAlignment="1">
      <alignment vertical="center"/>
    </xf>
    <xf numFmtId="0" fontId="12" fillId="0" borderId="1" xfId="3" applyFont="1" applyFill="1" applyBorder="1" applyAlignment="1">
      <alignment horizontal="center" vertical="center" wrapText="1"/>
    </xf>
    <xf numFmtId="0" fontId="11" fillId="0" borderId="1" xfId="3" applyFont="1" applyFill="1" applyBorder="1" applyAlignment="1">
      <alignment horizontal="center" vertical="center" wrapText="1"/>
    </xf>
    <xf numFmtId="167" fontId="8" fillId="0" borderId="1" xfId="1" applyNumberFormat="1" applyFont="1" applyFill="1" applyBorder="1" applyAlignment="1">
      <alignment vertical="center"/>
    </xf>
    <xf numFmtId="166" fontId="20" fillId="0" borderId="1" xfId="3" applyNumberFormat="1" applyFont="1" applyFill="1" applyBorder="1" applyAlignment="1">
      <alignment vertical="center"/>
    </xf>
    <xf numFmtId="168" fontId="11" fillId="0" borderId="9" xfId="1" applyNumberFormat="1" applyFont="1" applyFill="1" applyBorder="1" applyAlignment="1">
      <alignment horizontal="right" vertical="center" wrapText="1"/>
    </xf>
    <xf numFmtId="168" fontId="11" fillId="0" borderId="1" xfId="1" applyNumberFormat="1" applyFont="1" applyFill="1" applyBorder="1" applyAlignment="1">
      <alignment horizontal="right" vertical="center" wrapText="1"/>
    </xf>
    <xf numFmtId="168" fontId="12" fillId="0" borderId="9" xfId="1" applyNumberFormat="1" applyFont="1" applyFill="1" applyBorder="1" applyAlignment="1">
      <alignment horizontal="right" vertical="center" wrapText="1"/>
    </xf>
    <xf numFmtId="168" fontId="12" fillId="0" borderId="1" xfId="1" applyNumberFormat="1" applyFont="1" applyFill="1" applyBorder="1" applyAlignment="1">
      <alignment horizontal="right" vertical="center" wrapText="1"/>
    </xf>
    <xf numFmtId="0" fontId="12" fillId="0" borderId="7" xfId="3" applyFont="1" applyFill="1" applyBorder="1" applyAlignment="1">
      <alignment horizontal="left" vertical="center" wrapText="1"/>
    </xf>
    <xf numFmtId="168" fontId="15" fillId="0" borderId="9" xfId="1" applyNumberFormat="1" applyFont="1" applyFill="1" applyBorder="1" applyAlignment="1" applyProtection="1">
      <alignment horizontal="right" vertical="center" wrapText="1"/>
      <protection locked="0"/>
    </xf>
    <xf numFmtId="168" fontId="15" fillId="0" borderId="1" xfId="1" applyNumberFormat="1" applyFont="1" applyFill="1" applyBorder="1" applyAlignment="1" applyProtection="1">
      <alignment horizontal="right" vertical="center" wrapText="1"/>
      <protection locked="0"/>
    </xf>
    <xf numFmtId="0" fontId="21" fillId="0" borderId="7" xfId="0" applyFont="1" applyFill="1" applyBorder="1" applyAlignment="1">
      <alignment horizontal="left" vertical="center"/>
    </xf>
    <xf numFmtId="49" fontId="15" fillId="0" borderId="0" xfId="3" applyNumberFormat="1" applyFont="1" applyFill="1" applyBorder="1" applyAlignment="1">
      <alignment vertical="center" wrapText="1"/>
    </xf>
    <xf numFmtId="49" fontId="15" fillId="0" borderId="1" xfId="3" applyNumberFormat="1" applyFont="1" applyFill="1" applyBorder="1" applyAlignment="1">
      <alignment vertical="center" wrapText="1"/>
    </xf>
    <xf numFmtId="0" fontId="15" fillId="0" borderId="7" xfId="3" applyFont="1" applyFill="1" applyBorder="1" applyAlignment="1">
      <alignment vertical="top" wrapText="1"/>
    </xf>
    <xf numFmtId="0" fontId="10" fillId="0" borderId="7" xfId="3" applyFont="1" applyFill="1" applyBorder="1" applyAlignment="1">
      <alignment horizontal="center" vertical="center" wrapText="1"/>
    </xf>
    <xf numFmtId="0" fontId="12" fillId="0" borderId="7" xfId="3" applyFont="1" applyFill="1" applyBorder="1" applyAlignment="1">
      <alignment vertical="top" wrapText="1"/>
    </xf>
    <xf numFmtId="0" fontId="12" fillId="0" borderId="1" xfId="0" applyFont="1" applyFill="1" applyBorder="1" applyAlignment="1">
      <alignment horizontal="left" vertical="center" wrapText="1"/>
    </xf>
    <xf numFmtId="167" fontId="15" fillId="0" borderId="1" xfId="1" applyNumberFormat="1" applyFont="1" applyFill="1" applyBorder="1" applyAlignment="1">
      <alignment vertical="center" wrapText="1"/>
    </xf>
    <xf numFmtId="165" fontId="10" fillId="0" borderId="1" xfId="1" applyFont="1" applyFill="1" applyBorder="1" applyAlignment="1">
      <alignment horizontal="right" vertical="center" wrapText="1"/>
    </xf>
    <xf numFmtId="165" fontId="15" fillId="0" borderId="1" xfId="1" applyFont="1" applyFill="1" applyBorder="1" applyAlignment="1">
      <alignment horizontal="right" vertical="center" wrapText="1"/>
    </xf>
    <xf numFmtId="167" fontId="10" fillId="0" borderId="2" xfId="1" applyNumberFormat="1" applyFont="1" applyFill="1" applyBorder="1" applyAlignment="1">
      <alignment horizontal="right" vertical="center" wrapText="1"/>
    </xf>
    <xf numFmtId="166" fontId="15" fillId="0" borderId="2" xfId="1" applyNumberFormat="1" applyFont="1" applyFill="1" applyBorder="1" applyAlignment="1">
      <alignment horizontal="right" vertical="center" wrapText="1"/>
    </xf>
    <xf numFmtId="165" fontId="15" fillId="0" borderId="2" xfId="1" applyFont="1" applyFill="1" applyBorder="1" applyAlignment="1">
      <alignment horizontal="right" vertical="center" wrapText="1"/>
    </xf>
    <xf numFmtId="49" fontId="10" fillId="0" borderId="2" xfId="3" applyNumberFormat="1" applyFont="1" applyFill="1" applyBorder="1" applyAlignment="1">
      <alignment horizontal="center" vertical="center" wrapText="1"/>
    </xf>
    <xf numFmtId="0" fontId="10" fillId="0" borderId="2" xfId="3" applyFont="1" applyFill="1" applyBorder="1" applyAlignment="1">
      <alignment horizontal="center" vertical="center" wrapText="1"/>
    </xf>
    <xf numFmtId="0" fontId="10" fillId="0" borderId="18" xfId="3" applyFont="1" applyFill="1" applyBorder="1" applyAlignment="1">
      <alignment vertical="top" wrapText="1"/>
    </xf>
    <xf numFmtId="0" fontId="8" fillId="0" borderId="21" xfId="3" applyFont="1" applyFill="1" applyBorder="1"/>
    <xf numFmtId="0" fontId="19" fillId="0" borderId="0" xfId="4" applyFont="1" applyFill="1" applyBorder="1" applyAlignment="1">
      <alignment horizontal="left" vertical="center" wrapText="1"/>
    </xf>
    <xf numFmtId="167" fontId="11" fillId="0" borderId="1" xfId="4" applyNumberFormat="1" applyFont="1" applyFill="1" applyBorder="1" applyAlignment="1">
      <alignment horizontal="left" vertical="center" wrapText="1"/>
    </xf>
    <xf numFmtId="0" fontId="19" fillId="0" borderId="1" xfId="4" applyFont="1" applyFill="1" applyBorder="1" applyAlignment="1">
      <alignment horizontal="left" vertical="center" wrapText="1"/>
    </xf>
    <xf numFmtId="0" fontId="19" fillId="0" borderId="8" xfId="4" applyFont="1" applyFill="1" applyBorder="1" applyAlignment="1">
      <alignment horizontal="left" vertical="center" wrapText="1"/>
    </xf>
    <xf numFmtId="168" fontId="15" fillId="0" borderId="15" xfId="3" applyNumberFormat="1" applyFont="1" applyFill="1" applyBorder="1" applyAlignment="1">
      <alignment vertical="center" wrapText="1"/>
    </xf>
    <xf numFmtId="168" fontId="15" fillId="0" borderId="23" xfId="3" applyNumberFormat="1" applyFont="1" applyFill="1" applyBorder="1" applyAlignment="1">
      <alignment vertical="center" wrapText="1"/>
    </xf>
    <xf numFmtId="49" fontId="15" fillId="0" borderId="23" xfId="3" applyNumberFormat="1" applyFont="1" applyFill="1" applyBorder="1" applyAlignment="1">
      <alignment horizontal="center" vertical="center" wrapText="1"/>
    </xf>
    <xf numFmtId="49" fontId="15" fillId="0" borderId="23" xfId="3" applyNumberFormat="1" applyFont="1" applyFill="1" applyBorder="1" applyAlignment="1">
      <alignment vertical="center" wrapText="1"/>
    </xf>
    <xf numFmtId="0" fontId="15" fillId="0" borderId="23" xfId="3" applyFont="1" applyFill="1" applyBorder="1" applyAlignment="1">
      <alignment horizontal="center" vertical="center" wrapText="1"/>
    </xf>
    <xf numFmtId="0" fontId="15" fillId="0" borderId="15" xfId="3" applyFont="1" applyFill="1" applyBorder="1" applyAlignment="1">
      <alignment vertical="top" wrapText="1"/>
    </xf>
    <xf numFmtId="0" fontId="13" fillId="0" borderId="24" xfId="3" applyFont="1" applyFill="1" applyBorder="1" applyAlignment="1">
      <alignment horizontal="center" vertical="center"/>
    </xf>
    <xf numFmtId="0" fontId="23" fillId="0" borderId="7" xfId="3" applyFont="1" applyFill="1" applyBorder="1" applyAlignment="1">
      <alignment horizontal="left" vertical="center" wrapText="1"/>
    </xf>
    <xf numFmtId="168" fontId="15" fillId="0" borderId="1" xfId="3" applyNumberFormat="1" applyFont="1" applyFill="1" applyBorder="1" applyAlignment="1">
      <alignment horizontal="center" vertical="center" wrapText="1"/>
    </xf>
    <xf numFmtId="166" fontId="10" fillId="0" borderId="7" xfId="1" applyNumberFormat="1" applyFont="1" applyFill="1" applyBorder="1" applyAlignment="1">
      <alignment horizontal="right" vertical="center" wrapText="1"/>
    </xf>
    <xf numFmtId="49" fontId="22" fillId="0" borderId="1" xfId="3" applyNumberFormat="1" applyFont="1" applyFill="1" applyBorder="1" applyAlignment="1">
      <alignment horizontal="center" vertical="center" wrapText="1"/>
    </xf>
    <xf numFmtId="49" fontId="22" fillId="0" borderId="14" xfId="3" applyNumberFormat="1" applyFont="1" applyFill="1" applyBorder="1" applyAlignment="1">
      <alignment horizontal="center" vertical="center" wrapText="1"/>
    </xf>
    <xf numFmtId="0" fontId="21" fillId="0" borderId="0" xfId="3" applyFont="1" applyFill="1"/>
    <xf numFmtId="0" fontId="21" fillId="0" borderId="0" xfId="3" applyFont="1" applyFill="1" applyBorder="1"/>
    <xf numFmtId="0" fontId="11" fillId="0" borderId="7" xfId="3" applyNumberFormat="1" applyFont="1" applyFill="1" applyBorder="1" applyAlignment="1">
      <alignment horizontal="left" vertical="center" wrapText="1"/>
    </xf>
    <xf numFmtId="0" fontId="21" fillId="0" borderId="8" xfId="3" applyFont="1" applyFill="1" applyBorder="1"/>
    <xf numFmtId="165" fontId="11" fillId="0" borderId="1" xfId="1" applyFont="1" applyFill="1" applyBorder="1" applyAlignment="1">
      <alignment horizontal="right" vertical="center" wrapText="1"/>
    </xf>
    <xf numFmtId="0" fontId="10" fillId="0" borderId="7" xfId="3" applyFont="1" applyFill="1" applyBorder="1" applyAlignment="1">
      <alignment wrapText="1"/>
    </xf>
    <xf numFmtId="0" fontId="23" fillId="0" borderId="7" xfId="3" applyFont="1" applyFill="1" applyBorder="1" applyAlignment="1">
      <alignment wrapText="1"/>
    </xf>
    <xf numFmtId="0" fontId="11" fillId="0" borderId="1" xfId="4" applyFont="1" applyFill="1" applyBorder="1" applyAlignment="1">
      <alignment horizontal="left" vertical="top" wrapText="1"/>
    </xf>
    <xf numFmtId="0" fontId="11" fillId="0" borderId="1" xfId="3" applyFont="1" applyFill="1" applyBorder="1" applyAlignment="1">
      <alignment horizontal="left" vertical="center" wrapText="1"/>
    </xf>
    <xf numFmtId="0" fontId="24" fillId="0" borderId="0" xfId="6" applyFont="1" applyFill="1" applyBorder="1" applyAlignment="1"/>
    <xf numFmtId="170" fontId="8" fillId="0" borderId="0" xfId="2" applyFont="1" applyFill="1" applyBorder="1"/>
    <xf numFmtId="167" fontId="15" fillId="0" borderId="7" xfId="1" applyNumberFormat="1" applyFont="1" applyFill="1" applyBorder="1" applyAlignment="1">
      <alignment vertical="center" wrapText="1"/>
    </xf>
    <xf numFmtId="167" fontId="10" fillId="0" borderId="7" xfId="1" applyNumberFormat="1" applyFont="1" applyFill="1" applyBorder="1" applyAlignment="1">
      <alignment vertical="center" wrapText="1"/>
    </xf>
    <xf numFmtId="166" fontId="15" fillId="0" borderId="1" xfId="3" applyNumberFormat="1" applyFont="1" applyFill="1" applyBorder="1" applyAlignment="1">
      <alignment vertical="center" wrapText="1"/>
    </xf>
    <xf numFmtId="167" fontId="15" fillId="0" borderId="7" xfId="1" applyNumberFormat="1" applyFont="1" applyFill="1" applyBorder="1" applyAlignment="1">
      <alignment horizontal="center" vertical="center"/>
    </xf>
    <xf numFmtId="166" fontId="8" fillId="0" borderId="0" xfId="1" applyNumberFormat="1" applyFont="1" applyFill="1" applyBorder="1" applyAlignment="1">
      <alignment horizontal="right"/>
    </xf>
    <xf numFmtId="0" fontId="8" fillId="0" borderId="0" xfId="3" applyFont="1" applyFill="1" applyBorder="1" applyAlignment="1">
      <alignment horizontal="center" vertical="center"/>
    </xf>
    <xf numFmtId="0" fontId="8" fillId="0" borderId="0" xfId="3" applyFont="1" applyFill="1" applyBorder="1" applyAlignment="1">
      <alignment horizontal="center"/>
    </xf>
    <xf numFmtId="168" fontId="15" fillId="0" borderId="6" xfId="1" applyNumberFormat="1" applyFont="1" applyFill="1" applyBorder="1" applyAlignment="1">
      <alignment horizontal="right" vertical="center"/>
    </xf>
    <xf numFmtId="168" fontId="15" fillId="0" borderId="7" xfId="1" applyNumberFormat="1" applyFont="1" applyFill="1" applyBorder="1" applyAlignment="1">
      <alignment horizontal="right" vertical="center"/>
    </xf>
    <xf numFmtId="49" fontId="24" fillId="0" borderId="7" xfId="0" applyNumberFormat="1" applyFont="1" applyFill="1" applyBorder="1" applyAlignment="1">
      <alignment horizontal="left" vertical="top" wrapText="1"/>
    </xf>
    <xf numFmtId="166" fontId="15" fillId="0" borderId="26" xfId="1" applyNumberFormat="1" applyFont="1" applyFill="1" applyBorder="1" applyAlignment="1">
      <alignment horizontal="center" vertical="center"/>
    </xf>
    <xf numFmtId="169" fontId="25" fillId="0" borderId="26" xfId="0" applyNumberFormat="1" applyFont="1" applyFill="1" applyBorder="1" applyAlignment="1">
      <alignment horizontal="center" vertical="top" wrapText="1"/>
    </xf>
    <xf numFmtId="166" fontId="8" fillId="0" borderId="27" xfId="1" applyNumberFormat="1" applyFont="1" applyFill="1" applyBorder="1" applyAlignment="1">
      <alignment horizontal="right"/>
    </xf>
    <xf numFmtId="0" fontId="15" fillId="0" borderId="26" xfId="3" applyFont="1" applyFill="1" applyBorder="1" applyAlignment="1">
      <alignment horizontal="center" vertical="center" wrapText="1"/>
    </xf>
    <xf numFmtId="0" fontId="8" fillId="0" borderId="27" xfId="3" applyFont="1" applyFill="1" applyBorder="1" applyAlignment="1">
      <alignment horizontal="center" vertical="center"/>
    </xf>
    <xf numFmtId="0" fontId="8" fillId="0" borderId="27" xfId="3" applyFont="1" applyFill="1" applyBorder="1" applyAlignment="1">
      <alignment horizontal="center"/>
    </xf>
    <xf numFmtId="0" fontId="15" fillId="0" borderId="28" xfId="3" applyFont="1" applyFill="1" applyBorder="1" applyAlignment="1">
      <alignment horizontal="center" vertical="center"/>
    </xf>
    <xf numFmtId="0" fontId="8" fillId="0" borderId="29" xfId="3" applyFont="1" applyFill="1" applyBorder="1"/>
    <xf numFmtId="0" fontId="23" fillId="0" borderId="1" xfId="3" applyFont="1" applyFill="1" applyBorder="1" applyAlignment="1">
      <alignment horizontal="left" vertical="center" wrapText="1"/>
    </xf>
    <xf numFmtId="167" fontId="26" fillId="0" borderId="1" xfId="1" applyNumberFormat="1" applyFont="1" applyFill="1" applyBorder="1" applyAlignment="1">
      <alignment horizontal="right" vertical="center" wrapText="1"/>
    </xf>
    <xf numFmtId="49" fontId="27" fillId="0" borderId="1" xfId="3" applyNumberFormat="1" applyFont="1" applyFill="1" applyBorder="1" applyAlignment="1">
      <alignment horizontal="center" vertical="center" wrapText="1"/>
    </xf>
    <xf numFmtId="0" fontId="27" fillId="0" borderId="7" xfId="3" applyFont="1" applyFill="1" applyBorder="1" applyAlignment="1">
      <alignment horizontal="left" vertical="center" wrapText="1"/>
    </xf>
    <xf numFmtId="0" fontId="11" fillId="0" borderId="0" xfId="0" applyFont="1" applyFill="1"/>
    <xf numFmtId="0" fontId="15" fillId="0" borderId="1" xfId="3" applyFont="1" applyFill="1" applyBorder="1" applyAlignment="1">
      <alignment horizontal="left" vertical="center" wrapText="1"/>
    </xf>
    <xf numFmtId="166" fontId="26" fillId="0" borderId="1" xfId="1" applyNumberFormat="1" applyFont="1" applyFill="1" applyBorder="1" applyAlignment="1">
      <alignment horizontal="right" vertical="center" wrapText="1"/>
    </xf>
    <xf numFmtId="166" fontId="27" fillId="0" borderId="1" xfId="1" applyNumberFormat="1" applyFont="1" applyFill="1" applyBorder="1" applyAlignment="1">
      <alignment horizontal="right" vertical="center" wrapText="1"/>
    </xf>
    <xf numFmtId="0" fontId="28" fillId="0" borderId="0" xfId="3" applyFont="1" applyFill="1" applyAlignment="1">
      <alignment horizontal="center" vertical="center"/>
    </xf>
    <xf numFmtId="49" fontId="29" fillId="0" borderId="1" xfId="3" applyNumberFormat="1" applyFont="1" applyFill="1" applyBorder="1" applyAlignment="1">
      <alignment horizontal="center" vertical="center" wrapText="1"/>
    </xf>
    <xf numFmtId="0" fontId="29" fillId="0" borderId="1" xfId="3" applyNumberFormat="1" applyFont="1" applyFill="1" applyBorder="1" applyAlignment="1">
      <alignment horizontal="center" vertical="center" wrapText="1"/>
    </xf>
    <xf numFmtId="49" fontId="26" fillId="0" borderId="1" xfId="3" applyNumberFormat="1" applyFont="1" applyFill="1" applyBorder="1" applyAlignment="1">
      <alignment horizontal="center" vertical="center" wrapText="1"/>
    </xf>
    <xf numFmtId="0" fontId="26" fillId="0" borderId="1" xfId="3" applyFont="1" applyFill="1" applyBorder="1" applyAlignment="1">
      <alignment horizontal="left" vertical="center" wrapText="1"/>
    </xf>
    <xf numFmtId="166" fontId="10" fillId="0" borderId="1" xfId="1" applyNumberFormat="1" applyFont="1" applyFill="1" applyBorder="1" applyAlignment="1">
      <alignment vertical="center" wrapText="1"/>
    </xf>
    <xf numFmtId="168" fontId="15" fillId="0" borderId="7" xfId="3" applyNumberFormat="1" applyFont="1" applyFill="1" applyBorder="1" applyAlignment="1">
      <alignment vertical="center" wrapText="1"/>
    </xf>
    <xf numFmtId="168" fontId="11" fillId="0" borderId="7" xfId="3" applyNumberFormat="1" applyFont="1" applyFill="1" applyBorder="1" applyAlignment="1">
      <alignment horizontal="right" vertical="center"/>
    </xf>
    <xf numFmtId="49" fontId="10" fillId="0" borderId="10" xfId="3" applyNumberFormat="1" applyFont="1" applyFill="1" applyBorder="1" applyAlignment="1">
      <alignment vertical="center" wrapText="1"/>
    </xf>
    <xf numFmtId="0" fontId="11" fillId="0" borderId="0" xfId="0" applyFont="1" applyFill="1" applyAlignment="1">
      <alignment wrapText="1"/>
    </xf>
    <xf numFmtId="168" fontId="10" fillId="0" borderId="14" xfId="3" applyNumberFormat="1" applyFont="1" applyFill="1" applyBorder="1" applyAlignment="1">
      <alignment vertical="center" wrapText="1"/>
    </xf>
    <xf numFmtId="0" fontId="10" fillId="0" borderId="1" xfId="3" applyFont="1" applyFill="1" applyBorder="1" applyAlignment="1">
      <alignment wrapText="1"/>
    </xf>
    <xf numFmtId="0" fontId="23" fillId="0" borderId="1" xfId="3" applyFont="1" applyFill="1" applyBorder="1" applyAlignment="1">
      <alignment wrapText="1"/>
    </xf>
    <xf numFmtId="165" fontId="26" fillId="0" borderId="1" xfId="1" applyFont="1" applyFill="1" applyBorder="1" applyAlignment="1">
      <alignment horizontal="right" vertical="center" wrapText="1"/>
    </xf>
    <xf numFmtId="0" fontId="26" fillId="0" borderId="7" xfId="3" applyFont="1" applyFill="1" applyBorder="1" applyAlignment="1">
      <alignment horizontal="left" vertical="center" wrapText="1"/>
    </xf>
    <xf numFmtId="0" fontId="30" fillId="0" borderId="1" xfId="3" applyFont="1" applyFill="1" applyBorder="1" applyAlignment="1">
      <alignment wrapText="1"/>
    </xf>
    <xf numFmtId="0" fontId="12" fillId="0" borderId="1" xfId="3" applyFont="1" applyFill="1" applyBorder="1" applyAlignment="1">
      <alignment horizontal="left" vertical="center" wrapText="1"/>
    </xf>
    <xf numFmtId="167" fontId="29" fillId="0" borderId="1" xfId="1" applyNumberFormat="1" applyFont="1" applyFill="1" applyBorder="1" applyAlignment="1">
      <alignment horizontal="right" vertical="center" wrapText="1"/>
    </xf>
    <xf numFmtId="166" fontId="29" fillId="0" borderId="1" xfId="1" applyNumberFormat="1" applyFont="1" applyFill="1" applyBorder="1" applyAlignment="1">
      <alignment horizontal="right" vertical="center" wrapText="1"/>
    </xf>
    <xf numFmtId="49" fontId="11" fillId="0" borderId="1" xfId="3" applyNumberFormat="1" applyFont="1" applyFill="1" applyBorder="1" applyAlignment="1" applyProtection="1">
      <alignment horizontal="left" vertical="center" wrapText="1"/>
    </xf>
    <xf numFmtId="49" fontId="11" fillId="0" borderId="7" xfId="3" applyNumberFormat="1" applyFont="1" applyFill="1" applyBorder="1" applyAlignment="1" applyProtection="1">
      <alignment horizontal="left" vertical="center" wrapText="1"/>
    </xf>
    <xf numFmtId="0" fontId="26" fillId="0" borderId="1" xfId="3" applyFont="1" applyFill="1" applyBorder="1" applyAlignment="1">
      <alignment horizontal="center" vertical="center" wrapText="1"/>
    </xf>
    <xf numFmtId="49" fontId="27" fillId="0" borderId="7" xfId="3" applyNumberFormat="1" applyFont="1" applyFill="1" applyBorder="1" applyAlignment="1" applyProtection="1">
      <alignment horizontal="left" vertical="center" wrapText="1"/>
    </xf>
    <xf numFmtId="49" fontId="11" fillId="0" borderId="7" xfId="3" applyNumberFormat="1" applyFont="1" applyFill="1" applyBorder="1" applyAlignment="1">
      <alignment horizontal="left" vertical="center" wrapText="1"/>
    </xf>
    <xf numFmtId="169" fontId="11" fillId="0" borderId="1" xfId="3" applyNumberFormat="1" applyFont="1" applyFill="1" applyBorder="1" applyAlignment="1" applyProtection="1">
      <alignment horizontal="left" vertical="center" wrapText="1"/>
    </xf>
    <xf numFmtId="167" fontId="27" fillId="0" borderId="1" xfId="1" applyNumberFormat="1" applyFont="1" applyFill="1" applyBorder="1" applyAlignment="1">
      <alignment horizontal="right" vertical="center" wrapText="1"/>
    </xf>
    <xf numFmtId="0" fontId="27" fillId="0" borderId="1" xfId="3" applyFont="1" applyFill="1" applyBorder="1" applyAlignment="1">
      <alignment horizontal="center" vertical="center" wrapText="1"/>
    </xf>
    <xf numFmtId="167" fontId="21" fillId="0" borderId="1" xfId="1" applyNumberFormat="1" applyFont="1" applyFill="1" applyBorder="1" applyAlignment="1">
      <alignment horizontal="right" vertical="center" wrapText="1"/>
    </xf>
    <xf numFmtId="166" fontId="21" fillId="0" borderId="1" xfId="1" applyNumberFormat="1" applyFont="1" applyFill="1" applyBorder="1" applyAlignment="1">
      <alignment horizontal="right" vertical="center" wrapText="1"/>
    </xf>
    <xf numFmtId="0" fontId="21" fillId="0" borderId="1" xfId="3" applyFont="1" applyFill="1" applyBorder="1" applyAlignment="1">
      <alignment horizontal="center" vertical="center" wrapText="1"/>
    </xf>
    <xf numFmtId="0" fontId="21" fillId="0" borderId="1" xfId="3" applyFont="1" applyFill="1" applyBorder="1" applyAlignment="1">
      <alignment horizontal="left" vertical="center" wrapText="1"/>
    </xf>
    <xf numFmtId="166" fontId="15" fillId="0" borderId="1" xfId="1" applyNumberFormat="1" applyFont="1" applyFill="1" applyBorder="1" applyAlignment="1">
      <alignment horizontal="center" vertical="center"/>
    </xf>
    <xf numFmtId="169" fontId="25" fillId="0" borderId="1" xfId="0" applyNumberFormat="1" applyFont="1" applyFill="1" applyBorder="1" applyAlignment="1">
      <alignment horizontal="center" vertical="top" wrapText="1"/>
    </xf>
    <xf numFmtId="0" fontId="15" fillId="0" borderId="1" xfId="3" applyFont="1" applyFill="1" applyBorder="1" applyAlignment="1">
      <alignment horizontal="center" vertical="center"/>
    </xf>
    <xf numFmtId="166" fontId="31" fillId="0" borderId="0" xfId="1" applyNumberFormat="1" applyFont="1" applyFill="1" applyAlignment="1">
      <alignment horizontal="right"/>
    </xf>
    <xf numFmtId="0" fontId="31" fillId="0" borderId="0" xfId="3" applyFont="1" applyFill="1" applyAlignment="1">
      <alignment horizontal="center" vertical="center"/>
    </xf>
    <xf numFmtId="0" fontId="31" fillId="0" borderId="0" xfId="3" applyFont="1" applyFill="1" applyAlignment="1">
      <alignment horizontal="center"/>
    </xf>
    <xf numFmtId="0" fontId="31" fillId="0" borderId="0" xfId="3" applyFont="1" applyFill="1" applyAlignment="1">
      <alignment horizontal="left" vertical="center"/>
    </xf>
    <xf numFmtId="168" fontId="8" fillId="0" borderId="0" xfId="3" applyNumberFormat="1" applyFont="1" applyFill="1"/>
    <xf numFmtId="0" fontId="31" fillId="0" borderId="0" xfId="3" applyFont="1" applyFill="1" applyAlignment="1">
      <alignment wrapText="1"/>
    </xf>
    <xf numFmtId="0" fontId="8" fillId="0" borderId="0" xfId="3" applyFont="1" applyFill="1" applyAlignment="1">
      <alignment horizontal="right"/>
    </xf>
    <xf numFmtId="171" fontId="32" fillId="0" borderId="0" xfId="3" applyNumberFormat="1" applyFont="1" applyFill="1" applyBorder="1" applyAlignment="1">
      <alignment horizontal="center"/>
    </xf>
    <xf numFmtId="171" fontId="32" fillId="0" borderId="0" xfId="3" applyNumberFormat="1" applyFont="1" applyFill="1" applyBorder="1" applyAlignment="1">
      <alignment horizontal="left"/>
    </xf>
    <xf numFmtId="49" fontId="33" fillId="0" borderId="0" xfId="3" applyNumberFormat="1" applyFont="1" applyFill="1" applyAlignment="1">
      <alignment horizontal="right" vertical="center" wrapText="1"/>
    </xf>
    <xf numFmtId="168" fontId="32" fillId="0" borderId="0" xfId="1" applyNumberFormat="1" applyFont="1" applyFill="1" applyAlignment="1">
      <alignment horizontal="right"/>
    </xf>
    <xf numFmtId="167" fontId="32" fillId="0" borderId="0" xfId="1" applyNumberFormat="1" applyFont="1" applyFill="1"/>
    <xf numFmtId="167" fontId="32" fillId="0" borderId="0" xfId="1" applyNumberFormat="1" applyFont="1" applyFill="1" applyAlignment="1">
      <alignment horizontal="left"/>
    </xf>
    <xf numFmtId="166" fontId="34" fillId="0" borderId="0" xfId="1" applyNumberFormat="1" applyFont="1" applyFill="1" applyAlignment="1">
      <alignment horizontal="right"/>
    </xf>
    <xf numFmtId="0" fontId="34" fillId="0" borderId="0" xfId="3" applyFont="1" applyFill="1" applyAlignment="1">
      <alignment horizontal="center" vertical="center"/>
    </xf>
    <xf numFmtId="49" fontId="34" fillId="0" borderId="0" xfId="3" applyNumberFormat="1" applyFont="1" applyFill="1" applyAlignment="1">
      <alignment horizontal="right" vertical="center"/>
    </xf>
    <xf numFmtId="0" fontId="34" fillId="0" borderId="0" xfId="3" applyFont="1" applyFill="1" applyAlignment="1">
      <alignment horizontal="center"/>
    </xf>
    <xf numFmtId="0" fontId="34" fillId="0" borderId="0" xfId="3" applyFont="1" applyFill="1" applyAlignment="1">
      <alignment horizontal="left" vertical="center"/>
    </xf>
    <xf numFmtId="0" fontId="35" fillId="0" borderId="0" xfId="7" applyFont="1" applyFill="1" applyBorder="1" applyAlignment="1">
      <alignment horizontal="right"/>
    </xf>
    <xf numFmtId="167" fontId="32" fillId="0" borderId="0" xfId="1" applyNumberFormat="1" applyFont="1" applyFill="1" applyAlignment="1">
      <alignment horizontal="right"/>
    </xf>
    <xf numFmtId="167" fontId="32" fillId="0" borderId="0" xfId="1" applyNumberFormat="1" applyFont="1" applyFill="1" applyAlignment="1">
      <alignment horizontal="center" vertical="center"/>
    </xf>
    <xf numFmtId="0" fontId="31" fillId="0" borderId="0" xfId="8" applyFont="1" applyFill="1" applyAlignment="1">
      <alignment horizontal="right"/>
    </xf>
    <xf numFmtId="0" fontId="31" fillId="0" borderId="0" xfId="0" applyFont="1" applyFill="1" applyAlignment="1">
      <alignment horizontal="right" vertical="center"/>
    </xf>
    <xf numFmtId="0" fontId="11" fillId="0" borderId="0" xfId="0" applyFont="1" applyFill="1" applyAlignment="1">
      <alignment vertical="center"/>
    </xf>
    <xf numFmtId="0" fontId="36" fillId="0" borderId="0" xfId="0" applyFont="1" applyFill="1" applyAlignment="1">
      <alignment horizontal="right" vertical="center"/>
    </xf>
    <xf numFmtId="0" fontId="31" fillId="0" borderId="0" xfId="0" applyFont="1" applyFill="1" applyAlignment="1">
      <alignment vertical="center"/>
    </xf>
    <xf numFmtId="0" fontId="35" fillId="0" borderId="0" xfId="7" applyFont="1" applyFill="1" applyAlignment="1">
      <alignment horizontal="right"/>
    </xf>
    <xf numFmtId="0" fontId="31" fillId="0" borderId="0" xfId="3" applyFont="1" applyFill="1" applyAlignment="1">
      <alignment horizontal="right" vertical="center"/>
    </xf>
    <xf numFmtId="0" fontId="35" fillId="0" borderId="0" xfId="7" applyFont="1" applyFill="1" applyAlignment="1"/>
    <xf numFmtId="166" fontId="17" fillId="0" borderId="1" xfId="5" applyNumberFormat="1" applyFont="1" applyFill="1" applyBorder="1" applyAlignment="1">
      <alignment horizontal="left" vertical="center" wrapText="1"/>
    </xf>
    <xf numFmtId="166" fontId="8" fillId="0" borderId="0" xfId="24" applyNumberFormat="1" applyFont="1" applyFill="1" applyAlignment="1">
      <alignment horizontal="right"/>
    </xf>
    <xf numFmtId="168" fontId="39" fillId="0" borderId="4" xfId="5" applyNumberFormat="1" applyFont="1" applyFill="1" applyBorder="1" applyAlignment="1">
      <alignment horizontal="right" vertical="center" wrapText="1"/>
    </xf>
    <xf numFmtId="49" fontId="39" fillId="0" borderId="4" xfId="5" applyNumberFormat="1" applyFont="1" applyFill="1" applyBorder="1" applyAlignment="1">
      <alignment horizontal="center" vertical="center" wrapText="1"/>
    </xf>
    <xf numFmtId="166" fontId="39" fillId="0" borderId="4" xfId="5" applyNumberFormat="1" applyFont="1" applyFill="1" applyBorder="1" applyAlignment="1">
      <alignment horizontal="left" vertical="center" wrapText="1" indent="2"/>
    </xf>
    <xf numFmtId="172" fontId="39" fillId="0" borderId="4" xfId="5" applyNumberFormat="1" applyFont="1" applyFill="1" applyBorder="1" applyAlignment="1">
      <alignment horizontal="left" vertical="center" wrapText="1" indent="2"/>
    </xf>
    <xf numFmtId="0" fontId="39" fillId="0" borderId="5" xfId="5" applyFont="1" applyFill="1" applyBorder="1" applyAlignment="1">
      <alignment horizontal="center" vertical="center"/>
    </xf>
    <xf numFmtId="168" fontId="39" fillId="0" borderId="9" xfId="5" applyNumberFormat="1" applyFont="1" applyFill="1" applyBorder="1" applyAlignment="1">
      <alignment horizontal="right" vertical="center" wrapText="1"/>
    </xf>
    <xf numFmtId="168" fontId="39" fillId="0" borderId="1" xfId="5" applyNumberFormat="1" applyFont="1" applyFill="1" applyBorder="1" applyAlignment="1">
      <alignment horizontal="right" vertical="center" wrapText="1"/>
    </xf>
    <xf numFmtId="49" fontId="39" fillId="0" borderId="1" xfId="5" applyNumberFormat="1" applyFont="1" applyFill="1" applyBorder="1" applyAlignment="1">
      <alignment horizontal="center" vertical="center" wrapText="1"/>
    </xf>
    <xf numFmtId="166" fontId="39" fillId="0" borderId="1" xfId="5" applyNumberFormat="1" applyFont="1" applyFill="1" applyBorder="1" applyAlignment="1">
      <alignment horizontal="left" vertical="center" wrapText="1"/>
    </xf>
    <xf numFmtId="0" fontId="39" fillId="0" borderId="8" xfId="5" applyFont="1" applyFill="1" applyBorder="1" applyAlignment="1">
      <alignment horizontal="center" vertical="center"/>
    </xf>
    <xf numFmtId="0" fontId="39" fillId="0" borderId="7" xfId="9" applyFont="1" applyFill="1" applyBorder="1" applyAlignment="1">
      <alignment horizontal="left" vertical="center" wrapText="1"/>
    </xf>
    <xf numFmtId="0" fontId="40" fillId="0" borderId="7" xfId="3" applyFont="1" applyFill="1" applyBorder="1" applyAlignment="1">
      <alignment horizontal="left" vertical="center" wrapText="1"/>
    </xf>
    <xf numFmtId="168" fontId="41" fillId="0" borderId="9" xfId="5" applyNumberFormat="1" applyFont="1" applyFill="1" applyBorder="1" applyAlignment="1">
      <alignment horizontal="right" vertical="center" wrapText="1"/>
    </xf>
    <xf numFmtId="168" fontId="41" fillId="0" borderId="1" xfId="5" applyNumberFormat="1" applyFont="1" applyFill="1" applyBorder="1" applyAlignment="1">
      <alignment horizontal="right" vertical="center" wrapText="1"/>
    </xf>
    <xf numFmtId="49" fontId="41" fillId="0" borderId="1" xfId="5" applyNumberFormat="1" applyFont="1" applyFill="1" applyBorder="1" applyAlignment="1">
      <alignment horizontal="center" vertical="center" wrapText="1"/>
    </xf>
    <xf numFmtId="166" fontId="41" fillId="0" borderId="1" xfId="5" applyNumberFormat="1" applyFont="1" applyFill="1" applyBorder="1" applyAlignment="1">
      <alignment horizontal="left" vertical="center" wrapText="1"/>
    </xf>
    <xf numFmtId="0" fontId="42" fillId="0" borderId="7" xfId="3" applyFont="1" applyFill="1" applyBorder="1" applyAlignment="1">
      <alignment horizontal="left" vertical="center" wrapText="1"/>
    </xf>
    <xf numFmtId="0" fontId="41" fillId="0" borderId="8" xfId="5" applyFont="1" applyFill="1" applyBorder="1" applyAlignment="1">
      <alignment horizontal="center" vertical="center"/>
    </xf>
    <xf numFmtId="172" fontId="41" fillId="0" borderId="1" xfId="5" applyNumberFormat="1" applyFont="1" applyFill="1" applyBorder="1" applyAlignment="1">
      <alignment horizontal="left" vertical="center" wrapText="1"/>
    </xf>
    <xf numFmtId="166" fontId="39" fillId="0" borderId="1" xfId="5" applyNumberFormat="1" applyFont="1" applyFill="1" applyBorder="1" applyAlignment="1">
      <alignment horizontal="left" vertical="center" wrapText="1" indent="2"/>
    </xf>
    <xf numFmtId="172" fontId="39" fillId="0" borderId="1" xfId="5" applyNumberFormat="1" applyFont="1" applyFill="1" applyBorder="1" applyAlignment="1">
      <alignment horizontal="left" vertical="center" wrapText="1" indent="2"/>
    </xf>
    <xf numFmtId="172" fontId="39" fillId="0" borderId="1" xfId="5" applyNumberFormat="1" applyFont="1" applyFill="1" applyBorder="1" applyAlignment="1">
      <alignment horizontal="left" vertical="center" wrapText="1"/>
    </xf>
    <xf numFmtId="168" fontId="41" fillId="0" borderId="20" xfId="5" applyNumberFormat="1" applyFont="1" applyFill="1" applyBorder="1" applyAlignment="1">
      <alignment horizontal="right" vertical="center" wrapText="1"/>
    </xf>
    <xf numFmtId="168" fontId="41" fillId="0" borderId="2" xfId="5" applyNumberFormat="1" applyFont="1" applyFill="1" applyBorder="1" applyAlignment="1">
      <alignment horizontal="right" vertical="center" wrapText="1"/>
    </xf>
    <xf numFmtId="49" fontId="41" fillId="0" borderId="2" xfId="5" applyNumberFormat="1" applyFont="1" applyFill="1" applyBorder="1" applyAlignment="1">
      <alignment horizontal="center" vertical="center" wrapText="1"/>
    </xf>
    <xf numFmtId="166" fontId="41" fillId="0" borderId="2" xfId="5" applyNumberFormat="1" applyFont="1" applyFill="1" applyBorder="1" applyAlignment="1">
      <alignment horizontal="left" vertical="center" wrapText="1"/>
    </xf>
    <xf numFmtId="172" fontId="41" fillId="0" borderId="2" xfId="5" applyNumberFormat="1" applyFont="1" applyFill="1" applyBorder="1" applyAlignment="1">
      <alignment horizontal="left" vertical="center" wrapText="1"/>
    </xf>
    <xf numFmtId="0" fontId="39" fillId="0" borderId="21" xfId="5" applyFont="1" applyFill="1" applyBorder="1" applyAlignment="1">
      <alignment horizontal="center" vertical="center"/>
    </xf>
    <xf numFmtId="168" fontId="41" fillId="0" borderId="31" xfId="5" applyNumberFormat="1" applyFont="1" applyFill="1" applyBorder="1" applyAlignment="1">
      <alignment horizontal="right" vertical="center" wrapText="1"/>
    </xf>
    <xf numFmtId="168" fontId="41" fillId="0" borderId="32" xfId="5" applyNumberFormat="1" applyFont="1" applyFill="1" applyBorder="1" applyAlignment="1">
      <alignment horizontal="right" vertical="center" wrapText="1"/>
    </xf>
    <xf numFmtId="168" fontId="39" fillId="0" borderId="32" xfId="5" applyNumberFormat="1" applyFont="1" applyFill="1" applyBorder="1" applyAlignment="1">
      <alignment horizontal="right" vertical="center" wrapText="1"/>
    </xf>
    <xf numFmtId="49" fontId="39" fillId="0" borderId="32" xfId="5" applyNumberFormat="1" applyFont="1" applyFill="1" applyBorder="1" applyAlignment="1">
      <alignment horizontal="center" vertical="center" wrapText="1"/>
    </xf>
    <xf numFmtId="49" fontId="41" fillId="0" borderId="32" xfId="5" applyNumberFormat="1" applyFont="1" applyFill="1" applyBorder="1" applyAlignment="1">
      <alignment horizontal="center" vertical="center" wrapText="1"/>
    </xf>
    <xf numFmtId="0" fontId="41" fillId="0" borderId="32" xfId="8" applyFont="1" applyFill="1" applyBorder="1" applyAlignment="1">
      <alignment horizontal="left" vertical="center" wrapText="1"/>
    </xf>
    <xf numFmtId="0" fontId="41" fillId="0" borderId="33" xfId="5" applyFont="1" applyFill="1" applyBorder="1" applyAlignment="1">
      <alignment horizontal="center" vertical="center"/>
    </xf>
    <xf numFmtId="168" fontId="39" fillId="0" borderId="34" xfId="5" applyNumberFormat="1" applyFont="1" applyFill="1" applyBorder="1" applyAlignment="1">
      <alignment horizontal="right" vertical="center" wrapText="1"/>
    </xf>
    <xf numFmtId="168" fontId="39" fillId="0" borderId="23" xfId="5" applyNumberFormat="1" applyFont="1" applyFill="1" applyBorder="1" applyAlignment="1">
      <alignment horizontal="right" vertical="center" wrapText="1"/>
    </xf>
    <xf numFmtId="49" fontId="39" fillId="0" borderId="23" xfId="5" applyNumberFormat="1" applyFont="1" applyFill="1" applyBorder="1" applyAlignment="1">
      <alignment horizontal="center" vertical="center" wrapText="1"/>
    </xf>
    <xf numFmtId="166" fontId="39" fillId="0" borderId="23" xfId="5" applyNumberFormat="1" applyFont="1" applyFill="1" applyBorder="1" applyAlignment="1">
      <alignment horizontal="left" vertical="center" wrapText="1" indent="2"/>
    </xf>
    <xf numFmtId="172" fontId="39" fillId="0" borderId="23" xfId="5" applyNumberFormat="1" applyFont="1" applyFill="1" applyBorder="1" applyAlignment="1">
      <alignment horizontal="left" vertical="center" wrapText="1" indent="2"/>
    </xf>
    <xf numFmtId="0" fontId="39" fillId="0" borderId="24" xfId="5" applyFont="1" applyFill="1" applyBorder="1" applyAlignment="1">
      <alignment vertical="center"/>
    </xf>
    <xf numFmtId="0" fontId="39" fillId="0" borderId="8" xfId="5" applyFont="1" applyFill="1" applyBorder="1" applyAlignment="1">
      <alignment vertical="center"/>
    </xf>
    <xf numFmtId="0" fontId="39" fillId="0" borderId="1" xfId="9" applyFont="1" applyFill="1" applyBorder="1" applyAlignment="1">
      <alignment horizontal="left" vertical="center" wrapText="1"/>
    </xf>
    <xf numFmtId="0" fontId="41" fillId="0" borderId="7" xfId="3" applyFont="1" applyFill="1" applyBorder="1" applyAlignment="1">
      <alignment horizontal="left" vertical="center" wrapText="1"/>
    </xf>
    <xf numFmtId="173" fontId="39" fillId="0" borderId="1" xfId="5" applyNumberFormat="1" applyFont="1" applyFill="1" applyBorder="1" applyAlignment="1">
      <alignment horizontal="left" vertical="center" wrapText="1" indent="2"/>
    </xf>
    <xf numFmtId="0" fontId="39" fillId="0" borderId="1" xfId="9" applyFont="1" applyFill="1" applyBorder="1" applyAlignment="1">
      <alignment horizontal="justify" vertical="top" wrapText="1"/>
    </xf>
    <xf numFmtId="0" fontId="39" fillId="0" borderId="7" xfId="3" applyFont="1" applyFill="1" applyBorder="1" applyAlignment="1">
      <alignment horizontal="left" vertical="center" wrapText="1"/>
    </xf>
    <xf numFmtId="49" fontId="39" fillId="0" borderId="1" xfId="14" applyNumberFormat="1" applyFont="1" applyFill="1" applyBorder="1" applyAlignment="1">
      <alignment horizontal="center" vertical="center" wrapText="1"/>
    </xf>
    <xf numFmtId="49" fontId="39" fillId="0" borderId="1" xfId="5" applyNumberFormat="1" applyFont="1" applyFill="1" applyBorder="1" applyAlignment="1">
      <alignment horizontal="left" vertical="center" wrapText="1"/>
    </xf>
    <xf numFmtId="168" fontId="40" fillId="0" borderId="9" xfId="14" applyNumberFormat="1" applyFont="1" applyFill="1" applyBorder="1" applyAlignment="1">
      <alignment horizontal="right" vertical="center"/>
    </xf>
    <xf numFmtId="168" fontId="40" fillId="0" borderId="1" xfId="14" applyNumberFormat="1" applyFont="1" applyFill="1" applyBorder="1" applyAlignment="1">
      <alignment horizontal="right" vertical="center"/>
    </xf>
    <xf numFmtId="49" fontId="39" fillId="0" borderId="1" xfId="12" applyNumberFormat="1" applyFont="1" applyFill="1" applyBorder="1" applyAlignment="1" applyProtection="1">
      <alignment horizontal="center" vertical="center" wrapText="1"/>
    </xf>
    <xf numFmtId="49" fontId="41" fillId="0" borderId="1" xfId="12" applyNumberFormat="1" applyFont="1" applyFill="1" applyBorder="1" applyAlignment="1" applyProtection="1">
      <alignment horizontal="center" vertical="center" wrapText="1"/>
    </xf>
    <xf numFmtId="172" fontId="39" fillId="0" borderId="1" xfId="12" applyNumberFormat="1" applyFont="1" applyFill="1" applyBorder="1" applyAlignment="1" applyProtection="1">
      <alignment horizontal="left" vertical="center" wrapText="1"/>
    </xf>
    <xf numFmtId="0" fontId="40" fillId="0" borderId="8" xfId="14" applyFont="1" applyFill="1" applyBorder="1" applyAlignment="1">
      <alignment horizontal="center" vertical="center"/>
    </xf>
    <xf numFmtId="172" fontId="39" fillId="0" borderId="1" xfId="9" applyNumberFormat="1" applyFont="1" applyFill="1" applyBorder="1" applyAlignment="1">
      <alignment vertical="center" wrapText="1"/>
    </xf>
    <xf numFmtId="166" fontId="39" fillId="0" borderId="8" xfId="5" applyNumberFormat="1" applyFont="1" applyFill="1" applyBorder="1" applyAlignment="1">
      <alignment horizontal="left" vertical="center" wrapText="1"/>
    </xf>
    <xf numFmtId="0" fontId="40" fillId="0" borderId="7" xfId="3" applyFont="1" applyFill="1" applyBorder="1" applyAlignment="1">
      <alignment horizontal="center" vertical="center" wrapText="1"/>
    </xf>
    <xf numFmtId="166" fontId="39" fillId="0" borderId="8" xfId="5" applyNumberFormat="1" applyFont="1" applyFill="1" applyBorder="1" applyAlignment="1">
      <alignment vertical="center" wrapText="1"/>
    </xf>
    <xf numFmtId="0" fontId="41" fillId="0" borderId="7" xfId="3" applyFont="1" applyFill="1" applyBorder="1" applyAlignment="1">
      <alignment vertical="top" wrapText="1"/>
    </xf>
    <xf numFmtId="168" fontId="42" fillId="0" borderId="9" xfId="14" applyNumberFormat="1" applyFont="1" applyFill="1" applyBorder="1" applyAlignment="1">
      <alignment horizontal="right" vertical="center"/>
    </xf>
    <xf numFmtId="168" fontId="42" fillId="0" borderId="1" xfId="14" applyNumberFormat="1" applyFont="1" applyFill="1" applyBorder="1" applyAlignment="1">
      <alignment horizontal="right" vertical="center"/>
    </xf>
    <xf numFmtId="172" fontId="41" fillId="0" borderId="1" xfId="12" applyNumberFormat="1" applyFont="1" applyFill="1" applyBorder="1" applyAlignment="1" applyProtection="1">
      <alignment horizontal="left" vertical="center" wrapText="1"/>
    </xf>
    <xf numFmtId="0" fontId="40" fillId="0" borderId="8" xfId="14" applyFont="1" applyFill="1" applyBorder="1" applyAlignment="1">
      <alignment vertical="center"/>
    </xf>
    <xf numFmtId="0" fontId="11" fillId="0" borderId="7" xfId="9" applyFont="1" applyFill="1" applyBorder="1" applyAlignment="1">
      <alignment vertical="top" wrapText="1"/>
    </xf>
    <xf numFmtId="0" fontId="39" fillId="0" borderId="7" xfId="10" applyFont="1" applyFill="1" applyBorder="1" applyAlignment="1">
      <alignment horizontal="left" vertical="center" wrapText="1"/>
    </xf>
    <xf numFmtId="49" fontId="41" fillId="0" borderId="1" xfId="14" applyNumberFormat="1" applyFont="1" applyFill="1" applyBorder="1" applyAlignment="1">
      <alignment horizontal="center" vertical="center" wrapText="1"/>
    </xf>
    <xf numFmtId="0" fontId="40" fillId="0" borderId="18" xfId="3" applyFont="1" applyFill="1" applyBorder="1" applyAlignment="1">
      <alignment vertical="top" wrapText="1"/>
    </xf>
    <xf numFmtId="0" fontId="41" fillId="0" borderId="8" xfId="5" applyFont="1" applyFill="1" applyBorder="1" applyAlignment="1">
      <alignment vertical="center"/>
    </xf>
    <xf numFmtId="166" fontId="41" fillId="0" borderId="1" xfId="12" applyNumberFormat="1" applyFont="1" applyFill="1" applyBorder="1" applyAlignment="1" applyProtection="1">
      <alignment horizontal="left" vertical="center" wrapText="1"/>
    </xf>
    <xf numFmtId="0" fontId="39" fillId="0" borderId="1" xfId="9" applyFont="1" applyFill="1" applyBorder="1" applyAlignment="1">
      <alignment horizontal="left" vertical="top" wrapText="1"/>
    </xf>
    <xf numFmtId="172" fontId="41" fillId="0" borderId="1" xfId="9" applyNumberFormat="1" applyFont="1" applyFill="1" applyBorder="1" applyAlignment="1">
      <alignment vertical="center" wrapText="1"/>
    </xf>
    <xf numFmtId="0" fontId="11" fillId="0" borderId="7" xfId="9" applyFont="1" applyFill="1" applyBorder="1" applyAlignment="1">
      <alignment wrapText="1"/>
    </xf>
    <xf numFmtId="0" fontId="11" fillId="0" borderId="7" xfId="9" applyFont="1" applyFill="1" applyBorder="1" applyAlignment="1">
      <alignment horizontal="left" vertical="center" wrapText="1"/>
    </xf>
    <xf numFmtId="49" fontId="39" fillId="0" borderId="1" xfId="14" applyNumberFormat="1" applyFont="1" applyFill="1" applyBorder="1" applyAlignment="1">
      <alignment vertical="center" wrapText="1"/>
    </xf>
    <xf numFmtId="49" fontId="41" fillId="0" borderId="1" xfId="14" applyNumberFormat="1" applyFont="1" applyFill="1" applyBorder="1" applyAlignment="1">
      <alignment vertical="center" wrapText="1"/>
    </xf>
    <xf numFmtId="166" fontId="39" fillId="0" borderId="1" xfId="11" applyNumberFormat="1" applyFont="1" applyFill="1" applyBorder="1" applyAlignment="1" applyProtection="1">
      <alignment horizontal="left" vertical="center" wrapText="1"/>
    </xf>
    <xf numFmtId="166" fontId="39" fillId="0" borderId="1" xfId="14" applyNumberFormat="1" applyFont="1" applyFill="1" applyBorder="1" applyAlignment="1">
      <alignment vertical="center" wrapText="1"/>
    </xf>
    <xf numFmtId="172" fontId="39" fillId="0" borderId="1" xfId="11" applyNumberFormat="1" applyFont="1" applyFill="1" applyBorder="1" applyAlignment="1" applyProtection="1">
      <alignment horizontal="left" vertical="center" wrapText="1"/>
    </xf>
    <xf numFmtId="0" fontId="45" fillId="0" borderId="7" xfId="3" applyFont="1" applyFill="1" applyBorder="1" applyAlignment="1">
      <alignment horizontal="left" vertical="center" wrapText="1"/>
    </xf>
    <xf numFmtId="172" fontId="41" fillId="0" borderId="1" xfId="5" applyNumberFormat="1" applyFont="1" applyFill="1" applyBorder="1" applyAlignment="1">
      <alignment horizontal="left" vertical="top" wrapText="1"/>
    </xf>
    <xf numFmtId="0" fontId="39" fillId="0" borderId="2" xfId="10" applyNumberFormat="1" applyFont="1" applyFill="1" applyBorder="1" applyAlignment="1" applyProtection="1">
      <alignment horizontal="left" vertical="center" wrapText="1"/>
    </xf>
    <xf numFmtId="0" fontId="39" fillId="0" borderId="7" xfId="9" applyFont="1" applyFill="1" applyBorder="1" applyAlignment="1">
      <alignment wrapText="1"/>
    </xf>
    <xf numFmtId="0" fontId="19" fillId="0" borderId="7" xfId="9" applyFont="1" applyFill="1" applyBorder="1" applyAlignment="1">
      <alignment horizontal="left" vertical="center" wrapText="1"/>
    </xf>
    <xf numFmtId="0" fontId="12" fillId="0" borderId="7" xfId="9" applyFont="1" applyFill="1" applyBorder="1" applyAlignment="1">
      <alignment horizontal="left" vertical="center" wrapText="1"/>
    </xf>
    <xf numFmtId="49" fontId="40" fillId="0" borderId="1" xfId="3" applyNumberFormat="1" applyFont="1" applyFill="1" applyBorder="1" applyAlignment="1">
      <alignment horizontal="center" vertical="center" wrapText="1"/>
    </xf>
    <xf numFmtId="169" fontId="39" fillId="0" borderId="1" xfId="10" applyNumberFormat="1" applyFont="1" applyFill="1" applyBorder="1" applyAlignment="1" applyProtection="1">
      <alignment horizontal="left" vertical="center" wrapText="1"/>
    </xf>
    <xf numFmtId="0" fontId="39" fillId="0" borderId="1" xfId="9" applyNumberFormat="1" applyFont="1" applyFill="1" applyBorder="1" applyAlignment="1" applyProtection="1">
      <alignment horizontal="left" vertical="center" wrapText="1"/>
    </xf>
    <xf numFmtId="168" fontId="39" fillId="0" borderId="9" xfId="5" applyNumberFormat="1" applyFont="1" applyFill="1" applyBorder="1" applyAlignment="1">
      <alignment horizontal="right" vertical="center"/>
    </xf>
    <xf numFmtId="168" fontId="39" fillId="0" borderId="1" xfId="5" applyNumberFormat="1" applyFont="1" applyFill="1" applyBorder="1" applyAlignment="1">
      <alignment horizontal="right" vertical="center"/>
    </xf>
    <xf numFmtId="168" fontId="41" fillId="0" borderId="9" xfId="5" applyNumberFormat="1" applyFont="1" applyFill="1" applyBorder="1" applyAlignment="1">
      <alignment horizontal="right" vertical="center"/>
    </xf>
    <xf numFmtId="168" fontId="41" fillId="0" borderId="1" xfId="5" applyNumberFormat="1" applyFont="1" applyFill="1" applyBorder="1" applyAlignment="1">
      <alignment horizontal="right" vertical="center"/>
    </xf>
    <xf numFmtId="166" fontId="41" fillId="0" borderId="1" xfId="11" applyNumberFormat="1" applyFont="1" applyFill="1" applyBorder="1" applyAlignment="1" applyProtection="1">
      <alignment horizontal="left" vertical="center" wrapText="1"/>
    </xf>
    <xf numFmtId="172" fontId="41" fillId="0" borderId="32" xfId="5" applyNumberFormat="1" applyFont="1" applyFill="1" applyBorder="1" applyAlignment="1">
      <alignment horizontal="left" vertical="center" wrapText="1"/>
    </xf>
    <xf numFmtId="168" fontId="39" fillId="0" borderId="34" xfId="5" applyNumberFormat="1" applyFont="1" applyFill="1" applyBorder="1" applyAlignment="1">
      <alignment horizontal="right" vertical="center"/>
    </xf>
    <xf numFmtId="168" fontId="39" fillId="0" borderId="23" xfId="5" applyNumberFormat="1" applyFont="1" applyFill="1" applyBorder="1" applyAlignment="1">
      <alignment horizontal="right" vertical="center"/>
    </xf>
    <xf numFmtId="0" fontId="41" fillId="0" borderId="24" xfId="5" applyFont="1" applyFill="1" applyBorder="1" applyAlignment="1">
      <alignment horizontal="center" vertical="center"/>
    </xf>
    <xf numFmtId="0" fontId="41" fillId="0" borderId="21" xfId="5" applyFont="1" applyFill="1" applyBorder="1" applyAlignment="1">
      <alignment horizontal="center" vertical="center"/>
    </xf>
    <xf numFmtId="168" fontId="13" fillId="0" borderId="34" xfId="5" applyNumberFormat="1" applyFont="1" applyFill="1" applyBorder="1" applyAlignment="1">
      <alignment horizontal="right" vertical="center" wrapText="1"/>
    </xf>
    <xf numFmtId="168" fontId="13" fillId="0" borderId="23" xfId="5" applyNumberFormat="1" applyFont="1" applyFill="1" applyBorder="1" applyAlignment="1">
      <alignment horizontal="right" vertical="center" wrapText="1"/>
    </xf>
    <xf numFmtId="49" fontId="13" fillId="0" borderId="23" xfId="5" applyNumberFormat="1" applyFont="1" applyFill="1" applyBorder="1" applyAlignment="1">
      <alignment horizontal="center" vertical="center" wrapText="1"/>
    </xf>
    <xf numFmtId="166" fontId="13" fillId="0" borderId="23" xfId="5" applyNumberFormat="1" applyFont="1" applyFill="1" applyBorder="1" applyAlignment="1">
      <alignment horizontal="left" vertical="center" wrapText="1"/>
    </xf>
    <xf numFmtId="172" fontId="13" fillId="0" borderId="23" xfId="5" applyNumberFormat="1" applyFont="1" applyFill="1" applyBorder="1" applyAlignment="1">
      <alignment horizontal="left" vertical="center" wrapText="1"/>
    </xf>
    <xf numFmtId="0" fontId="8" fillId="0" borderId="24" xfId="5" applyFont="1" applyFill="1" applyBorder="1" applyAlignment="1">
      <alignment horizontal="center" vertical="center"/>
    </xf>
    <xf numFmtId="168" fontId="41" fillId="0" borderId="25" xfId="5" applyNumberFormat="1" applyFont="1" applyFill="1" applyBorder="1" applyAlignment="1">
      <alignment horizontal="center" vertical="center" wrapText="1"/>
    </xf>
    <xf numFmtId="168" fontId="41" fillId="0" borderId="26" xfId="5" applyNumberFormat="1" applyFont="1" applyFill="1" applyBorder="1" applyAlignment="1">
      <alignment horizontal="center" vertical="center" wrapText="1"/>
    </xf>
    <xf numFmtId="49" fontId="41" fillId="0" borderId="26" xfId="5" applyNumberFormat="1" applyFont="1" applyFill="1" applyBorder="1" applyAlignment="1">
      <alignment horizontal="center" vertical="center" wrapText="1"/>
    </xf>
    <xf numFmtId="166" fontId="41" fillId="0" borderId="26" xfId="5" applyNumberFormat="1" applyFont="1" applyFill="1" applyBorder="1" applyAlignment="1">
      <alignment horizontal="center" vertical="center" wrapText="1"/>
    </xf>
    <xf numFmtId="172" fontId="41" fillId="0" borderId="26" xfId="5" applyNumberFormat="1" applyFont="1" applyFill="1" applyBorder="1" applyAlignment="1">
      <alignment horizontal="center" vertical="center" wrapText="1"/>
    </xf>
    <xf numFmtId="0" fontId="41" fillId="0" borderId="29" xfId="5" applyFont="1" applyFill="1" applyBorder="1" applyAlignment="1">
      <alignment horizontal="center" vertical="center" wrapText="1"/>
    </xf>
    <xf numFmtId="166" fontId="31" fillId="0" borderId="0" xfId="24" applyNumberFormat="1" applyFont="1" applyFill="1" applyAlignment="1">
      <alignment horizontal="right"/>
    </xf>
    <xf numFmtId="0" fontId="31" fillId="0" borderId="0" xfId="3" applyFont="1" applyFill="1"/>
    <xf numFmtId="167" fontId="8" fillId="0" borderId="0" xfId="3" applyNumberFormat="1" applyFont="1" applyFill="1"/>
    <xf numFmtId="167" fontId="32" fillId="0" borderId="0" xfId="24" applyNumberFormat="1" applyFont="1" applyFill="1"/>
    <xf numFmtId="167" fontId="32" fillId="0" borderId="0" xfId="24" applyNumberFormat="1" applyFont="1" applyFill="1" applyAlignment="1">
      <alignment horizontal="left"/>
    </xf>
    <xf numFmtId="166" fontId="34" fillId="0" borderId="0" xfId="24" applyNumberFormat="1" applyFont="1" applyFill="1" applyAlignment="1">
      <alignment horizontal="right"/>
    </xf>
    <xf numFmtId="168" fontId="32" fillId="0" borderId="0" xfId="24" applyNumberFormat="1" applyFont="1" applyFill="1" applyAlignment="1">
      <alignment horizontal="right"/>
    </xf>
    <xf numFmtId="167" fontId="32" fillId="0" borderId="0" xfId="24" applyNumberFormat="1" applyFont="1" applyFill="1" applyAlignment="1">
      <alignment horizontal="center" vertical="center"/>
    </xf>
    <xf numFmtId="167" fontId="32" fillId="0" borderId="0" xfId="24" applyNumberFormat="1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0" fontId="11" fillId="0" borderId="0" xfId="9" applyFont="1" applyFill="1" applyAlignment="1">
      <alignment vertical="center"/>
    </xf>
    <xf numFmtId="166" fontId="15" fillId="0" borderId="0" xfId="24" applyNumberFormat="1" applyFont="1" applyFill="1" applyBorder="1" applyAlignment="1">
      <alignment horizontal="center" vertical="center"/>
    </xf>
    <xf numFmtId="0" fontId="47" fillId="0" borderId="0" xfId="9" applyFont="1" applyFill="1" applyAlignment="1">
      <alignment vertical="center"/>
    </xf>
    <xf numFmtId="0" fontId="35" fillId="0" borderId="0" xfId="7" applyFont="1" applyFill="1" applyAlignment="1">
      <alignment horizontal="right" vertical="center"/>
    </xf>
    <xf numFmtId="0" fontId="36" fillId="0" borderId="0" xfId="9" applyFont="1" applyFill="1" applyAlignment="1">
      <alignment vertical="center"/>
    </xf>
    <xf numFmtId="0" fontId="35" fillId="0" borderId="0" xfId="7" applyFont="1" applyFill="1" applyAlignment="1">
      <alignment horizontal="right"/>
    </xf>
    <xf numFmtId="167" fontId="13" fillId="0" borderId="0" xfId="24" applyNumberFormat="1" applyFont="1" applyFill="1" applyAlignment="1">
      <alignment horizontal="right"/>
    </xf>
    <xf numFmtId="167" fontId="13" fillId="0" borderId="0" xfId="24" applyNumberFormat="1" applyFont="1" applyFill="1" applyAlignment="1">
      <alignment horizontal="center" vertical="center"/>
    </xf>
    <xf numFmtId="49" fontId="8" fillId="0" borderId="0" xfId="3" applyNumberFormat="1" applyFont="1" applyFill="1" applyAlignment="1">
      <alignment horizontal="right" vertical="center"/>
    </xf>
    <xf numFmtId="168" fontId="13" fillId="0" borderId="0" xfId="24" applyNumberFormat="1" applyFont="1" applyFill="1" applyAlignment="1">
      <alignment horizontal="right"/>
    </xf>
    <xf numFmtId="167" fontId="13" fillId="0" borderId="0" xfId="24" applyNumberFormat="1" applyFont="1" applyFill="1"/>
    <xf numFmtId="171" fontId="13" fillId="0" borderId="0" xfId="3" applyNumberFormat="1" applyFont="1" applyFill="1" applyBorder="1" applyAlignment="1">
      <alignment horizontal="center"/>
    </xf>
    <xf numFmtId="166" fontId="39" fillId="0" borderId="0" xfId="24" applyNumberFormat="1" applyFont="1" applyFill="1" applyAlignment="1">
      <alignment horizontal="right"/>
    </xf>
    <xf numFmtId="49" fontId="39" fillId="0" borderId="1" xfId="3" applyNumberFormat="1" applyFont="1" applyFill="1" applyBorder="1" applyAlignment="1">
      <alignment horizontal="center" vertical="center" wrapText="1"/>
    </xf>
    <xf numFmtId="0" fontId="11" fillId="0" borderId="7" xfId="9" applyNumberFormat="1" applyFont="1" applyFill="1" applyBorder="1" applyAlignment="1">
      <alignment horizontal="left" vertical="center" wrapText="1"/>
    </xf>
    <xf numFmtId="0" fontId="48" fillId="0" borderId="7" xfId="3" applyFont="1" applyFill="1" applyBorder="1" applyAlignment="1">
      <alignment horizontal="left" vertical="center" wrapText="1"/>
    </xf>
    <xf numFmtId="168" fontId="41" fillId="0" borderId="1" xfId="14" applyNumberFormat="1" applyFont="1" applyFill="1" applyBorder="1" applyAlignment="1">
      <alignment horizontal="right" vertical="center"/>
    </xf>
    <xf numFmtId="0" fontId="39" fillId="0" borderId="8" xfId="14" applyFont="1" applyFill="1" applyBorder="1" applyAlignment="1">
      <alignment horizontal="center" vertical="center"/>
    </xf>
    <xf numFmtId="0" fontId="39" fillId="0" borderId="8" xfId="14" applyFont="1" applyFill="1" applyBorder="1" applyAlignment="1">
      <alignment vertical="center"/>
    </xf>
    <xf numFmtId="0" fontId="39" fillId="0" borderId="18" xfId="3" applyFont="1" applyFill="1" applyBorder="1" applyAlignment="1">
      <alignment vertical="top" wrapText="1"/>
    </xf>
    <xf numFmtId="168" fontId="39" fillId="0" borderId="14" xfId="5" applyNumberFormat="1" applyFont="1" applyFill="1" applyBorder="1" applyAlignment="1">
      <alignment horizontal="right" vertical="center" wrapText="1"/>
    </xf>
    <xf numFmtId="0" fontId="39" fillId="0" borderId="7" xfId="3" applyFont="1" applyFill="1" applyBorder="1" applyAlignment="1">
      <alignment horizontal="center" vertical="center" wrapText="1"/>
    </xf>
    <xf numFmtId="168" fontId="39" fillId="0" borderId="9" xfId="14" applyNumberFormat="1" applyFont="1" applyFill="1" applyBorder="1" applyAlignment="1">
      <alignment horizontal="right" vertical="center"/>
    </xf>
    <xf numFmtId="168" fontId="39" fillId="0" borderId="3" xfId="5" applyNumberFormat="1" applyFont="1" applyFill="1" applyBorder="1" applyAlignment="1">
      <alignment horizontal="right" vertical="center" wrapText="1"/>
    </xf>
    <xf numFmtId="49" fontId="49" fillId="0" borderId="1" xfId="5" applyNumberFormat="1" applyFont="1" applyFill="1" applyBorder="1" applyAlignment="1">
      <alignment horizontal="center" vertical="center" wrapText="1"/>
    </xf>
    <xf numFmtId="49" fontId="50" fillId="0" borderId="1" xfId="5" applyNumberFormat="1" applyFont="1" applyFill="1" applyBorder="1" applyAlignment="1">
      <alignment horizontal="center" vertical="center" wrapText="1"/>
    </xf>
    <xf numFmtId="168" fontId="35" fillId="0" borderId="0" xfId="7" applyNumberFormat="1" applyFont="1" applyFill="1" applyAlignment="1">
      <alignment horizontal="right"/>
    </xf>
    <xf numFmtId="168" fontId="31" fillId="0" borderId="0" xfId="3" applyNumberFormat="1" applyFont="1" applyFill="1" applyAlignment="1">
      <alignment horizontal="right" vertical="center"/>
    </xf>
    <xf numFmtId="168" fontId="8" fillId="0" borderId="0" xfId="3" applyNumberFormat="1" applyFont="1" applyFill="1" applyAlignment="1">
      <alignment horizontal="right" vertical="center"/>
    </xf>
    <xf numFmtId="168" fontId="8" fillId="0" borderId="0" xfId="3" applyNumberFormat="1" applyFont="1" applyFill="1" applyAlignment="1">
      <alignment horizontal="center" vertical="center"/>
    </xf>
    <xf numFmtId="168" fontId="31" fillId="0" borderId="0" xfId="0" applyNumberFormat="1" applyFont="1" applyFill="1" applyAlignment="1">
      <alignment horizontal="right" vertical="center"/>
    </xf>
    <xf numFmtId="168" fontId="31" fillId="0" borderId="0" xfId="8" applyNumberFormat="1" applyFont="1" applyFill="1" applyAlignment="1">
      <alignment horizontal="right"/>
    </xf>
    <xf numFmtId="168" fontId="15" fillId="0" borderId="1" xfId="1" applyNumberFormat="1" applyFont="1" applyFill="1" applyBorder="1" applyAlignment="1">
      <alignment horizontal="center" vertical="center"/>
    </xf>
    <xf numFmtId="168" fontId="21" fillId="0" borderId="1" xfId="1" applyNumberFormat="1" applyFont="1" applyFill="1" applyBorder="1" applyAlignment="1">
      <alignment horizontal="right" vertical="center" wrapText="1"/>
    </xf>
    <xf numFmtId="168" fontId="27" fillId="0" borderId="1" xfId="1" applyNumberFormat="1" applyFont="1" applyFill="1" applyBorder="1" applyAlignment="1">
      <alignment horizontal="right" vertical="center" wrapText="1"/>
    </xf>
    <xf numFmtId="168" fontId="10" fillId="0" borderId="1" xfId="1" applyNumberFormat="1" applyFont="1" applyFill="1" applyBorder="1" applyAlignment="1">
      <alignment horizontal="right" vertical="center" wrapText="1"/>
    </xf>
    <xf numFmtId="168" fontId="26" fillId="0" borderId="1" xfId="1" applyNumberFormat="1" applyFont="1" applyFill="1" applyBorder="1" applyAlignment="1">
      <alignment horizontal="right" vertical="center" wrapText="1"/>
    </xf>
    <xf numFmtId="168" fontId="10" fillId="0" borderId="7" xfId="1" applyNumberFormat="1" applyFont="1" applyFill="1" applyBorder="1" applyAlignment="1">
      <alignment horizontal="right" vertical="center" wrapText="1"/>
    </xf>
    <xf numFmtId="168" fontId="29" fillId="0" borderId="1" xfId="1" applyNumberFormat="1" applyFont="1" applyFill="1" applyBorder="1" applyAlignment="1">
      <alignment horizontal="right" vertical="center" wrapText="1"/>
    </xf>
    <xf numFmtId="168" fontId="10" fillId="0" borderId="15" xfId="1" applyNumberFormat="1" applyFont="1" applyFill="1" applyBorder="1" applyAlignment="1">
      <alignment horizontal="right" vertical="center" wrapText="1"/>
    </xf>
    <xf numFmtId="168" fontId="15" fillId="0" borderId="1" xfId="1" applyNumberFormat="1" applyFont="1" applyFill="1" applyBorder="1" applyAlignment="1">
      <alignment vertical="center" wrapText="1"/>
    </xf>
    <xf numFmtId="168" fontId="10" fillId="0" borderId="1" xfId="1" applyNumberFormat="1" applyFont="1" applyFill="1" applyBorder="1" applyAlignment="1">
      <alignment vertical="center" wrapText="1"/>
    </xf>
    <xf numFmtId="168" fontId="10" fillId="0" borderId="7" xfId="1" applyNumberFormat="1" applyFont="1" applyFill="1" applyBorder="1" applyAlignment="1">
      <alignment vertical="center" wrapText="1"/>
    </xf>
    <xf numFmtId="168" fontId="8" fillId="0" borderId="0" xfId="1" applyNumberFormat="1" applyFont="1" applyFill="1" applyAlignment="1">
      <alignment horizontal="right"/>
    </xf>
    <xf numFmtId="168" fontId="15" fillId="0" borderId="25" xfId="1" applyNumberFormat="1" applyFont="1" applyFill="1" applyBorder="1" applyAlignment="1">
      <alignment horizontal="center" vertical="center"/>
    </xf>
    <xf numFmtId="168" fontId="10" fillId="0" borderId="9" xfId="1" applyNumberFormat="1" applyFont="1" applyFill="1" applyBorder="1" applyAlignment="1">
      <alignment horizontal="right" vertical="center" wrapText="1"/>
    </xf>
    <xf numFmtId="168" fontId="10" fillId="0" borderId="6" xfId="1" applyNumberFormat="1" applyFont="1" applyFill="1" applyBorder="1" applyAlignment="1">
      <alignment horizontal="right" vertical="center" wrapText="1"/>
    </xf>
    <xf numFmtId="168" fontId="10" fillId="0" borderId="20" xfId="1" applyNumberFormat="1" applyFont="1" applyFill="1" applyBorder="1" applyAlignment="1">
      <alignment horizontal="right" vertical="center" wrapText="1"/>
    </xf>
    <xf numFmtId="168" fontId="18" fillId="0" borderId="11" xfId="3" applyNumberFormat="1" applyFont="1" applyFill="1" applyBorder="1"/>
    <xf numFmtId="168" fontId="8" fillId="0" borderId="11" xfId="3" applyNumberFormat="1" applyFont="1" applyFill="1" applyBorder="1"/>
    <xf numFmtId="168" fontId="10" fillId="0" borderId="9" xfId="1" applyNumberFormat="1" applyFont="1" applyFill="1" applyBorder="1" applyAlignment="1">
      <alignment vertical="center" wrapText="1"/>
    </xf>
    <xf numFmtId="168" fontId="12" fillId="0" borderId="9" xfId="1" applyNumberFormat="1" applyFont="1" applyFill="1" applyBorder="1" applyAlignment="1">
      <alignment horizontal="right"/>
    </xf>
    <xf numFmtId="168" fontId="11" fillId="0" borderId="9" xfId="1" applyNumberFormat="1" applyFont="1" applyFill="1" applyBorder="1" applyAlignment="1">
      <alignment horizontal="right"/>
    </xf>
    <xf numFmtId="0" fontId="39" fillId="0" borderId="35" xfId="5" applyFont="1" applyFill="1" applyBorder="1" applyAlignment="1">
      <alignment vertical="center"/>
    </xf>
    <xf numFmtId="172" fontId="39" fillId="0" borderId="36" xfId="5" applyNumberFormat="1" applyFont="1" applyFill="1" applyBorder="1" applyAlignment="1">
      <alignment horizontal="left" vertical="center" wrapText="1" indent="2"/>
    </xf>
    <xf numFmtId="166" fontId="39" fillId="0" borderId="36" xfId="5" applyNumberFormat="1" applyFont="1" applyFill="1" applyBorder="1" applyAlignment="1">
      <alignment horizontal="left" vertical="center" wrapText="1" indent="2"/>
    </xf>
    <xf numFmtId="49" fontId="39" fillId="0" borderId="36" xfId="5" applyNumberFormat="1" applyFont="1" applyFill="1" applyBorder="1" applyAlignment="1">
      <alignment horizontal="center" vertical="center" wrapText="1"/>
    </xf>
    <xf numFmtId="168" fontId="39" fillId="0" borderId="36" xfId="5" applyNumberFormat="1" applyFont="1" applyFill="1" applyBorder="1" applyAlignment="1">
      <alignment horizontal="right" vertical="center" wrapText="1"/>
    </xf>
    <xf numFmtId="168" fontId="39" fillId="0" borderId="37" xfId="5" applyNumberFormat="1" applyFont="1" applyFill="1" applyBorder="1" applyAlignment="1">
      <alignment horizontal="right" vertical="center" wrapText="1"/>
    </xf>
    <xf numFmtId="0" fontId="7" fillId="0" borderId="0" xfId="7" applyFill="1" applyAlignment="1">
      <alignment horizontal="center"/>
    </xf>
    <xf numFmtId="0" fontId="7" fillId="0" borderId="0" xfId="7" applyAlignment="1">
      <alignment horizontal="right"/>
    </xf>
    <xf numFmtId="0" fontId="35" fillId="0" borderId="0" xfId="7" applyFont="1" applyAlignment="1">
      <alignment horizontal="right"/>
    </xf>
    <xf numFmtId="175" fontId="54" fillId="0" borderId="38" xfId="26" applyNumberFormat="1" applyFont="1" applyFill="1" applyBorder="1" applyAlignment="1">
      <alignment horizontal="center"/>
    </xf>
    <xf numFmtId="166" fontId="7" fillId="0" borderId="0" xfId="7" applyNumberFormat="1" applyFill="1" applyAlignment="1">
      <alignment horizontal="center"/>
    </xf>
    <xf numFmtId="166" fontId="8" fillId="0" borderId="0" xfId="25" applyNumberFormat="1" applyFont="1" applyFill="1" applyAlignment="1">
      <alignment horizontal="right"/>
    </xf>
    <xf numFmtId="0" fontId="36" fillId="0" borderId="0" xfId="0" applyFont="1" applyFill="1" applyAlignment="1">
      <alignment vertical="center"/>
    </xf>
    <xf numFmtId="167" fontId="32" fillId="0" borderId="0" xfId="25" applyNumberFormat="1" applyFont="1" applyFill="1" applyAlignment="1">
      <alignment horizontal="right"/>
    </xf>
    <xf numFmtId="166" fontId="34" fillId="0" borderId="0" xfId="25" applyNumberFormat="1" applyFont="1" applyFill="1" applyAlignment="1">
      <alignment horizontal="right"/>
    </xf>
    <xf numFmtId="167" fontId="32" fillId="0" borderId="0" xfId="25" applyNumberFormat="1" applyFont="1" applyFill="1" applyAlignment="1">
      <alignment horizontal="left"/>
    </xf>
    <xf numFmtId="167" fontId="32" fillId="0" borderId="0" xfId="25" applyNumberFormat="1" applyFont="1" applyFill="1" applyAlignment="1">
      <alignment horizontal="center" vertical="center"/>
    </xf>
    <xf numFmtId="168" fontId="32" fillId="0" borderId="0" xfId="25" applyNumberFormat="1" applyFont="1" applyFill="1" applyAlignment="1">
      <alignment horizontal="right"/>
    </xf>
    <xf numFmtId="167" fontId="32" fillId="0" borderId="0" xfId="25" applyNumberFormat="1" applyFont="1" applyFill="1"/>
    <xf numFmtId="0" fontId="24" fillId="0" borderId="0" xfId="29" applyFont="1" applyFill="1" applyAlignment="1">
      <alignment horizontal="right"/>
    </xf>
    <xf numFmtId="0" fontId="24" fillId="0" borderId="0" xfId="29" applyFont="1" applyFill="1" applyAlignment="1"/>
    <xf numFmtId="166" fontId="31" fillId="0" borderId="0" xfId="25" applyNumberFormat="1" applyFont="1" applyFill="1" applyAlignment="1">
      <alignment horizontal="right"/>
    </xf>
    <xf numFmtId="166" fontId="15" fillId="0" borderId="1" xfId="25" applyNumberFormat="1" applyFont="1" applyFill="1" applyBorder="1" applyAlignment="1">
      <alignment horizontal="center" vertical="center"/>
    </xf>
    <xf numFmtId="167" fontId="21" fillId="0" borderId="1" xfId="25" applyNumberFormat="1" applyFont="1" applyFill="1" applyBorder="1" applyAlignment="1">
      <alignment horizontal="right" vertical="center" wrapText="1"/>
    </xf>
    <xf numFmtId="166" fontId="21" fillId="0" borderId="1" xfId="25" applyNumberFormat="1" applyFont="1" applyFill="1" applyBorder="1" applyAlignment="1">
      <alignment horizontal="right" vertical="center" wrapText="1"/>
    </xf>
    <xf numFmtId="167" fontId="27" fillId="0" borderId="1" xfId="25" applyNumberFormat="1" applyFont="1" applyFill="1" applyBorder="1" applyAlignment="1">
      <alignment horizontal="right" vertical="center" wrapText="1"/>
    </xf>
    <xf numFmtId="166" fontId="27" fillId="0" borderId="1" xfId="25" applyNumberFormat="1" applyFont="1" applyFill="1" applyBorder="1" applyAlignment="1">
      <alignment horizontal="right" vertical="center" wrapText="1"/>
    </xf>
    <xf numFmtId="166" fontId="12" fillId="0" borderId="1" xfId="25" applyNumberFormat="1" applyFont="1" applyFill="1" applyBorder="1" applyAlignment="1">
      <alignment horizontal="right" vertical="center" wrapText="1"/>
    </xf>
    <xf numFmtId="167" fontId="12" fillId="0" borderId="1" xfId="25" applyNumberFormat="1" applyFont="1" applyFill="1" applyBorder="1" applyAlignment="1">
      <alignment horizontal="right" vertical="center" wrapText="1"/>
    </xf>
    <xf numFmtId="167" fontId="11" fillId="0" borderId="1" xfId="25" applyNumberFormat="1" applyFont="1" applyFill="1" applyBorder="1" applyAlignment="1">
      <alignment horizontal="right" vertical="center" wrapText="1"/>
    </xf>
    <xf numFmtId="167" fontId="10" fillId="0" borderId="1" xfId="25" applyNumberFormat="1" applyFont="1" applyFill="1" applyBorder="1" applyAlignment="1">
      <alignment horizontal="right" vertical="center" wrapText="1"/>
    </xf>
    <xf numFmtId="166" fontId="11" fillId="0" borderId="1" xfId="25" applyNumberFormat="1" applyFont="1" applyFill="1" applyBorder="1" applyAlignment="1">
      <alignment horizontal="right" vertical="center" wrapText="1"/>
    </xf>
    <xf numFmtId="166" fontId="10" fillId="0" borderId="1" xfId="25" applyNumberFormat="1" applyFont="1" applyFill="1" applyBorder="1" applyAlignment="1">
      <alignment horizontal="right" vertical="center" wrapText="1"/>
    </xf>
    <xf numFmtId="167" fontId="15" fillId="0" borderId="1" xfId="25" applyNumberFormat="1" applyFont="1" applyFill="1" applyBorder="1" applyAlignment="1">
      <alignment horizontal="right" vertical="center" wrapText="1"/>
    </xf>
    <xf numFmtId="166" fontId="15" fillId="0" borderId="1" xfId="25" applyNumberFormat="1" applyFont="1" applyFill="1" applyBorder="1" applyAlignment="1">
      <alignment horizontal="right" vertical="center" wrapText="1"/>
    </xf>
    <xf numFmtId="165" fontId="10" fillId="0" borderId="1" xfId="25" applyFont="1" applyFill="1" applyBorder="1" applyAlignment="1">
      <alignment horizontal="right" vertical="center" wrapText="1"/>
    </xf>
    <xf numFmtId="166" fontId="26" fillId="0" borderId="1" xfId="25" applyNumberFormat="1" applyFont="1" applyFill="1" applyBorder="1" applyAlignment="1">
      <alignment horizontal="right" vertical="center" wrapText="1"/>
    </xf>
    <xf numFmtId="167" fontId="26" fillId="0" borderId="1" xfId="25" applyNumberFormat="1" applyFont="1" applyFill="1" applyBorder="1" applyAlignment="1">
      <alignment horizontal="right" vertical="center" wrapText="1"/>
    </xf>
    <xf numFmtId="166" fontId="10" fillId="0" borderId="7" xfId="25" applyNumberFormat="1" applyFont="1" applyFill="1" applyBorder="1" applyAlignment="1">
      <alignment horizontal="right" vertical="center" wrapText="1"/>
    </xf>
    <xf numFmtId="167" fontId="29" fillId="0" borderId="1" xfId="25" applyNumberFormat="1" applyFont="1" applyFill="1" applyBorder="1" applyAlignment="1">
      <alignment horizontal="right" vertical="center" wrapText="1"/>
    </xf>
    <xf numFmtId="166" fontId="29" fillId="0" borderId="1" xfId="25" applyNumberFormat="1" applyFont="1" applyFill="1" applyBorder="1" applyAlignment="1">
      <alignment horizontal="right" vertical="center" wrapText="1"/>
    </xf>
    <xf numFmtId="168" fontId="15" fillId="0" borderId="1" xfId="25" applyNumberFormat="1" applyFont="1" applyFill="1" applyBorder="1" applyAlignment="1">
      <alignment horizontal="right" vertical="center" wrapText="1"/>
    </xf>
    <xf numFmtId="165" fontId="26" fillId="0" borderId="1" xfId="25" applyFont="1" applyFill="1" applyBorder="1" applyAlignment="1">
      <alignment horizontal="right" vertical="center" wrapText="1"/>
    </xf>
    <xf numFmtId="167" fontId="10" fillId="0" borderId="15" xfId="25" applyNumberFormat="1" applyFont="1" applyFill="1" applyBorder="1" applyAlignment="1">
      <alignment horizontal="right" vertical="center" wrapText="1"/>
    </xf>
    <xf numFmtId="165" fontId="15" fillId="0" borderId="1" xfId="25" applyFont="1" applyFill="1" applyBorder="1" applyAlignment="1">
      <alignment horizontal="right" vertical="center" wrapText="1"/>
    </xf>
    <xf numFmtId="167" fontId="15" fillId="0" borderId="1" xfId="25" applyNumberFormat="1" applyFont="1" applyFill="1" applyBorder="1" applyAlignment="1">
      <alignment vertical="center" wrapText="1"/>
    </xf>
    <xf numFmtId="166" fontId="10" fillId="0" borderId="1" xfId="25" applyNumberFormat="1" applyFont="1" applyFill="1" applyBorder="1" applyAlignment="1">
      <alignment vertical="center" wrapText="1"/>
    </xf>
    <xf numFmtId="49" fontId="29" fillId="0" borderId="0" xfId="3" applyNumberFormat="1" applyFont="1" applyFill="1" applyBorder="1" applyAlignment="1">
      <alignment horizontal="center" vertical="center" wrapText="1"/>
    </xf>
    <xf numFmtId="165" fontId="11" fillId="0" borderId="1" xfId="25" applyFont="1" applyFill="1" applyBorder="1" applyAlignment="1">
      <alignment horizontal="right" vertical="center" wrapText="1"/>
    </xf>
    <xf numFmtId="167" fontId="10" fillId="0" borderId="7" xfId="25" applyNumberFormat="1" applyFont="1" applyFill="1" applyBorder="1" applyAlignment="1">
      <alignment vertical="center" wrapText="1"/>
    </xf>
    <xf numFmtId="168" fontId="15" fillId="0" borderId="7" xfId="25" applyNumberFormat="1" applyFont="1" applyFill="1" applyBorder="1" applyAlignment="1">
      <alignment horizontal="right" vertical="center"/>
    </xf>
    <xf numFmtId="167" fontId="15" fillId="0" borderId="7" xfId="25" applyNumberFormat="1" applyFont="1" applyFill="1" applyBorder="1" applyAlignment="1">
      <alignment horizontal="center" vertical="center"/>
    </xf>
    <xf numFmtId="167" fontId="15" fillId="0" borderId="7" xfId="25" applyNumberFormat="1" applyFont="1" applyFill="1" applyBorder="1" applyAlignment="1">
      <alignment vertical="center" wrapText="1"/>
    </xf>
    <xf numFmtId="170" fontId="8" fillId="0" borderId="0" xfId="30" applyFont="1" applyFill="1" applyBorder="1"/>
    <xf numFmtId="0" fontId="24" fillId="0" borderId="0" xfId="29" applyFont="1" applyFill="1" applyBorder="1" applyAlignment="1"/>
    <xf numFmtId="0" fontId="19" fillId="0" borderId="1" xfId="31" applyFont="1" applyFill="1" applyBorder="1" applyAlignment="1">
      <alignment horizontal="left" vertical="center" wrapText="1"/>
    </xf>
    <xf numFmtId="0" fontId="19" fillId="0" borderId="7" xfId="31" applyFont="1" applyFill="1" applyBorder="1" applyAlignment="1">
      <alignment horizontal="left" vertical="center" wrapText="1"/>
    </xf>
    <xf numFmtId="0" fontId="11" fillId="0" borderId="1" xfId="31" applyFont="1" applyFill="1" applyBorder="1" applyAlignment="1">
      <alignment horizontal="left" vertical="top" wrapText="1"/>
    </xf>
    <xf numFmtId="0" fontId="11" fillId="0" borderId="7" xfId="31" applyFont="1" applyFill="1" applyBorder="1" applyAlignment="1">
      <alignment horizontal="left" vertical="center" wrapText="1"/>
    </xf>
    <xf numFmtId="167" fontId="11" fillId="0" borderId="1" xfId="31" applyNumberFormat="1" applyFont="1" applyFill="1" applyBorder="1" applyAlignment="1">
      <alignment horizontal="left" vertical="center" wrapText="1"/>
    </xf>
    <xf numFmtId="0" fontId="19" fillId="0" borderId="0" xfId="31" applyFont="1" applyFill="1" applyBorder="1" applyAlignment="1">
      <alignment horizontal="left" vertical="center" wrapText="1"/>
    </xf>
    <xf numFmtId="167" fontId="10" fillId="0" borderId="2" xfId="25" applyNumberFormat="1" applyFont="1" applyFill="1" applyBorder="1" applyAlignment="1">
      <alignment horizontal="right" vertical="center" wrapText="1"/>
    </xf>
    <xf numFmtId="165" fontId="15" fillId="0" borderId="2" xfId="25" applyFont="1" applyFill="1" applyBorder="1" applyAlignment="1">
      <alignment horizontal="right" vertical="center" wrapText="1"/>
    </xf>
    <xf numFmtId="166" fontId="15" fillId="0" borderId="2" xfId="25" applyNumberFormat="1" applyFont="1" applyFill="1" applyBorder="1" applyAlignment="1">
      <alignment horizontal="right" vertical="center" wrapText="1"/>
    </xf>
    <xf numFmtId="0" fontId="11" fillId="0" borderId="7" xfId="31" applyFont="1" applyFill="1" applyBorder="1" applyAlignment="1">
      <alignment vertical="top" wrapText="1"/>
    </xf>
    <xf numFmtId="168" fontId="15" fillId="0" borderId="1" xfId="25" applyNumberFormat="1" applyFont="1" applyFill="1" applyBorder="1" applyAlignment="1" applyProtection="1">
      <alignment horizontal="right" vertical="center" wrapText="1"/>
      <protection locked="0"/>
    </xf>
    <xf numFmtId="168" fontId="12" fillId="0" borderId="1" xfId="25" applyNumberFormat="1" applyFont="1" applyFill="1" applyBorder="1" applyAlignment="1">
      <alignment horizontal="right" vertical="center" wrapText="1"/>
    </xf>
    <xf numFmtId="168" fontId="11" fillId="0" borderId="1" xfId="25" applyNumberFormat="1" applyFont="1" applyFill="1" applyBorder="1" applyAlignment="1">
      <alignment horizontal="right" vertical="center" wrapText="1"/>
    </xf>
    <xf numFmtId="0" fontId="11" fillId="0" borderId="1" xfId="31" applyFont="1" applyFill="1" applyBorder="1" applyAlignment="1">
      <alignment horizontal="left" vertical="center" wrapText="1"/>
    </xf>
    <xf numFmtId="167" fontId="8" fillId="0" borderId="1" xfId="25" applyNumberFormat="1" applyFont="1" applyFill="1" applyBorder="1" applyAlignment="1">
      <alignment vertical="center"/>
    </xf>
    <xf numFmtId="167" fontId="11" fillId="0" borderId="1" xfId="25" applyNumberFormat="1" applyFont="1" applyFill="1" applyBorder="1" applyAlignment="1">
      <alignment vertical="center"/>
    </xf>
    <xf numFmtId="166" fontId="11" fillId="0" borderId="1" xfId="25" applyNumberFormat="1" applyFont="1" applyFill="1" applyBorder="1" applyAlignment="1">
      <alignment vertical="center"/>
    </xf>
    <xf numFmtId="0" fontId="11" fillId="0" borderId="1" xfId="31" applyNumberFormat="1" applyFont="1" applyFill="1" applyBorder="1" applyAlignment="1" applyProtection="1">
      <alignment horizontal="left" vertical="center" wrapText="1"/>
    </xf>
    <xf numFmtId="169" fontId="11" fillId="0" borderId="1" xfId="31" applyNumberFormat="1" applyFont="1" applyFill="1" applyBorder="1" applyAlignment="1" applyProtection="1">
      <alignment horizontal="left" vertical="center" wrapText="1"/>
    </xf>
    <xf numFmtId="166" fontId="10" fillId="0" borderId="0" xfId="25" applyNumberFormat="1" applyFont="1" applyFill="1" applyBorder="1" applyAlignment="1">
      <alignment horizontal="right" vertical="center" wrapText="1"/>
    </xf>
    <xf numFmtId="166" fontId="57" fillId="0" borderId="1" xfId="5" applyNumberFormat="1" applyFont="1" applyFill="1" applyBorder="1" applyAlignment="1">
      <alignment horizontal="left" vertical="center" wrapText="1"/>
    </xf>
    <xf numFmtId="167" fontId="10" fillId="0" borderId="0" xfId="25" applyNumberFormat="1" applyFont="1" applyFill="1" applyBorder="1" applyAlignment="1">
      <alignment horizontal="right" vertical="center" wrapText="1"/>
    </xf>
    <xf numFmtId="49" fontId="10" fillId="0" borderId="1" xfId="25" applyNumberFormat="1" applyFont="1" applyFill="1" applyBorder="1" applyAlignment="1">
      <alignment horizontal="right" vertical="center" wrapText="1"/>
    </xf>
    <xf numFmtId="49" fontId="11" fillId="0" borderId="7" xfId="3" applyNumberFormat="1" applyFont="1" applyFill="1" applyBorder="1" applyAlignment="1">
      <alignment horizontal="right" vertical="center" wrapText="1"/>
    </xf>
    <xf numFmtId="166" fontId="10" fillId="0" borderId="10" xfId="25" applyNumberFormat="1" applyFont="1" applyFill="1" applyBorder="1" applyAlignment="1">
      <alignment horizontal="right" vertical="center" wrapText="1"/>
    </xf>
    <xf numFmtId="166" fontId="10" fillId="0" borderId="18" xfId="25" applyNumberFormat="1" applyFont="1" applyFill="1" applyBorder="1" applyAlignment="1">
      <alignment horizontal="right" vertical="center" wrapText="1"/>
    </xf>
    <xf numFmtId="49" fontId="10" fillId="0" borderId="1" xfId="25" applyNumberFormat="1" applyFont="1" applyFill="1" applyBorder="1" applyAlignment="1">
      <alignment vertical="center" wrapText="1"/>
    </xf>
    <xf numFmtId="167" fontId="10" fillId="0" borderId="1" xfId="25" applyNumberFormat="1" applyFont="1" applyFill="1" applyBorder="1" applyAlignment="1">
      <alignment vertical="center" wrapText="1"/>
    </xf>
    <xf numFmtId="49" fontId="11" fillId="0" borderId="18" xfId="3" applyNumberFormat="1" applyFont="1" applyFill="1" applyBorder="1" applyAlignment="1">
      <alignment horizontal="right" vertical="center" wrapText="1"/>
    </xf>
    <xf numFmtId="49" fontId="10" fillId="0" borderId="18" xfId="3" applyNumberFormat="1" applyFont="1" applyFill="1" applyBorder="1" applyAlignment="1">
      <alignment horizontal="right" vertical="center" wrapText="1"/>
    </xf>
    <xf numFmtId="49" fontId="8" fillId="0" borderId="1" xfId="3" applyNumberFormat="1" applyFont="1" applyFill="1" applyBorder="1" applyAlignment="1">
      <alignment horizontal="center" vertical="center"/>
    </xf>
    <xf numFmtId="49" fontId="12" fillId="0" borderId="1" xfId="25" applyNumberFormat="1" applyFont="1" applyFill="1" applyBorder="1" applyAlignment="1">
      <alignment horizontal="right"/>
    </xf>
    <xf numFmtId="166" fontId="12" fillId="0" borderId="1" xfId="25" applyNumberFormat="1" applyFont="1" applyFill="1" applyBorder="1" applyAlignment="1">
      <alignment horizontal="right"/>
    </xf>
    <xf numFmtId="49" fontId="11" fillId="0" borderId="1" xfId="25" applyNumberFormat="1" applyFont="1" applyFill="1" applyBorder="1" applyAlignment="1">
      <alignment horizontal="right"/>
    </xf>
    <xf numFmtId="166" fontId="11" fillId="0" borderId="1" xfId="25" applyNumberFormat="1" applyFont="1" applyFill="1" applyBorder="1" applyAlignment="1">
      <alignment horizontal="right"/>
    </xf>
    <xf numFmtId="168" fontId="11" fillId="0" borderId="1" xfId="3" applyNumberFormat="1" applyFont="1" applyFill="1" applyBorder="1" applyAlignment="1">
      <alignment horizontal="right" vertical="center" wrapText="1"/>
    </xf>
    <xf numFmtId="166" fontId="8" fillId="0" borderId="1" xfId="25" applyNumberFormat="1" applyFont="1" applyFill="1" applyBorder="1" applyAlignment="1">
      <alignment horizontal="right"/>
    </xf>
    <xf numFmtId="168" fontId="39" fillId="0" borderId="7" xfId="5" applyNumberFormat="1" applyFont="1" applyFill="1" applyBorder="1" applyAlignment="1">
      <alignment horizontal="right" vertical="center" wrapText="1"/>
    </xf>
    <xf numFmtId="178" fontId="8" fillId="0" borderId="0" xfId="3" applyNumberFormat="1" applyFont="1" applyFill="1"/>
    <xf numFmtId="174" fontId="50" fillId="0" borderId="1" xfId="5" applyNumberFormat="1" applyFont="1" applyFill="1" applyBorder="1" applyAlignment="1">
      <alignment horizontal="right" vertical="center" wrapText="1"/>
    </xf>
    <xf numFmtId="49" fontId="11" fillId="0" borderId="1" xfId="5" applyNumberFormat="1" applyFont="1" applyFill="1" applyBorder="1" applyAlignment="1">
      <alignment horizontal="center" vertical="center" wrapText="1"/>
    </xf>
    <xf numFmtId="172" fontId="11" fillId="0" borderId="7" xfId="5" applyNumberFormat="1" applyFont="1" applyFill="1" applyBorder="1" applyAlignment="1">
      <alignment vertical="center" wrapText="1"/>
    </xf>
    <xf numFmtId="172" fontId="11" fillId="0" borderId="1" xfId="5" applyNumberFormat="1" applyFont="1" applyFill="1" applyBorder="1" applyAlignment="1">
      <alignment vertical="center" wrapText="1"/>
    </xf>
    <xf numFmtId="49" fontId="10" fillId="0" borderId="7" xfId="3" applyNumberFormat="1" applyFont="1" applyFill="1" applyBorder="1" applyAlignment="1">
      <alignment horizontal="center" vertical="center" wrapText="1"/>
    </xf>
    <xf numFmtId="166" fontId="10" fillId="0" borderId="14" xfId="25" applyNumberFormat="1" applyFont="1" applyFill="1" applyBorder="1" applyAlignment="1">
      <alignment horizontal="right" vertical="center" wrapText="1"/>
    </xf>
    <xf numFmtId="172" fontId="11" fillId="0" borderId="8" xfId="5" applyNumberFormat="1" applyFont="1" applyFill="1" applyBorder="1" applyAlignment="1">
      <alignment horizontal="left" vertical="center" wrapText="1"/>
    </xf>
    <xf numFmtId="0" fontId="11" fillId="0" borderId="7" xfId="10" applyFont="1" applyFill="1" applyBorder="1" applyAlignment="1">
      <alignment horizontal="left" vertical="center" wrapText="1"/>
    </xf>
    <xf numFmtId="49" fontId="10" fillId="0" borderId="18" xfId="25" applyNumberFormat="1" applyFont="1" applyFill="1" applyBorder="1" applyAlignment="1">
      <alignment vertical="center" wrapText="1"/>
    </xf>
    <xf numFmtId="167" fontId="10" fillId="0" borderId="18" xfId="25" applyNumberFormat="1" applyFont="1" applyFill="1" applyBorder="1" applyAlignment="1">
      <alignment vertical="center" wrapText="1"/>
    </xf>
    <xf numFmtId="0" fontId="7" fillId="0" borderId="0" xfId="7" applyFill="1" applyAlignment="1">
      <alignment horizontal="right"/>
    </xf>
    <xf numFmtId="166" fontId="58" fillId="0" borderId="0" xfId="1" applyNumberFormat="1" applyFont="1" applyFill="1" applyAlignment="1">
      <alignment horizontal="right"/>
    </xf>
    <xf numFmtId="168" fontId="58" fillId="0" borderId="0" xfId="1" applyNumberFormat="1" applyFont="1" applyFill="1" applyAlignment="1">
      <alignment horizontal="right"/>
    </xf>
    <xf numFmtId="168" fontId="11" fillId="0" borderId="9" xfId="4" applyNumberFormat="1" applyFont="1" applyFill="1" applyBorder="1" applyAlignment="1">
      <alignment horizontal="right" vertical="center" wrapText="1"/>
    </xf>
    <xf numFmtId="0" fontId="58" fillId="0" borderId="0" xfId="3" applyFont="1" applyFill="1"/>
    <xf numFmtId="0" fontId="31" fillId="0" borderId="0" xfId="9" applyFont="1" applyAlignment="1">
      <alignment horizontal="right" vertical="center"/>
    </xf>
    <xf numFmtId="0" fontId="7" fillId="0" borderId="0" xfId="7" applyFill="1"/>
    <xf numFmtId="168" fontId="52" fillId="0" borderId="0" xfId="24" applyNumberFormat="1" applyFont="1" applyFill="1" applyAlignment="1"/>
    <xf numFmtId="168" fontId="52" fillId="0" borderId="0" xfId="7" applyNumberFormat="1" applyFont="1" applyFill="1" applyAlignment="1"/>
    <xf numFmtId="166" fontId="7" fillId="0" borderId="0" xfId="7" applyNumberFormat="1" applyFill="1"/>
    <xf numFmtId="0" fontId="11" fillId="0" borderId="0" xfId="27" applyFont="1"/>
    <xf numFmtId="0" fontId="31" fillId="0" borderId="0" xfId="27" applyFont="1" applyAlignment="1">
      <alignment wrapText="1"/>
    </xf>
    <xf numFmtId="0" fontId="7" fillId="0" borderId="0" xfId="27"/>
    <xf numFmtId="0" fontId="31" fillId="0" borderId="0" xfId="27" applyFont="1" applyAlignment="1"/>
    <xf numFmtId="0" fontId="7" fillId="0" borderId="0" xfId="27" applyAlignment="1">
      <alignment horizontal="center"/>
    </xf>
    <xf numFmtId="0" fontId="7" fillId="0" borderId="0" xfId="27" applyAlignment="1">
      <alignment wrapText="1"/>
    </xf>
    <xf numFmtId="0" fontId="7" fillId="0" borderId="0" xfId="27" applyFill="1"/>
    <xf numFmtId="0" fontId="11" fillId="0" borderId="0" xfId="9" applyFont="1" applyAlignment="1">
      <alignment vertical="center"/>
    </xf>
    <xf numFmtId="0" fontId="7" fillId="0" borderId="0" xfId="27" applyFont="1"/>
    <xf numFmtId="0" fontId="59" fillId="0" borderId="0" xfId="27" applyFont="1" applyAlignment="1">
      <alignment horizontal="center" wrapText="1"/>
    </xf>
    <xf numFmtId="0" fontId="12" fillId="2" borderId="14" xfId="3" applyFont="1" applyFill="1" applyBorder="1" applyAlignment="1">
      <alignment horizontal="center" vertical="center" wrapText="1"/>
    </xf>
    <xf numFmtId="169" fontId="25" fillId="2" borderId="28" xfId="9" applyNumberFormat="1" applyFont="1" applyFill="1" applyBorder="1" applyAlignment="1">
      <alignment horizontal="center" vertical="top" wrapText="1"/>
    </xf>
    <xf numFmtId="169" fontId="25" fillId="2" borderId="25" xfId="9" applyNumberFormat="1" applyFont="1" applyFill="1" applyBorder="1" applyAlignment="1">
      <alignment horizontal="center" vertical="top" wrapText="1"/>
    </xf>
    <xf numFmtId="0" fontId="8" fillId="2" borderId="0" xfId="3" applyFont="1" applyFill="1"/>
    <xf numFmtId="0" fontId="12" fillId="2" borderId="58" xfId="3" applyFont="1" applyFill="1" applyBorder="1" applyAlignment="1">
      <alignment horizontal="center" vertical="center" wrapText="1"/>
    </xf>
    <xf numFmtId="49" fontId="27" fillId="4" borderId="1" xfId="3" applyNumberFormat="1" applyFont="1" applyFill="1" applyBorder="1" applyAlignment="1">
      <alignment horizontal="center" vertical="center" wrapText="1"/>
    </xf>
    <xf numFmtId="0" fontId="27" fillId="2" borderId="1" xfId="3" applyFont="1" applyFill="1" applyBorder="1" applyAlignment="1">
      <alignment horizontal="center" vertical="center" wrapText="1"/>
    </xf>
    <xf numFmtId="0" fontId="15" fillId="3" borderId="1" xfId="3" applyFont="1" applyFill="1" applyBorder="1" applyAlignment="1">
      <alignment horizontal="center" vertical="center" wrapText="1"/>
    </xf>
    <xf numFmtId="167" fontId="25" fillId="2" borderId="7" xfId="24" applyNumberFormat="1" applyFont="1" applyFill="1" applyBorder="1" applyAlignment="1">
      <alignment horizontal="center" vertical="top" wrapText="1"/>
    </xf>
    <xf numFmtId="166" fontId="25" fillId="2" borderId="9" xfId="24" applyNumberFormat="1" applyFont="1" applyFill="1" applyBorder="1" applyAlignment="1">
      <alignment horizontal="right" vertical="top" wrapText="1"/>
    </xf>
    <xf numFmtId="0" fontId="11" fillId="2" borderId="58" xfId="3" applyFont="1" applyFill="1" applyBorder="1" applyAlignment="1">
      <alignment horizontal="center" vertical="center" wrapText="1"/>
    </xf>
    <xf numFmtId="0" fontId="10" fillId="2" borderId="1" xfId="3" applyFont="1" applyFill="1" applyBorder="1" applyAlignment="1">
      <alignment horizontal="center" vertical="center" wrapText="1"/>
    </xf>
    <xf numFmtId="0" fontId="10" fillId="3" borderId="1" xfId="3" applyFont="1" applyFill="1" applyBorder="1" applyAlignment="1">
      <alignment horizontal="center" vertical="center" wrapText="1"/>
    </xf>
    <xf numFmtId="166" fontId="60" fillId="2" borderId="7" xfId="24" applyNumberFormat="1" applyFont="1" applyFill="1" applyBorder="1" applyAlignment="1">
      <alignment horizontal="right" vertical="center" wrapText="1"/>
    </xf>
    <xf numFmtId="166" fontId="60" fillId="2" borderId="9" xfId="24" applyNumberFormat="1" applyFont="1" applyFill="1" applyBorder="1" applyAlignment="1">
      <alignment horizontal="right" vertical="center" wrapText="1"/>
    </xf>
    <xf numFmtId="0" fontId="55" fillId="0" borderId="58" xfId="3" applyFont="1" applyBorder="1" applyAlignment="1">
      <alignment horizontal="center"/>
    </xf>
    <xf numFmtId="49" fontId="10" fillId="2" borderId="1" xfId="3" applyNumberFormat="1" applyFont="1" applyFill="1" applyBorder="1" applyAlignment="1">
      <alignment horizontal="center" vertical="center" wrapText="1"/>
    </xf>
    <xf numFmtId="166" fontId="10" fillId="2" borderId="7" xfId="24" applyNumberFormat="1" applyFont="1" applyFill="1" applyBorder="1" applyAlignment="1">
      <alignment horizontal="right" vertical="center" wrapText="1"/>
    </xf>
    <xf numFmtId="166" fontId="10" fillId="2" borderId="9" xfId="24" applyNumberFormat="1" applyFont="1" applyFill="1" applyBorder="1" applyAlignment="1">
      <alignment horizontal="right" vertical="center" wrapText="1"/>
    </xf>
    <xf numFmtId="0" fontId="8" fillId="0" borderId="0" xfId="3" applyFont="1"/>
    <xf numFmtId="0" fontId="8" fillId="0" borderId="0" xfId="3" applyFont="1" applyAlignment="1">
      <alignment horizontal="center"/>
    </xf>
    <xf numFmtId="0" fontId="11" fillId="0" borderId="48" xfId="9" applyFont="1" applyBorder="1"/>
    <xf numFmtId="166" fontId="11" fillId="2" borderId="7" xfId="24" applyNumberFormat="1" applyFont="1" applyFill="1" applyBorder="1" applyAlignment="1">
      <alignment horizontal="right" vertical="center" wrapText="1"/>
    </xf>
    <xf numFmtId="166" fontId="11" fillId="2" borderId="9" xfId="24" applyNumberFormat="1" applyFont="1" applyFill="1" applyBorder="1" applyAlignment="1">
      <alignment horizontal="right" vertical="center" wrapText="1"/>
    </xf>
    <xf numFmtId="166" fontId="11" fillId="2" borderId="59" xfId="24" applyNumberFormat="1" applyFont="1" applyFill="1" applyBorder="1" applyAlignment="1">
      <alignment horizontal="right" vertical="center" wrapText="1"/>
    </xf>
    <xf numFmtId="166" fontId="11" fillId="2" borderId="3" xfId="24" applyNumberFormat="1" applyFont="1" applyFill="1" applyBorder="1" applyAlignment="1">
      <alignment horizontal="right" vertical="center" wrapText="1"/>
    </xf>
    <xf numFmtId="0" fontId="61" fillId="0" borderId="0" xfId="9" applyFont="1" applyAlignment="1">
      <alignment horizontal="center"/>
    </xf>
    <xf numFmtId="0" fontId="61" fillId="0" borderId="0" xfId="9" applyFont="1"/>
    <xf numFmtId="0" fontId="62" fillId="0" borderId="0" xfId="9" applyFont="1" applyAlignment="1">
      <alignment horizontal="right"/>
    </xf>
    <xf numFmtId="0" fontId="61" fillId="0" borderId="0" xfId="9" applyFont="1" applyAlignment="1">
      <alignment vertical="top" wrapText="1"/>
    </xf>
    <xf numFmtId="0" fontId="31" fillId="0" borderId="0" xfId="9" applyFont="1" applyBorder="1" applyAlignment="1">
      <alignment horizontal="center"/>
    </xf>
    <xf numFmtId="0" fontId="31" fillId="0" borderId="0" xfId="9" applyFont="1" applyBorder="1" applyAlignment="1">
      <alignment vertical="top" wrapText="1"/>
    </xf>
    <xf numFmtId="4" fontId="31" fillId="0" borderId="0" xfId="9" applyNumberFormat="1" applyFont="1" applyBorder="1" applyAlignment="1">
      <alignment horizontal="center"/>
    </xf>
    <xf numFmtId="0" fontId="24" fillId="0" borderId="47" xfId="9" applyFont="1" applyBorder="1" applyAlignment="1">
      <alignment horizontal="center" vertical="center" wrapText="1"/>
    </xf>
    <xf numFmtId="0" fontId="8" fillId="0" borderId="0" xfId="9" applyAlignment="1">
      <alignment vertical="center"/>
    </xf>
    <xf numFmtId="9" fontId="31" fillId="0" borderId="25" xfId="9" applyNumberFormat="1" applyFont="1" applyBorder="1" applyAlignment="1">
      <alignment horizontal="center" vertical="center"/>
    </xf>
    <xf numFmtId="9" fontId="31" fillId="0" borderId="20" xfId="9" applyNumberFormat="1" applyFont="1" applyBorder="1" applyAlignment="1">
      <alignment horizontal="center" vertical="center"/>
    </xf>
    <xf numFmtId="9" fontId="31" fillId="0" borderId="6" xfId="9" applyNumberFormat="1" applyFont="1" applyBorder="1" applyAlignment="1">
      <alignment horizontal="center" vertical="center"/>
    </xf>
    <xf numFmtId="9" fontId="31" fillId="0" borderId="6" xfId="9" applyNumberFormat="1" applyFont="1" applyFill="1" applyBorder="1" applyAlignment="1">
      <alignment horizontal="center" vertical="center"/>
    </xf>
    <xf numFmtId="9" fontId="31" fillId="0" borderId="22" xfId="9" applyNumberFormat="1" applyFont="1" applyBorder="1" applyAlignment="1">
      <alignment horizontal="center" vertical="center"/>
    </xf>
    <xf numFmtId="9" fontId="31" fillId="0" borderId="52" xfId="9" applyNumberFormat="1" applyFont="1" applyBorder="1" applyAlignment="1">
      <alignment horizontal="center" vertical="center"/>
    </xf>
    <xf numFmtId="0" fontId="61" fillId="0" borderId="0" xfId="9" applyFont="1" applyBorder="1" applyAlignment="1">
      <alignment horizontal="center"/>
    </xf>
    <xf numFmtId="0" fontId="61" fillId="0" borderId="0" xfId="9" applyFont="1" applyBorder="1"/>
    <xf numFmtId="0" fontId="35" fillId="0" borderId="0" xfId="8" applyFont="1" applyFill="1" applyAlignment="1">
      <alignment horizontal="right"/>
    </xf>
    <xf numFmtId="166" fontId="8" fillId="0" borderId="0" xfId="24" applyNumberFormat="1" applyFont="1" applyAlignment="1">
      <alignment horizontal="right"/>
    </xf>
    <xf numFmtId="0" fontId="8" fillId="0" borderId="0" xfId="3" applyFont="1" applyAlignment="1">
      <alignment horizontal="left" vertical="center"/>
    </xf>
    <xf numFmtId="0" fontId="35" fillId="0" borderId="0" xfId="7" applyFont="1" applyBorder="1" applyAlignment="1"/>
    <xf numFmtId="0" fontId="8" fillId="0" borderId="0" xfId="3" applyFont="1" applyBorder="1"/>
    <xf numFmtId="0" fontId="35" fillId="0" borderId="0" xfId="7" applyFont="1" applyFill="1" applyBorder="1" applyAlignment="1">
      <alignment horizontal="right" vertical="center"/>
    </xf>
    <xf numFmtId="0" fontId="47" fillId="0" borderId="0" xfId="9" applyFont="1" applyBorder="1" applyAlignment="1">
      <alignment vertical="center"/>
    </xf>
    <xf numFmtId="0" fontId="8" fillId="0" borderId="0" xfId="3" applyFont="1" applyAlignment="1">
      <alignment horizontal="center" vertical="center"/>
    </xf>
    <xf numFmtId="0" fontId="34" fillId="0" borderId="0" xfId="3" applyFont="1" applyAlignment="1">
      <alignment horizontal="left" vertical="center"/>
    </xf>
    <xf numFmtId="0" fontId="34" fillId="0" borderId="0" xfId="3" applyFont="1" applyAlignment="1">
      <alignment horizontal="center"/>
    </xf>
    <xf numFmtId="0" fontId="34" fillId="0" borderId="0" xfId="3" applyFont="1" applyAlignment="1">
      <alignment horizontal="center" vertical="center"/>
    </xf>
    <xf numFmtId="166" fontId="34" fillId="0" borderId="0" xfId="24" applyNumberFormat="1" applyFont="1" applyAlignment="1">
      <alignment horizontal="right"/>
    </xf>
    <xf numFmtId="167" fontId="32" fillId="0" borderId="0" xfId="24" applyNumberFormat="1" applyFont="1" applyAlignment="1">
      <alignment horizontal="left"/>
    </xf>
    <xf numFmtId="167" fontId="32" fillId="0" borderId="0" xfId="24" applyNumberFormat="1" applyFont="1" applyAlignment="1">
      <alignment horizontal="center" vertical="center"/>
    </xf>
    <xf numFmtId="167" fontId="32" fillId="0" borderId="0" xfId="24" applyNumberFormat="1" applyFont="1"/>
    <xf numFmtId="49" fontId="33" fillId="0" borderId="0" xfId="3" applyNumberFormat="1" applyFont="1" applyAlignment="1">
      <alignment horizontal="right" vertical="center" wrapText="1"/>
    </xf>
    <xf numFmtId="171" fontId="32" fillId="0" borderId="0" xfId="3" applyNumberFormat="1" applyFont="1" applyBorder="1" applyAlignment="1">
      <alignment horizontal="left"/>
    </xf>
    <xf numFmtId="171" fontId="32" fillId="0" borderId="0" xfId="3" applyNumberFormat="1" applyFont="1" applyBorder="1" applyAlignment="1">
      <alignment horizontal="center"/>
    </xf>
    <xf numFmtId="0" fontId="8" fillId="0" borderId="0" xfId="3" applyFont="1" applyAlignment="1">
      <alignment horizontal="right"/>
    </xf>
    <xf numFmtId="0" fontId="24" fillId="0" borderId="0" xfId="32" applyFont="1" applyAlignment="1">
      <alignment horizontal="right"/>
    </xf>
    <xf numFmtId="0" fontId="24" fillId="0" borderId="0" xfId="32" applyFont="1" applyFill="1" applyAlignment="1">
      <alignment horizontal="right"/>
    </xf>
    <xf numFmtId="0" fontId="31" fillId="0" borderId="0" xfId="3" applyFont="1" applyAlignment="1">
      <alignment horizontal="left" vertical="center"/>
    </xf>
    <xf numFmtId="0" fontId="31" fillId="0" borderId="0" xfId="3" applyFont="1" applyAlignment="1">
      <alignment horizontal="center"/>
    </xf>
    <xf numFmtId="0" fontId="31" fillId="0" borderId="0" xfId="3" applyFont="1" applyAlignment="1">
      <alignment horizontal="center" vertical="center"/>
    </xf>
    <xf numFmtId="0" fontId="15" fillId="5" borderId="1" xfId="3" applyFont="1" applyFill="1" applyBorder="1" applyAlignment="1">
      <alignment horizontal="center" vertical="center"/>
    </xf>
    <xf numFmtId="0" fontId="15" fillId="5" borderId="1" xfId="3" applyFont="1" applyFill="1" applyBorder="1" applyAlignment="1">
      <alignment horizontal="center" vertical="center" wrapText="1"/>
    </xf>
    <xf numFmtId="166" fontId="15" fillId="0" borderId="1" xfId="24" applyNumberFormat="1" applyFont="1" applyFill="1" applyBorder="1" applyAlignment="1">
      <alignment horizontal="center" vertical="center"/>
    </xf>
    <xf numFmtId="0" fontId="21" fillId="2" borderId="1" xfId="3" applyFont="1" applyFill="1" applyBorder="1" applyAlignment="1">
      <alignment horizontal="left" vertical="center" wrapText="1"/>
    </xf>
    <xf numFmtId="0" fontId="21" fillId="2" borderId="1" xfId="3" applyFont="1" applyFill="1" applyBorder="1" applyAlignment="1">
      <alignment horizontal="center" vertical="center" wrapText="1"/>
    </xf>
    <xf numFmtId="167" fontId="21" fillId="0" borderId="1" xfId="24" applyNumberFormat="1" applyFont="1" applyFill="1" applyBorder="1" applyAlignment="1">
      <alignment horizontal="right" vertical="center" wrapText="1"/>
    </xf>
    <xf numFmtId="0" fontId="18" fillId="0" borderId="0" xfId="3" applyFont="1"/>
    <xf numFmtId="0" fontId="27" fillId="4" borderId="7" xfId="3" applyFont="1" applyFill="1" applyBorder="1" applyAlignment="1">
      <alignment horizontal="left" vertical="center" wrapText="1"/>
    </xf>
    <xf numFmtId="0" fontId="27" fillId="4" borderId="1" xfId="3" applyFont="1" applyFill="1" applyBorder="1" applyAlignment="1">
      <alignment horizontal="center" vertical="center" wrapText="1"/>
    </xf>
    <xf numFmtId="167" fontId="27" fillId="0" borderId="1" xfId="24" applyNumberFormat="1" applyFont="1" applyFill="1" applyBorder="1" applyAlignment="1">
      <alignment horizontal="right" vertical="center" wrapText="1"/>
    </xf>
    <xf numFmtId="0" fontId="12" fillId="2" borderId="1" xfId="3" applyFont="1" applyFill="1" applyBorder="1" applyAlignment="1">
      <alignment horizontal="left" vertical="center" wrapText="1"/>
    </xf>
    <xf numFmtId="0" fontId="12" fillId="2" borderId="1" xfId="3" applyFont="1" applyFill="1" applyBorder="1" applyAlignment="1">
      <alignment horizontal="center" vertical="center" wrapText="1"/>
    </xf>
    <xf numFmtId="166" fontId="12" fillId="0" borderId="1" xfId="24" applyNumberFormat="1" applyFont="1" applyFill="1" applyBorder="1" applyAlignment="1">
      <alignment horizontal="right" vertical="center" wrapText="1"/>
    </xf>
    <xf numFmtId="49" fontId="12" fillId="2" borderId="1" xfId="3" applyNumberFormat="1" applyFont="1" applyFill="1" applyBorder="1" applyAlignment="1">
      <alignment horizontal="center" vertical="center" wrapText="1"/>
    </xf>
    <xf numFmtId="0" fontId="11" fillId="2" borderId="1" xfId="3" applyFont="1" applyFill="1" applyBorder="1" applyAlignment="1">
      <alignment horizontal="left" vertical="center" wrapText="1"/>
    </xf>
    <xf numFmtId="49" fontId="11" fillId="2" borderId="1" xfId="3" applyNumberFormat="1" applyFont="1" applyFill="1" applyBorder="1" applyAlignment="1">
      <alignment horizontal="center" vertical="center" wrapText="1"/>
    </xf>
    <xf numFmtId="167" fontId="12" fillId="0" borderId="1" xfId="24" applyNumberFormat="1" applyFont="1" applyFill="1" applyBorder="1" applyAlignment="1">
      <alignment horizontal="right" vertical="center" wrapText="1"/>
    </xf>
    <xf numFmtId="0" fontId="11" fillId="0" borderId="0" xfId="9" applyFont="1"/>
    <xf numFmtId="167" fontId="11" fillId="0" borderId="1" xfId="24" applyNumberFormat="1" applyFont="1" applyFill="1" applyBorder="1" applyAlignment="1">
      <alignment horizontal="right" vertical="center" wrapText="1"/>
    </xf>
    <xf numFmtId="166" fontId="11" fillId="0" borderId="1" xfId="24" applyNumberFormat="1" applyFont="1" applyFill="1" applyBorder="1" applyAlignment="1">
      <alignment horizontal="right" vertical="center" wrapText="1"/>
    </xf>
    <xf numFmtId="0" fontId="15" fillId="2" borderId="7" xfId="3" applyFont="1" applyFill="1" applyBorder="1" applyAlignment="1">
      <alignment horizontal="left" vertical="center" wrapText="1"/>
    </xf>
    <xf numFmtId="0" fontId="15" fillId="2" borderId="1" xfId="3" applyFont="1" applyFill="1" applyBorder="1" applyAlignment="1">
      <alignment horizontal="center" vertical="center" wrapText="1"/>
    </xf>
    <xf numFmtId="167" fontId="15" fillId="0" borderId="1" xfId="24" applyNumberFormat="1" applyFont="1" applyFill="1" applyBorder="1" applyAlignment="1">
      <alignment horizontal="right" vertical="center" wrapText="1"/>
    </xf>
    <xf numFmtId="0" fontId="10" fillId="2" borderId="7" xfId="3" applyFont="1" applyFill="1" applyBorder="1" applyAlignment="1">
      <alignment horizontal="left" vertical="center" wrapText="1"/>
    </xf>
    <xf numFmtId="165" fontId="10" fillId="0" borderId="1" xfId="24" applyFont="1" applyFill="1" applyBorder="1" applyAlignment="1">
      <alignment horizontal="right" vertical="center" wrapText="1"/>
    </xf>
    <xf numFmtId="167" fontId="10" fillId="0" borderId="1" xfId="24" applyNumberFormat="1" applyFont="1" applyFill="1" applyBorder="1" applyAlignment="1">
      <alignment horizontal="right" vertical="center" wrapText="1"/>
    </xf>
    <xf numFmtId="0" fontId="11" fillId="2" borderId="7" xfId="3" applyFont="1" applyFill="1" applyBorder="1" applyAlignment="1">
      <alignment horizontal="left" vertical="center" wrapText="1"/>
    </xf>
    <xf numFmtId="166" fontId="15" fillId="0" borderId="1" xfId="24" applyNumberFormat="1" applyFont="1" applyFill="1" applyBorder="1" applyAlignment="1">
      <alignment horizontal="right" vertical="center" wrapText="1"/>
    </xf>
    <xf numFmtId="166" fontId="10" fillId="0" borderId="1" xfId="24" applyNumberFormat="1" applyFont="1" applyFill="1" applyBorder="1" applyAlignment="1">
      <alignment horizontal="right" vertical="center" wrapText="1"/>
    </xf>
    <xf numFmtId="49" fontId="11" fillId="2" borderId="1" xfId="3" applyNumberFormat="1" applyFont="1" applyFill="1" applyBorder="1" applyAlignment="1" applyProtection="1">
      <alignment horizontal="left" vertical="center" wrapText="1"/>
    </xf>
    <xf numFmtId="0" fontId="14" fillId="2" borderId="7" xfId="3" applyFont="1" applyFill="1" applyBorder="1" applyAlignment="1">
      <alignment horizontal="left" vertical="center" wrapText="1"/>
    </xf>
    <xf numFmtId="169" fontId="11" fillId="2" borderId="1" xfId="3" applyNumberFormat="1" applyFont="1" applyFill="1" applyBorder="1" applyAlignment="1" applyProtection="1">
      <alignment horizontal="left" vertical="center" wrapText="1"/>
    </xf>
    <xf numFmtId="169" fontId="11" fillId="2" borderId="7" xfId="3" applyNumberFormat="1" applyFont="1" applyFill="1" applyBorder="1" applyAlignment="1">
      <alignment horizontal="left" vertical="center" wrapText="1"/>
    </xf>
    <xf numFmtId="49" fontId="11" fillId="2" borderId="7" xfId="3" applyNumberFormat="1" applyFont="1" applyFill="1" applyBorder="1" applyAlignment="1">
      <alignment horizontal="left" vertical="center" wrapText="1"/>
    </xf>
    <xf numFmtId="0" fontId="11" fillId="0" borderId="1" xfId="9" applyFont="1" applyBorder="1"/>
    <xf numFmtId="49" fontId="15" fillId="2" borderId="1" xfId="3" applyNumberFormat="1" applyFont="1" applyFill="1" applyBorder="1" applyAlignment="1">
      <alignment horizontal="center" vertical="center" wrapText="1"/>
    </xf>
    <xf numFmtId="49" fontId="27" fillId="2" borderId="7" xfId="3" applyNumberFormat="1" applyFont="1" applyFill="1" applyBorder="1" applyAlignment="1" applyProtection="1">
      <alignment horizontal="left" vertical="center" wrapText="1"/>
    </xf>
    <xf numFmtId="49" fontId="29" fillId="2" borderId="1" xfId="3" applyNumberFormat="1" applyFont="1" applyFill="1" applyBorder="1" applyAlignment="1">
      <alignment horizontal="center" vertical="center" wrapText="1"/>
    </xf>
    <xf numFmtId="0" fontId="26" fillId="2" borderId="1" xfId="3" applyFont="1" applyFill="1" applyBorder="1" applyAlignment="1">
      <alignment horizontal="center" vertical="center" wrapText="1"/>
    </xf>
    <xf numFmtId="49" fontId="26" fillId="2" borderId="1" xfId="3" applyNumberFormat="1" applyFont="1" applyFill="1" applyBorder="1" applyAlignment="1">
      <alignment horizontal="center" vertical="center" wrapText="1"/>
    </xf>
    <xf numFmtId="49" fontId="11" fillId="2" borderId="7" xfId="3" applyNumberFormat="1" applyFont="1" applyFill="1" applyBorder="1" applyAlignment="1" applyProtection="1">
      <alignment horizontal="left" vertical="center" wrapText="1"/>
    </xf>
    <xf numFmtId="0" fontId="10" fillId="2" borderId="1" xfId="3" applyFont="1" applyFill="1" applyBorder="1" applyAlignment="1">
      <alignment horizontal="left" vertical="center" wrapText="1"/>
    </xf>
    <xf numFmtId="0" fontId="26" fillId="4" borderId="7" xfId="3" applyFont="1" applyFill="1" applyBorder="1" applyAlignment="1">
      <alignment horizontal="left" vertical="center" wrapText="1"/>
    </xf>
    <xf numFmtId="49" fontId="26" fillId="4" borderId="1" xfId="3" applyNumberFormat="1" applyFont="1" applyFill="1" applyBorder="1" applyAlignment="1">
      <alignment horizontal="center" vertical="center" wrapText="1"/>
    </xf>
    <xf numFmtId="166" fontId="26" fillId="0" borderId="1" xfId="24" applyNumberFormat="1" applyFont="1" applyFill="1" applyBorder="1" applyAlignment="1">
      <alignment horizontal="right" vertical="center" wrapText="1"/>
    </xf>
    <xf numFmtId="167" fontId="26" fillId="0" borderId="1" xfId="24" applyNumberFormat="1" applyFont="1" applyFill="1" applyBorder="1" applyAlignment="1">
      <alignment horizontal="right" vertical="center" wrapText="1"/>
    </xf>
    <xf numFmtId="0" fontId="23" fillId="2" borderId="7" xfId="3" applyFont="1" applyFill="1" applyBorder="1" applyAlignment="1">
      <alignment horizontal="left" vertical="center" wrapText="1"/>
    </xf>
    <xf numFmtId="49" fontId="22" fillId="2" borderId="1" xfId="3" applyNumberFormat="1" applyFont="1" applyFill="1" applyBorder="1" applyAlignment="1">
      <alignment horizontal="center" vertical="center" wrapText="1"/>
    </xf>
    <xf numFmtId="49" fontId="14" fillId="2" borderId="1" xfId="3" applyNumberFormat="1" applyFont="1" applyFill="1" applyBorder="1" applyAlignment="1">
      <alignment horizontal="center" vertical="center" wrapText="1"/>
    </xf>
    <xf numFmtId="166" fontId="10" fillId="0" borderId="7" xfId="24" applyNumberFormat="1" applyFont="1" applyFill="1" applyBorder="1" applyAlignment="1">
      <alignment horizontal="right" vertical="center" wrapText="1"/>
    </xf>
    <xf numFmtId="167" fontId="29" fillId="0" borderId="1" xfId="24" applyNumberFormat="1" applyFont="1" applyFill="1" applyBorder="1" applyAlignment="1">
      <alignment horizontal="right" vertical="center" wrapText="1"/>
    </xf>
    <xf numFmtId="0" fontId="12" fillId="2" borderId="7" xfId="3" applyFont="1" applyFill="1" applyBorder="1" applyAlignment="1">
      <alignment horizontal="left" vertical="center" wrapText="1"/>
    </xf>
    <xf numFmtId="168" fontId="15" fillId="0" borderId="1" xfId="24" applyNumberFormat="1" applyFont="1" applyFill="1" applyBorder="1" applyAlignment="1">
      <alignment horizontal="right" vertical="center" wrapText="1"/>
    </xf>
    <xf numFmtId="0" fontId="18" fillId="2" borderId="0" xfId="3" applyFont="1" applyFill="1"/>
    <xf numFmtId="0" fontId="30" fillId="0" borderId="1" xfId="3" applyFont="1" applyBorder="1" applyAlignment="1">
      <alignment wrapText="1"/>
    </xf>
    <xf numFmtId="49" fontId="29" fillId="4" borderId="1" xfId="3" applyNumberFormat="1" applyFont="1" applyFill="1" applyBorder="1" applyAlignment="1">
      <alignment horizontal="center" vertical="center" wrapText="1"/>
    </xf>
    <xf numFmtId="165" fontId="26" fillId="0" borderId="1" xfId="24" applyFont="1" applyFill="1" applyBorder="1" applyAlignment="1">
      <alignment horizontal="right" vertical="center" wrapText="1"/>
    </xf>
    <xf numFmtId="0" fontId="15" fillId="2" borderId="1" xfId="3" applyFont="1" applyFill="1" applyBorder="1" applyAlignment="1">
      <alignment horizontal="left" vertical="center" wrapText="1"/>
    </xf>
    <xf numFmtId="0" fontId="23" fillId="2" borderId="1" xfId="3" applyFont="1" applyFill="1" applyBorder="1" applyAlignment="1">
      <alignment wrapText="1"/>
    </xf>
    <xf numFmtId="0" fontId="10" fillId="2" borderId="1" xfId="3" applyFont="1" applyFill="1" applyBorder="1" applyAlignment="1">
      <alignment wrapText="1"/>
    </xf>
    <xf numFmtId="0" fontId="10" fillId="2" borderId="7" xfId="3" applyFont="1" applyFill="1" applyBorder="1" applyAlignment="1">
      <alignment vertical="top" wrapText="1"/>
    </xf>
    <xf numFmtId="0" fontId="11" fillId="0" borderId="0" xfId="9" applyFont="1" applyAlignment="1">
      <alignment wrapText="1"/>
    </xf>
    <xf numFmtId="167" fontId="10" fillId="0" borderId="15" xfId="24" applyNumberFormat="1" applyFont="1" applyFill="1" applyBorder="1" applyAlignment="1">
      <alignment horizontal="right" vertical="center" wrapText="1"/>
    </xf>
    <xf numFmtId="0" fontId="15" fillId="2" borderId="7" xfId="3" applyFont="1" applyFill="1" applyBorder="1" applyAlignment="1">
      <alignment vertical="top" wrapText="1"/>
    </xf>
    <xf numFmtId="165" fontId="15" fillId="0" borderId="1" xfId="24" applyFont="1" applyFill="1" applyBorder="1" applyAlignment="1">
      <alignment horizontal="right" vertical="center" wrapText="1"/>
    </xf>
    <xf numFmtId="167" fontId="15" fillId="0" borderId="1" xfId="24" applyNumberFormat="1" applyFont="1" applyFill="1" applyBorder="1" applyAlignment="1">
      <alignment vertical="center" wrapText="1"/>
    </xf>
    <xf numFmtId="0" fontId="12" fillId="2" borderId="7" xfId="3" applyFont="1" applyFill="1" applyBorder="1" applyAlignment="1">
      <alignment vertical="top" wrapText="1"/>
    </xf>
    <xf numFmtId="166" fontId="10" fillId="0" borderId="1" xfId="24" applyNumberFormat="1" applyFont="1" applyFill="1" applyBorder="1" applyAlignment="1">
      <alignment vertical="center" wrapText="1"/>
    </xf>
    <xf numFmtId="0" fontId="26" fillId="4" borderId="1" xfId="3" applyFont="1" applyFill="1" applyBorder="1" applyAlignment="1">
      <alignment horizontal="left" vertical="center" wrapText="1"/>
    </xf>
    <xf numFmtId="0" fontId="28" fillId="4" borderId="0" xfId="3" applyFont="1" applyFill="1" applyAlignment="1">
      <alignment horizontal="center" vertical="center"/>
    </xf>
    <xf numFmtId="166" fontId="27" fillId="0" borderId="1" xfId="24" applyNumberFormat="1" applyFont="1" applyFill="1" applyBorder="1" applyAlignment="1">
      <alignment horizontal="right" vertical="center" wrapText="1"/>
    </xf>
    <xf numFmtId="165" fontId="11" fillId="0" borderId="1" xfId="24" applyFont="1" applyFill="1" applyBorder="1" applyAlignment="1">
      <alignment horizontal="right" vertical="center" wrapText="1"/>
    </xf>
    <xf numFmtId="0" fontId="11" fillId="2" borderId="7" xfId="3" applyNumberFormat="1" applyFont="1" applyFill="1" applyBorder="1" applyAlignment="1">
      <alignment horizontal="left" vertical="center" wrapText="1"/>
    </xf>
    <xf numFmtId="0" fontId="21" fillId="0" borderId="0" xfId="3" applyFont="1"/>
    <xf numFmtId="0" fontId="17" fillId="2" borderId="7" xfId="3" applyFont="1" applyFill="1" applyBorder="1" applyAlignment="1">
      <alignment horizontal="left" vertical="center" wrapText="1"/>
    </xf>
    <xf numFmtId="167" fontId="10" fillId="0" borderId="7" xfId="24" applyNumberFormat="1" applyFont="1" applyFill="1" applyBorder="1" applyAlignment="1">
      <alignment vertical="center" wrapText="1"/>
    </xf>
    <xf numFmtId="0" fontId="23" fillId="2" borderId="1" xfId="3" applyFont="1" applyFill="1" applyBorder="1" applyAlignment="1">
      <alignment horizontal="left" vertical="center" wrapText="1"/>
    </xf>
    <xf numFmtId="170" fontId="63" fillId="0" borderId="1" xfId="33" applyFont="1" applyFill="1" applyBorder="1" applyAlignment="1">
      <alignment horizontal="center" vertical="center" wrapText="1"/>
    </xf>
    <xf numFmtId="0" fontId="64" fillId="0" borderId="0" xfId="9" applyFont="1" applyAlignment="1">
      <alignment wrapText="1"/>
    </xf>
    <xf numFmtId="0" fontId="35" fillId="0" borderId="0" xfId="7" applyFont="1" applyFill="1" applyAlignment="1">
      <alignment horizontal="right"/>
    </xf>
    <xf numFmtId="0" fontId="31" fillId="0" borderId="0" xfId="0" applyFont="1" applyFill="1" applyAlignment="1">
      <alignment horizontal="right" vertical="center"/>
    </xf>
    <xf numFmtId="166" fontId="50" fillId="0" borderId="7" xfId="5" applyNumberFormat="1" applyFont="1" applyFill="1" applyBorder="1" applyAlignment="1">
      <alignment horizontal="left" vertical="center" wrapText="1"/>
    </xf>
    <xf numFmtId="172" fontId="39" fillId="0" borderId="7" xfId="5" applyNumberFormat="1" applyFont="1" applyFill="1" applyBorder="1" applyAlignment="1">
      <alignment vertical="center" wrapText="1"/>
    </xf>
    <xf numFmtId="168" fontId="15" fillId="0" borderId="6" xfId="1" applyNumberFormat="1" applyFont="1" applyFill="1" applyBorder="1" applyAlignment="1">
      <alignment vertical="center" wrapText="1"/>
    </xf>
    <xf numFmtId="168" fontId="15" fillId="0" borderId="22" xfId="3" applyNumberFormat="1" applyFont="1" applyFill="1" applyBorder="1" applyAlignment="1">
      <alignment vertical="center" wrapText="1"/>
    </xf>
    <xf numFmtId="168" fontId="10" fillId="0" borderId="3" xfId="1" applyNumberFormat="1" applyFont="1" applyFill="1" applyBorder="1" applyAlignment="1">
      <alignment horizontal="right" vertical="center" wrapText="1"/>
    </xf>
    <xf numFmtId="49" fontId="11" fillId="0" borderId="1" xfId="5" applyNumberFormat="1" applyFont="1" applyFill="1" applyBorder="1" applyAlignment="1">
      <alignment horizontal="left" vertical="center" wrapText="1"/>
    </xf>
    <xf numFmtId="49" fontId="10" fillId="2" borderId="1" xfId="3" applyNumberFormat="1" applyFont="1" applyFill="1" applyBorder="1" applyAlignment="1">
      <alignment horizontal="left" vertical="center" wrapText="1"/>
    </xf>
    <xf numFmtId="0" fontId="11" fillId="2" borderId="1" xfId="3" applyFont="1" applyFill="1" applyBorder="1" applyAlignment="1">
      <alignment horizontal="left" vertical="center"/>
    </xf>
    <xf numFmtId="49" fontId="10" fillId="2" borderId="36" xfId="3" applyNumberFormat="1" applyFont="1" applyFill="1" applyBorder="1" applyAlignment="1">
      <alignment horizontal="center" vertical="center" wrapText="1"/>
    </xf>
    <xf numFmtId="0" fontId="10" fillId="2" borderId="36" xfId="3" applyFont="1" applyFill="1" applyBorder="1" applyAlignment="1">
      <alignment horizontal="center" vertical="center" wrapText="1"/>
    </xf>
    <xf numFmtId="166" fontId="11" fillId="0" borderId="37" xfId="24" applyNumberFormat="1" applyFont="1" applyFill="1" applyBorder="1" applyAlignment="1">
      <alignment horizontal="right" vertical="center" wrapText="1"/>
    </xf>
    <xf numFmtId="169" fontId="65" fillId="0" borderId="1" xfId="9" applyNumberFormat="1" applyFont="1" applyFill="1" applyBorder="1" applyAlignment="1">
      <alignment horizontal="center" vertical="center" wrapText="1"/>
    </xf>
    <xf numFmtId="0" fontId="27" fillId="2" borderId="1" xfId="3" applyFont="1" applyFill="1" applyBorder="1" applyAlignment="1">
      <alignment horizontal="left" vertical="center" wrapText="1"/>
    </xf>
    <xf numFmtId="167" fontId="25" fillId="0" borderId="1" xfId="24" applyNumberFormat="1" applyFont="1" applyFill="1" applyBorder="1" applyAlignment="1">
      <alignment horizontal="center" vertical="top" wrapText="1"/>
    </xf>
    <xf numFmtId="167" fontId="60" fillId="0" borderId="1" xfId="24" applyNumberFormat="1" applyFont="1" applyFill="1" applyBorder="1" applyAlignment="1">
      <alignment horizontal="center" vertical="center" wrapText="1"/>
    </xf>
    <xf numFmtId="172" fontId="11" fillId="0" borderId="1" xfId="5" applyNumberFormat="1" applyFont="1" applyFill="1" applyBorder="1" applyAlignment="1">
      <alignment horizontal="left" vertical="center" wrapText="1"/>
    </xf>
    <xf numFmtId="167" fontId="60" fillId="0" borderId="1" xfId="24" applyNumberFormat="1" applyFont="1" applyFill="1" applyBorder="1" applyAlignment="1">
      <alignment horizontal="right" vertical="center" wrapText="1"/>
    </xf>
    <xf numFmtId="0" fontId="11" fillId="0" borderId="1" xfId="9" applyFont="1" applyFill="1" applyBorder="1" applyAlignment="1">
      <alignment horizontal="left" vertical="center" wrapText="1"/>
    </xf>
    <xf numFmtId="166" fontId="55" fillId="0" borderId="1" xfId="24" applyNumberFormat="1" applyFont="1" applyFill="1" applyBorder="1" applyAlignment="1">
      <alignment horizontal="center" vertical="center" wrapText="1"/>
    </xf>
    <xf numFmtId="0" fontId="11" fillId="0" borderId="1" xfId="9" applyFont="1" applyBorder="1" applyAlignment="1">
      <alignment horizontal="left" vertical="center"/>
    </xf>
    <xf numFmtId="166" fontId="10" fillId="0" borderId="1" xfId="24" applyNumberFormat="1" applyFont="1" applyFill="1" applyBorder="1" applyAlignment="1">
      <alignment horizontal="center" vertical="center" wrapText="1"/>
    </xf>
    <xf numFmtId="166" fontId="11" fillId="0" borderId="1" xfId="24" applyNumberFormat="1" applyFont="1" applyFill="1" applyBorder="1" applyAlignment="1">
      <alignment horizontal="center" vertical="center" wrapText="1"/>
    </xf>
    <xf numFmtId="169" fontId="11" fillId="2" borderId="1" xfId="3" applyNumberFormat="1" applyFont="1" applyFill="1" applyBorder="1" applyAlignment="1">
      <alignment horizontal="left" vertical="center" wrapText="1"/>
    </xf>
    <xf numFmtId="0" fontId="50" fillId="0" borderId="57" xfId="5" applyFont="1" applyFill="1" applyBorder="1" applyAlignment="1">
      <alignment horizontal="center" vertical="center"/>
    </xf>
    <xf numFmtId="174" fontId="49" fillId="0" borderId="1" xfId="5" applyNumberFormat="1" applyFont="1" applyFill="1" applyBorder="1" applyAlignment="1">
      <alignment horizontal="right" vertical="center" wrapText="1"/>
    </xf>
    <xf numFmtId="0" fontId="66" fillId="0" borderId="1" xfId="0" applyFont="1" applyBorder="1" applyAlignment="1">
      <alignment horizontal="left" vertical="center" wrapText="1"/>
    </xf>
    <xf numFmtId="0" fontId="11" fillId="0" borderId="1" xfId="3" applyFont="1" applyFill="1" applyBorder="1" applyAlignment="1">
      <alignment horizontal="center"/>
    </xf>
    <xf numFmtId="174" fontId="10" fillId="0" borderId="1" xfId="24" applyNumberFormat="1" applyFont="1" applyFill="1" applyBorder="1" applyAlignment="1">
      <alignment horizontal="right" vertical="center" wrapText="1"/>
    </xf>
    <xf numFmtId="0" fontId="11" fillId="0" borderId="2" xfId="3" applyFont="1" applyFill="1" applyBorder="1" applyAlignment="1">
      <alignment horizontal="left" vertical="center"/>
    </xf>
    <xf numFmtId="0" fontId="11" fillId="0" borderId="2" xfId="3" applyFont="1" applyFill="1" applyBorder="1" applyAlignment="1">
      <alignment horizontal="center"/>
    </xf>
    <xf numFmtId="0" fontId="11" fillId="0" borderId="2" xfId="3" applyFont="1" applyFill="1" applyBorder="1" applyAlignment="1">
      <alignment horizontal="center" vertical="center"/>
    </xf>
    <xf numFmtId="166" fontId="10" fillId="0" borderId="18" xfId="24" applyNumberFormat="1" applyFont="1" applyFill="1" applyBorder="1" applyAlignment="1">
      <alignment horizontal="right" vertical="center" wrapText="1"/>
    </xf>
    <xf numFmtId="168" fontId="14" fillId="0" borderId="2" xfId="3" applyNumberFormat="1" applyFont="1" applyFill="1" applyBorder="1" applyAlignment="1">
      <alignment horizontal="center" vertical="center" wrapText="1"/>
    </xf>
    <xf numFmtId="168" fontId="11" fillId="0" borderId="2" xfId="3" applyNumberFormat="1" applyFont="1" applyFill="1" applyBorder="1"/>
    <xf numFmtId="174" fontId="10" fillId="0" borderId="18" xfId="24" applyNumberFormat="1" applyFont="1" applyFill="1" applyBorder="1" applyAlignment="1">
      <alignment horizontal="right" vertical="center" wrapText="1"/>
    </xf>
    <xf numFmtId="0" fontId="11" fillId="0" borderId="1" xfId="9" applyFont="1" applyFill="1" applyBorder="1"/>
    <xf numFmtId="174" fontId="10" fillId="0" borderId="7" xfId="24" applyNumberFormat="1" applyFont="1" applyFill="1" applyBorder="1" applyAlignment="1">
      <alignment horizontal="right" vertical="center" wrapText="1"/>
    </xf>
    <xf numFmtId="166" fontId="15" fillId="0" borderId="7" xfId="25" applyNumberFormat="1" applyFont="1" applyFill="1" applyBorder="1" applyAlignment="1">
      <alignment horizontal="right" vertical="center" wrapText="1"/>
    </xf>
    <xf numFmtId="173" fontId="11" fillId="0" borderId="1" xfId="11" applyNumberFormat="1" applyFont="1" applyFill="1" applyBorder="1" applyAlignment="1" applyProtection="1">
      <alignment horizontal="left" vertical="center" wrapText="1"/>
    </xf>
    <xf numFmtId="49" fontId="10" fillId="0" borderId="1" xfId="3" applyNumberFormat="1" applyFont="1" applyFill="1" applyBorder="1" applyAlignment="1">
      <alignment horizontal="left" vertical="center" wrapText="1"/>
    </xf>
    <xf numFmtId="166" fontId="11" fillId="0" borderId="1" xfId="25" applyNumberFormat="1" applyFont="1" applyFill="1" applyBorder="1" applyAlignment="1">
      <alignment horizontal="left" vertical="center" wrapText="1"/>
    </xf>
    <xf numFmtId="0" fontId="8" fillId="0" borderId="0" xfId="3" applyFont="1" applyFill="1" applyBorder="1" applyAlignment="1">
      <alignment horizontal="left" vertical="center"/>
    </xf>
    <xf numFmtId="0" fontId="41" fillId="0" borderId="57" xfId="5" applyFont="1" applyFill="1" applyBorder="1" applyAlignment="1">
      <alignment horizontal="center" vertical="center"/>
    </xf>
    <xf numFmtId="172" fontId="49" fillId="0" borderId="1" xfId="5" applyNumberFormat="1" applyFont="1" applyFill="1" applyBorder="1" applyAlignment="1">
      <alignment horizontal="left" vertical="center" wrapText="1"/>
    </xf>
    <xf numFmtId="172" fontId="50" fillId="0" borderId="1" xfId="5" applyNumberFormat="1" applyFont="1" applyFill="1" applyBorder="1" applyAlignment="1">
      <alignment horizontal="left" vertical="center" wrapText="1"/>
    </xf>
    <xf numFmtId="0" fontId="11" fillId="0" borderId="1" xfId="3" applyFont="1" applyFill="1" applyBorder="1" applyAlignment="1">
      <alignment horizontal="left" vertical="center"/>
    </xf>
    <xf numFmtId="172" fontId="39" fillId="0" borderId="7" xfId="5" applyNumberFormat="1" applyFont="1" applyFill="1" applyBorder="1" applyAlignment="1">
      <alignment horizontal="left" vertical="center" wrapText="1" indent="2"/>
    </xf>
    <xf numFmtId="0" fontId="41" fillId="0" borderId="0" xfId="9" applyFont="1" applyFill="1" applyBorder="1" applyAlignment="1">
      <alignment wrapText="1"/>
    </xf>
    <xf numFmtId="172" fontId="41" fillId="0" borderId="7" xfId="5" applyNumberFormat="1" applyFont="1" applyFill="1" applyBorder="1" applyAlignment="1">
      <alignment vertical="center" wrapText="1"/>
    </xf>
    <xf numFmtId="166" fontId="41" fillId="0" borderId="1" xfId="5" applyNumberFormat="1" applyFont="1" applyFill="1" applyBorder="1" applyAlignment="1">
      <alignment horizontal="left" vertical="center" wrapText="1" indent="2"/>
    </xf>
    <xf numFmtId="49" fontId="41" fillId="0" borderId="1" xfId="3" applyNumberFormat="1" applyFont="1" applyFill="1" applyBorder="1" applyAlignment="1">
      <alignment horizontal="center" vertical="center" wrapText="1"/>
    </xf>
    <xf numFmtId="0" fontId="13" fillId="0" borderId="0" xfId="3" applyFont="1" applyFill="1"/>
    <xf numFmtId="166" fontId="13" fillId="0" borderId="0" xfId="24" applyNumberFormat="1" applyFont="1" applyFill="1" applyAlignment="1">
      <alignment horizontal="right"/>
    </xf>
    <xf numFmtId="172" fontId="50" fillId="0" borderId="7" xfId="5" applyNumberFormat="1" applyFont="1" applyFill="1" applyBorder="1" applyAlignment="1">
      <alignment horizontal="left" vertical="center" wrapText="1"/>
    </xf>
    <xf numFmtId="49" fontId="49" fillId="0" borderId="1" xfId="3" applyNumberFormat="1" applyFont="1" applyFill="1" applyBorder="1" applyAlignment="1">
      <alignment horizontal="center" vertical="center" wrapText="1"/>
    </xf>
    <xf numFmtId="0" fontId="39" fillId="0" borderId="15" xfId="3" applyFont="1" applyFill="1" applyBorder="1" applyAlignment="1">
      <alignment vertical="top" wrapText="1"/>
    </xf>
    <xf numFmtId="0" fontId="39" fillId="0" borderId="7" xfId="3" applyFont="1" applyFill="1" applyBorder="1" applyAlignment="1">
      <alignment vertical="top" wrapText="1"/>
    </xf>
    <xf numFmtId="0" fontId="41" fillId="0" borderId="61" xfId="5" applyFont="1" applyFill="1" applyBorder="1" applyAlignment="1">
      <alignment horizontal="center" vertical="center"/>
    </xf>
    <xf numFmtId="0" fontId="41" fillId="0" borderId="62" xfId="8" applyFont="1" applyFill="1" applyBorder="1" applyAlignment="1">
      <alignment horizontal="left" vertical="center" wrapText="1"/>
    </xf>
    <xf numFmtId="49" fontId="41" fillId="0" borderId="62" xfId="5" applyNumberFormat="1" applyFont="1" applyFill="1" applyBorder="1" applyAlignment="1">
      <alignment horizontal="center" vertical="center" wrapText="1"/>
    </xf>
    <xf numFmtId="168" fontId="41" fillId="0" borderId="62" xfId="5" applyNumberFormat="1" applyFont="1" applyFill="1" applyBorder="1" applyAlignment="1">
      <alignment horizontal="right" vertical="center" wrapText="1"/>
    </xf>
    <xf numFmtId="168" fontId="41" fillId="0" borderId="63" xfId="5" applyNumberFormat="1" applyFont="1" applyFill="1" applyBorder="1" applyAlignment="1">
      <alignment horizontal="right" vertical="center" wrapText="1"/>
    </xf>
    <xf numFmtId="172" fontId="39" fillId="0" borderId="2" xfId="5" applyNumberFormat="1" applyFont="1" applyFill="1" applyBorder="1" applyAlignment="1">
      <alignment horizontal="left" vertical="center" wrapText="1" indent="2"/>
    </xf>
    <xf numFmtId="166" fontId="39" fillId="0" borderId="2" xfId="5" applyNumberFormat="1" applyFont="1" applyFill="1" applyBorder="1" applyAlignment="1">
      <alignment horizontal="left" vertical="center" wrapText="1" indent="2"/>
    </xf>
    <xf numFmtId="49" fontId="39" fillId="0" borderId="2" xfId="5" applyNumberFormat="1" applyFont="1" applyFill="1" applyBorder="1" applyAlignment="1">
      <alignment horizontal="center" vertical="center" wrapText="1"/>
    </xf>
    <xf numFmtId="168" fontId="39" fillId="0" borderId="2" xfId="5" applyNumberFormat="1" applyFont="1" applyFill="1" applyBorder="1" applyAlignment="1">
      <alignment horizontal="right" vertical="center" wrapText="1"/>
    </xf>
    <xf numFmtId="168" fontId="39" fillId="0" borderId="20" xfId="5" applyNumberFormat="1" applyFont="1" applyFill="1" applyBorder="1" applyAlignment="1">
      <alignment horizontal="right" vertical="center" wrapText="1"/>
    </xf>
    <xf numFmtId="172" fontId="39" fillId="0" borderId="2" xfId="5" applyNumberFormat="1" applyFont="1" applyFill="1" applyBorder="1" applyAlignment="1">
      <alignment horizontal="left" vertical="center" wrapText="1"/>
    </xf>
    <xf numFmtId="166" fontId="39" fillId="0" borderId="2" xfId="5" applyNumberFormat="1" applyFont="1" applyFill="1" applyBorder="1" applyAlignment="1">
      <alignment horizontal="left" vertical="center" wrapText="1"/>
    </xf>
    <xf numFmtId="0" fontId="39" fillId="0" borderId="5" xfId="5" applyFont="1" applyFill="1" applyBorder="1" applyAlignment="1">
      <alignment vertical="center"/>
    </xf>
    <xf numFmtId="168" fontId="44" fillId="0" borderId="4" xfId="5" applyNumberFormat="1" applyFont="1" applyFill="1" applyBorder="1" applyAlignment="1">
      <alignment horizontal="right" vertical="center" wrapText="1"/>
    </xf>
    <xf numFmtId="0" fontId="40" fillId="0" borderId="15" xfId="3" applyFont="1" applyFill="1" applyBorder="1" applyAlignment="1">
      <alignment vertical="top" wrapText="1"/>
    </xf>
    <xf numFmtId="0" fontId="40" fillId="0" borderId="7" xfId="3" applyFont="1" applyFill="1" applyBorder="1" applyAlignment="1">
      <alignment vertical="top" wrapText="1"/>
    </xf>
    <xf numFmtId="166" fontId="15" fillId="0" borderId="7" xfId="25" applyNumberFormat="1" applyFont="1" applyFill="1" applyBorder="1" applyAlignment="1">
      <alignment horizontal="center" vertical="center"/>
    </xf>
    <xf numFmtId="167" fontId="10" fillId="0" borderId="7" xfId="25" applyNumberFormat="1" applyFont="1" applyFill="1" applyBorder="1" applyAlignment="1">
      <alignment horizontal="right" vertical="center" wrapText="1"/>
    </xf>
    <xf numFmtId="167" fontId="12" fillId="0" borderId="7" xfId="25" applyNumberFormat="1" applyFont="1" applyFill="1" applyBorder="1" applyAlignment="1">
      <alignment horizontal="right" vertical="center" wrapText="1"/>
    </xf>
    <xf numFmtId="49" fontId="15" fillId="0" borderId="7" xfId="3" applyNumberFormat="1" applyFont="1" applyFill="1" applyBorder="1" applyAlignment="1">
      <alignment vertical="center" wrapText="1"/>
    </xf>
    <xf numFmtId="166" fontId="12" fillId="0" borderId="7" xfId="25" applyNumberFormat="1" applyFont="1" applyFill="1" applyBorder="1" applyAlignment="1">
      <alignment horizontal="right" vertical="center" wrapText="1"/>
    </xf>
    <xf numFmtId="166" fontId="11" fillId="0" borderId="7" xfId="25" applyNumberFormat="1" applyFont="1" applyFill="1" applyBorder="1" applyAlignment="1">
      <alignment horizontal="right" vertical="center" wrapText="1"/>
    </xf>
    <xf numFmtId="167" fontId="11" fillId="0" borderId="7" xfId="25" applyNumberFormat="1" applyFont="1" applyFill="1" applyBorder="1" applyAlignment="1">
      <alignment horizontal="right" vertical="center" wrapText="1"/>
    </xf>
    <xf numFmtId="167" fontId="11" fillId="0" borderId="7" xfId="31" applyNumberFormat="1" applyFont="1" applyFill="1" applyBorder="1" applyAlignment="1">
      <alignment horizontal="left" vertical="center" wrapText="1"/>
    </xf>
    <xf numFmtId="167" fontId="10" fillId="0" borderId="18" xfId="25" applyNumberFormat="1" applyFont="1" applyFill="1" applyBorder="1" applyAlignment="1">
      <alignment horizontal="right" vertical="center" wrapText="1"/>
    </xf>
    <xf numFmtId="168" fontId="10" fillId="0" borderId="7" xfId="3" applyNumberFormat="1" applyFont="1" applyFill="1" applyBorder="1" applyAlignment="1">
      <alignment vertical="center" wrapText="1"/>
    </xf>
    <xf numFmtId="167" fontId="15" fillId="0" borderId="7" xfId="25" applyNumberFormat="1" applyFont="1" applyFill="1" applyBorder="1" applyAlignment="1">
      <alignment horizontal="right" vertical="center" wrapText="1"/>
    </xf>
    <xf numFmtId="49" fontId="10" fillId="0" borderId="7" xfId="3" applyNumberFormat="1" applyFont="1" applyFill="1" applyBorder="1" applyAlignment="1">
      <alignment vertical="center" wrapText="1"/>
    </xf>
    <xf numFmtId="168" fontId="15" fillId="0" borderId="7" xfId="25" applyNumberFormat="1" applyFont="1" applyFill="1" applyBorder="1" applyAlignment="1" applyProtection="1">
      <alignment horizontal="right" vertical="center" wrapText="1"/>
      <protection locked="0"/>
    </xf>
    <xf numFmtId="168" fontId="12" fillId="0" borderId="7" xfId="25" applyNumberFormat="1" applyFont="1" applyFill="1" applyBorder="1" applyAlignment="1">
      <alignment horizontal="right" vertical="center" wrapText="1"/>
    </xf>
    <xf numFmtId="168" fontId="11" fillId="0" borderId="7" xfId="25" applyNumberFormat="1" applyFont="1" applyFill="1" applyBorder="1" applyAlignment="1">
      <alignment horizontal="right" vertical="center" wrapText="1"/>
    </xf>
    <xf numFmtId="166" fontId="11" fillId="0" borderId="7" xfId="25" applyNumberFormat="1" applyFont="1" applyFill="1" applyBorder="1" applyAlignment="1">
      <alignment horizontal="left" vertical="center" wrapText="1"/>
    </xf>
    <xf numFmtId="168" fontId="15" fillId="0" borderId="7" xfId="25" applyNumberFormat="1" applyFont="1" applyFill="1" applyBorder="1" applyAlignment="1">
      <alignment horizontal="right" vertical="center" wrapText="1"/>
    </xf>
    <xf numFmtId="166" fontId="12" fillId="0" borderId="7" xfId="25" applyNumberFormat="1" applyFont="1" applyFill="1" applyBorder="1" applyAlignment="1">
      <alignment horizontal="right"/>
    </xf>
    <xf numFmtId="166" fontId="11" fillId="0" borderId="7" xfId="25" applyNumberFormat="1" applyFont="1" applyFill="1" applyBorder="1" applyAlignment="1">
      <alignment horizontal="right"/>
    </xf>
    <xf numFmtId="166" fontId="12" fillId="0" borderId="2" xfId="25" applyNumberFormat="1" applyFont="1" applyFill="1" applyBorder="1" applyAlignment="1">
      <alignment horizontal="right"/>
    </xf>
    <xf numFmtId="166" fontId="8" fillId="0" borderId="2" xfId="25" applyNumberFormat="1" applyFont="1" applyFill="1" applyBorder="1" applyAlignment="1">
      <alignment horizontal="right"/>
    </xf>
    <xf numFmtId="166" fontId="13" fillId="0" borderId="2" xfId="25" applyNumberFormat="1" applyFont="1" applyFill="1" applyBorder="1" applyAlignment="1">
      <alignment horizontal="right"/>
    </xf>
    <xf numFmtId="166" fontId="15" fillId="0" borderId="26" xfId="25" applyNumberFormat="1" applyFont="1" applyFill="1" applyBorder="1" applyAlignment="1">
      <alignment horizontal="center" vertical="center"/>
    </xf>
    <xf numFmtId="166" fontId="8" fillId="0" borderId="27" xfId="25" applyNumberFormat="1" applyFont="1" applyFill="1" applyBorder="1" applyAlignment="1">
      <alignment horizontal="right"/>
    </xf>
    <xf numFmtId="166" fontId="15" fillId="0" borderId="25" xfId="25" applyNumberFormat="1" applyFont="1" applyFill="1" applyBorder="1" applyAlignment="1">
      <alignment horizontal="center" vertical="center"/>
    </xf>
    <xf numFmtId="166" fontId="8" fillId="0" borderId="0" xfId="25" applyNumberFormat="1" applyFont="1" applyFill="1" applyBorder="1" applyAlignment="1">
      <alignment horizontal="right"/>
    </xf>
    <xf numFmtId="168" fontId="15" fillId="0" borderId="6" xfId="25" applyNumberFormat="1" applyFont="1" applyFill="1" applyBorder="1" applyAlignment="1">
      <alignment horizontal="right" vertical="center"/>
    </xf>
    <xf numFmtId="167" fontId="15" fillId="0" borderId="6" xfId="25" applyNumberFormat="1" applyFont="1" applyFill="1" applyBorder="1" applyAlignment="1">
      <alignment horizontal="center" vertical="center"/>
    </xf>
    <xf numFmtId="167" fontId="15" fillId="0" borderId="6" xfId="25" applyNumberFormat="1" applyFont="1" applyFill="1" applyBorder="1" applyAlignment="1">
      <alignment vertical="center" wrapText="1"/>
    </xf>
    <xf numFmtId="167" fontId="10" fillId="0" borderId="9" xfId="25" applyNumberFormat="1" applyFont="1" applyFill="1" applyBorder="1" applyAlignment="1">
      <alignment horizontal="right" vertical="center" wrapText="1"/>
    </xf>
    <xf numFmtId="167" fontId="12" fillId="0" borderId="9" xfId="25" applyNumberFormat="1" applyFont="1" applyFill="1" applyBorder="1" applyAlignment="1">
      <alignment horizontal="right" vertical="center" wrapText="1"/>
    </xf>
    <xf numFmtId="166" fontId="10" fillId="0" borderId="9" xfId="25" applyNumberFormat="1" applyFont="1" applyFill="1" applyBorder="1" applyAlignment="1">
      <alignment horizontal="right" vertical="center" wrapText="1"/>
    </xf>
    <xf numFmtId="166" fontId="15" fillId="0" borderId="9" xfId="25" applyNumberFormat="1" applyFont="1" applyFill="1" applyBorder="1" applyAlignment="1">
      <alignment horizontal="right" vertical="center" wrapText="1"/>
    </xf>
    <xf numFmtId="0" fontId="19" fillId="0" borderId="8" xfId="31" applyFont="1" applyFill="1" applyBorder="1" applyAlignment="1">
      <alignment horizontal="left" vertical="center" wrapText="1"/>
    </xf>
    <xf numFmtId="49" fontId="15" fillId="0" borderId="9" xfId="3" applyNumberFormat="1" applyFont="1" applyFill="1" applyBorder="1" applyAlignment="1">
      <alignment vertical="center" wrapText="1"/>
    </xf>
    <xf numFmtId="166" fontId="12" fillId="0" borderId="9" xfId="25" applyNumberFormat="1" applyFont="1" applyFill="1" applyBorder="1" applyAlignment="1">
      <alignment horizontal="right" vertical="center" wrapText="1"/>
    </xf>
    <xf numFmtId="166" fontId="11" fillId="0" borderId="9" xfId="25" applyNumberFormat="1" applyFont="1" applyFill="1" applyBorder="1" applyAlignment="1">
      <alignment horizontal="right" vertical="center" wrapText="1"/>
    </xf>
    <xf numFmtId="167" fontId="11" fillId="0" borderId="9" xfId="25" applyNumberFormat="1" applyFont="1" applyFill="1" applyBorder="1" applyAlignment="1">
      <alignment horizontal="right" vertical="center" wrapText="1"/>
    </xf>
    <xf numFmtId="166" fontId="10" fillId="0" borderId="6" xfId="25" applyNumberFormat="1" applyFont="1" applyFill="1" applyBorder="1" applyAlignment="1">
      <alignment horizontal="right" vertical="center" wrapText="1"/>
    </xf>
    <xf numFmtId="167" fontId="10" fillId="0" borderId="9" xfId="1" applyNumberFormat="1" applyFont="1" applyFill="1" applyBorder="1" applyAlignment="1">
      <alignment horizontal="right" vertical="center" wrapText="1"/>
    </xf>
    <xf numFmtId="167" fontId="11" fillId="0" borderId="9" xfId="31" applyNumberFormat="1" applyFont="1" applyFill="1" applyBorder="1" applyAlignment="1">
      <alignment horizontal="left" vertical="center" wrapText="1"/>
    </xf>
    <xf numFmtId="167" fontId="10" fillId="0" borderId="20" xfId="25" applyNumberFormat="1" applyFont="1" applyFill="1" applyBorder="1" applyAlignment="1">
      <alignment horizontal="right" vertical="center" wrapText="1"/>
    </xf>
    <xf numFmtId="167" fontId="15" fillId="0" borderId="9" xfId="25" applyNumberFormat="1" applyFont="1" applyFill="1" applyBorder="1" applyAlignment="1">
      <alignment horizontal="right" vertical="center" wrapText="1"/>
    </xf>
    <xf numFmtId="49" fontId="10" fillId="0" borderId="9" xfId="3" applyNumberFormat="1" applyFont="1" applyFill="1" applyBorder="1" applyAlignment="1">
      <alignment vertical="center" wrapText="1"/>
    </xf>
    <xf numFmtId="168" fontId="15" fillId="0" borderId="9" xfId="25" applyNumberFormat="1" applyFont="1" applyFill="1" applyBorder="1" applyAlignment="1" applyProtection="1">
      <alignment horizontal="right" vertical="center" wrapText="1"/>
      <protection locked="0"/>
    </xf>
    <xf numFmtId="168" fontId="12" fillId="0" borderId="9" xfId="25" applyNumberFormat="1" applyFont="1" applyFill="1" applyBorder="1" applyAlignment="1">
      <alignment horizontal="right" vertical="center" wrapText="1"/>
    </xf>
    <xf numFmtId="168" fontId="11" fillId="0" borderId="9" xfId="25" applyNumberFormat="1" applyFont="1" applyFill="1" applyBorder="1" applyAlignment="1">
      <alignment horizontal="right" vertical="center" wrapText="1"/>
    </xf>
    <xf numFmtId="168" fontId="15" fillId="0" borderId="9" xfId="25" applyNumberFormat="1" applyFont="1" applyFill="1" applyBorder="1" applyAlignment="1">
      <alignment horizontal="right" vertical="center" wrapText="1"/>
    </xf>
    <xf numFmtId="178" fontId="8" fillId="0" borderId="0" xfId="3" applyNumberFormat="1" applyFont="1" applyFill="1" applyBorder="1"/>
    <xf numFmtId="166" fontId="11" fillId="0" borderId="9" xfId="24" applyNumberFormat="1" applyFont="1" applyFill="1" applyBorder="1" applyAlignment="1">
      <alignment horizontal="right"/>
    </xf>
    <xf numFmtId="0" fontId="18" fillId="0" borderId="11" xfId="3" applyFont="1" applyFill="1" applyBorder="1"/>
    <xf numFmtId="0" fontId="8" fillId="0" borderId="11" xfId="3" applyFont="1" applyFill="1" applyBorder="1"/>
    <xf numFmtId="167" fontId="10" fillId="0" borderId="9" xfId="25" applyNumberFormat="1" applyFont="1" applyFill="1" applyBorder="1" applyAlignment="1">
      <alignment vertical="center" wrapText="1"/>
    </xf>
    <xf numFmtId="167" fontId="15" fillId="0" borderId="17" xfId="25" applyNumberFormat="1" applyFont="1" applyFill="1" applyBorder="1" applyAlignment="1">
      <alignment vertical="center" wrapText="1"/>
    </xf>
    <xf numFmtId="167" fontId="10" fillId="0" borderId="17" xfId="25" applyNumberFormat="1" applyFont="1" applyFill="1" applyBorder="1" applyAlignment="1">
      <alignment vertical="center" wrapText="1"/>
    </xf>
    <xf numFmtId="166" fontId="12" fillId="0" borderId="9" xfId="25" applyNumberFormat="1" applyFont="1" applyFill="1" applyBorder="1" applyAlignment="1">
      <alignment horizontal="right"/>
    </xf>
    <xf numFmtId="166" fontId="11" fillId="0" borderId="9" xfId="25" applyNumberFormat="1" applyFont="1" applyFill="1" applyBorder="1" applyAlignment="1">
      <alignment horizontal="right"/>
    </xf>
    <xf numFmtId="0" fontId="8" fillId="0" borderId="8" xfId="3" applyFont="1" applyFill="1" applyBorder="1" applyAlignment="1">
      <alignment horizontal="left" vertical="center"/>
    </xf>
    <xf numFmtId="166" fontId="15" fillId="0" borderId="6" xfId="25" applyNumberFormat="1" applyFont="1" applyFill="1" applyBorder="1" applyAlignment="1">
      <alignment horizontal="right" vertical="center" wrapText="1"/>
    </xf>
    <xf numFmtId="168" fontId="41" fillId="0" borderId="7" xfId="5" applyNumberFormat="1" applyFont="1" applyFill="1" applyBorder="1" applyAlignment="1">
      <alignment horizontal="right" vertical="center" wrapText="1"/>
    </xf>
    <xf numFmtId="0" fontId="49" fillId="0" borderId="8" xfId="5" applyFont="1" applyFill="1" applyBorder="1" applyAlignment="1">
      <alignment horizontal="center" vertical="center"/>
    </xf>
    <xf numFmtId="0" fontId="49" fillId="0" borderId="57" xfId="5" applyFont="1" applyFill="1" applyBorder="1" applyAlignment="1">
      <alignment horizontal="center" vertical="center"/>
    </xf>
    <xf numFmtId="0" fontId="11" fillId="0" borderId="8" xfId="3" applyFont="1" applyFill="1" applyBorder="1"/>
    <xf numFmtId="0" fontId="11" fillId="0" borderId="21" xfId="3" applyFont="1" applyFill="1" applyBorder="1"/>
    <xf numFmtId="168" fontId="41" fillId="0" borderId="28" xfId="5" applyNumberFormat="1" applyFont="1" applyFill="1" applyBorder="1" applyAlignment="1">
      <alignment horizontal="center" vertical="center" wrapText="1"/>
    </xf>
    <xf numFmtId="168" fontId="13" fillId="0" borderId="15" xfId="5" applyNumberFormat="1" applyFont="1" applyFill="1" applyBorder="1" applyAlignment="1">
      <alignment horizontal="right" vertical="center" wrapText="1"/>
    </xf>
    <xf numFmtId="168" fontId="41" fillId="0" borderId="60" xfId="5" applyNumberFormat="1" applyFont="1" applyFill="1" applyBorder="1" applyAlignment="1">
      <alignment horizontal="right" vertical="center" wrapText="1"/>
    </xf>
    <xf numFmtId="168" fontId="41" fillId="0" borderId="18" xfId="5" applyNumberFormat="1" applyFont="1" applyFill="1" applyBorder="1" applyAlignment="1">
      <alignment horizontal="right" vertical="center" wrapText="1"/>
    </xf>
    <xf numFmtId="168" fontId="41" fillId="0" borderId="7" xfId="5" applyNumberFormat="1" applyFont="1" applyFill="1" applyBorder="1" applyAlignment="1">
      <alignment horizontal="right" vertical="center"/>
    </xf>
    <xf numFmtId="168" fontId="39" fillId="0" borderId="7" xfId="5" applyNumberFormat="1" applyFont="1" applyFill="1" applyBorder="1" applyAlignment="1">
      <alignment horizontal="right" vertical="center"/>
    </xf>
    <xf numFmtId="168" fontId="39" fillId="0" borderId="15" xfId="5" applyNumberFormat="1" applyFont="1" applyFill="1" applyBorder="1" applyAlignment="1">
      <alignment horizontal="right" vertical="center"/>
    </xf>
    <xf numFmtId="168" fontId="41" fillId="0" borderId="7" xfId="14" applyNumberFormat="1" applyFont="1" applyFill="1" applyBorder="1" applyAlignment="1">
      <alignment horizontal="right" vertical="center"/>
    </xf>
    <xf numFmtId="168" fontId="39" fillId="0" borderId="7" xfId="14" applyNumberFormat="1" applyFont="1" applyFill="1" applyBorder="1" applyAlignment="1">
      <alignment horizontal="right" vertical="center"/>
    </xf>
    <xf numFmtId="168" fontId="41" fillId="0" borderId="9" xfId="14" applyNumberFormat="1" applyFont="1" applyFill="1" applyBorder="1" applyAlignment="1">
      <alignment horizontal="right" vertical="center"/>
    </xf>
    <xf numFmtId="0" fontId="41" fillId="0" borderId="1" xfId="8" applyFont="1" applyFill="1" applyBorder="1" applyAlignment="1">
      <alignment horizontal="left" vertical="center" wrapText="1"/>
    </xf>
    <xf numFmtId="172" fontId="39" fillId="0" borderId="1" xfId="5" applyNumberFormat="1" applyFont="1" applyFill="1" applyBorder="1" applyAlignment="1">
      <alignment vertical="center" wrapText="1"/>
    </xf>
    <xf numFmtId="0" fontId="8" fillId="0" borderId="35" xfId="5" applyFont="1" applyFill="1" applyBorder="1" applyAlignment="1">
      <alignment horizontal="center" vertical="center"/>
    </xf>
    <xf numFmtId="172" fontId="13" fillId="0" borderId="36" xfId="5" applyNumberFormat="1" applyFont="1" applyFill="1" applyBorder="1" applyAlignment="1">
      <alignment horizontal="left" vertical="center" wrapText="1"/>
    </xf>
    <xf numFmtId="166" fontId="13" fillId="0" borderId="36" xfId="5" applyNumberFormat="1" applyFont="1" applyFill="1" applyBorder="1" applyAlignment="1">
      <alignment horizontal="left" vertical="center" wrapText="1"/>
    </xf>
    <xf numFmtId="49" fontId="13" fillId="0" borderId="36" xfId="5" applyNumberFormat="1" applyFont="1" applyFill="1" applyBorder="1" applyAlignment="1">
      <alignment horizontal="center" vertical="center" wrapText="1"/>
    </xf>
    <xf numFmtId="168" fontId="13" fillId="0" borderId="37" xfId="5" applyNumberFormat="1" applyFont="1" applyFill="1" applyBorder="1" applyAlignment="1">
      <alignment horizontal="right" vertical="center" wrapText="1"/>
    </xf>
    <xf numFmtId="0" fontId="41" fillId="0" borderId="33" xfId="5" applyFont="1" applyFill="1" applyBorder="1" applyAlignment="1">
      <alignment horizontal="center" vertical="center" wrapText="1"/>
    </xf>
    <xf numFmtId="172" fontId="41" fillId="0" borderId="32" xfId="5" applyNumberFormat="1" applyFont="1" applyFill="1" applyBorder="1" applyAlignment="1">
      <alignment horizontal="center" vertical="center" wrapText="1"/>
    </xf>
    <xf numFmtId="166" fontId="41" fillId="0" borderId="32" xfId="5" applyNumberFormat="1" applyFont="1" applyFill="1" applyBorder="1" applyAlignment="1">
      <alignment horizontal="center" vertical="center" wrapText="1"/>
    </xf>
    <xf numFmtId="168" fontId="41" fillId="0" borderId="31" xfId="5" applyNumberFormat="1" applyFont="1" applyFill="1" applyBorder="1" applyAlignment="1">
      <alignment horizontal="center" vertical="center" wrapText="1"/>
    </xf>
    <xf numFmtId="168" fontId="8" fillId="0" borderId="9" xfId="3" applyNumberFormat="1" applyFont="1" applyFill="1" applyBorder="1"/>
    <xf numFmtId="175" fontId="54" fillId="0" borderId="43" xfId="26" applyNumberFormat="1" applyFont="1" applyFill="1" applyBorder="1" applyAlignment="1">
      <alignment horizontal="center"/>
    </xf>
    <xf numFmtId="0" fontId="35" fillId="0" borderId="0" xfId="7" applyFont="1" applyFill="1" applyAlignment="1">
      <alignment horizontal="center"/>
    </xf>
    <xf numFmtId="0" fontId="35" fillId="0" borderId="0" xfId="7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0" fontId="31" fillId="0" borderId="0" xfId="0" applyFont="1" applyFill="1" applyAlignment="1">
      <alignment horizontal="right" vertical="center"/>
    </xf>
    <xf numFmtId="0" fontId="8" fillId="0" borderId="0" xfId="9" applyFill="1" applyAlignment="1">
      <alignment horizontal="right" vertical="center"/>
    </xf>
    <xf numFmtId="0" fontId="7" fillId="0" borderId="0" xfId="7" applyFont="1" applyFill="1"/>
    <xf numFmtId="168" fontId="52" fillId="0" borderId="0" xfId="25" applyNumberFormat="1" applyFont="1" applyFill="1" applyAlignment="1"/>
    <xf numFmtId="0" fontId="31" fillId="0" borderId="0" xfId="0" applyFont="1" applyFill="1" applyAlignment="1">
      <alignment horizontal="center" vertical="center"/>
    </xf>
    <xf numFmtId="0" fontId="7" fillId="0" borderId="0" xfId="7" applyFill="1" applyAlignment="1"/>
    <xf numFmtId="168" fontId="52" fillId="0" borderId="2" xfId="25" applyNumberFormat="1" applyFont="1" applyFill="1" applyBorder="1" applyAlignment="1"/>
    <xf numFmtId="168" fontId="52" fillId="0" borderId="2" xfId="7" applyNumberFormat="1" applyFont="1" applyFill="1" applyBorder="1" applyAlignment="1"/>
    <xf numFmtId="168" fontId="52" fillId="0" borderId="1" xfId="25" applyNumberFormat="1" applyFont="1" applyFill="1" applyBorder="1" applyAlignment="1"/>
    <xf numFmtId="174" fontId="52" fillId="0" borderId="1" xfId="7" applyNumberFormat="1" applyFont="1" applyFill="1" applyBorder="1" applyAlignment="1"/>
    <xf numFmtId="174" fontId="52" fillId="0" borderId="1" xfId="25" applyNumberFormat="1" applyFont="1" applyFill="1" applyBorder="1" applyAlignment="1"/>
    <xf numFmtId="168" fontId="52" fillId="0" borderId="28" xfId="25" applyNumberFormat="1" applyFont="1" applyFill="1" applyBorder="1" applyAlignment="1"/>
    <xf numFmtId="168" fontId="52" fillId="0" borderId="26" xfId="25" applyNumberFormat="1" applyFont="1" applyFill="1" applyBorder="1" applyAlignment="1"/>
    <xf numFmtId="174" fontId="52" fillId="0" borderId="25" xfId="25" applyNumberFormat="1" applyFont="1" applyFill="1" applyBorder="1" applyAlignment="1"/>
    <xf numFmtId="168" fontId="52" fillId="0" borderId="1" xfId="7" applyNumberFormat="1" applyFont="1" applyFill="1" applyBorder="1" applyAlignment="1"/>
    <xf numFmtId="0" fontId="66" fillId="0" borderId="1" xfId="0" applyFont="1" applyFill="1" applyBorder="1" applyAlignment="1">
      <alignment horizontal="left" vertical="center" wrapText="1"/>
    </xf>
    <xf numFmtId="172" fontId="41" fillId="0" borderId="1" xfId="5" applyNumberFormat="1" applyFont="1" applyFill="1" applyBorder="1" applyAlignment="1">
      <alignment horizontal="left" vertical="center" wrapText="1" indent="2"/>
    </xf>
    <xf numFmtId="168" fontId="58" fillId="0" borderId="0" xfId="3" applyNumberFormat="1" applyFont="1" applyFill="1"/>
    <xf numFmtId="0" fontId="58" fillId="0" borderId="0" xfId="3" applyFont="1" applyFill="1" applyBorder="1"/>
    <xf numFmtId="168" fontId="58" fillId="0" borderId="0" xfId="3" applyNumberFormat="1" applyFont="1" applyFill="1" applyBorder="1"/>
    <xf numFmtId="49" fontId="14" fillId="0" borderId="7" xfId="3" applyNumberFormat="1" applyFont="1" applyFill="1" applyBorder="1" applyAlignment="1">
      <alignment horizontal="center" vertical="center" wrapText="1"/>
    </xf>
    <xf numFmtId="0" fontId="8" fillId="0" borderId="1" xfId="3" applyFont="1" applyFill="1" applyBorder="1" applyAlignment="1">
      <alignment horizontal="center"/>
    </xf>
    <xf numFmtId="166" fontId="12" fillId="0" borderId="20" xfId="25" applyNumberFormat="1" applyFont="1" applyFill="1" applyBorder="1" applyAlignment="1">
      <alignment horizontal="right"/>
    </xf>
    <xf numFmtId="0" fontId="8" fillId="0" borderId="4" xfId="3" applyFont="1" applyFill="1" applyBorder="1" applyAlignment="1">
      <alignment horizontal="left" vertical="center"/>
    </xf>
    <xf numFmtId="0" fontId="8" fillId="0" borderId="4" xfId="3" applyFont="1" applyFill="1" applyBorder="1" applyAlignment="1">
      <alignment horizontal="center"/>
    </xf>
    <xf numFmtId="0" fontId="8" fillId="0" borderId="4" xfId="3" applyFont="1" applyFill="1" applyBorder="1" applyAlignment="1">
      <alignment horizontal="center" vertical="center"/>
    </xf>
    <xf numFmtId="49" fontId="11" fillId="0" borderId="4" xfId="3" applyNumberFormat="1" applyFont="1" applyFill="1" applyBorder="1" applyAlignment="1" applyProtection="1">
      <alignment horizontal="center" vertical="center" wrapText="1"/>
    </xf>
    <xf numFmtId="166" fontId="10" fillId="0" borderId="4" xfId="25" applyNumberFormat="1" applyFont="1" applyFill="1" applyBorder="1" applyAlignment="1">
      <alignment horizontal="right" vertical="center" wrapText="1"/>
    </xf>
    <xf numFmtId="166" fontId="8" fillId="0" borderId="4" xfId="25" applyNumberFormat="1" applyFont="1" applyFill="1" applyBorder="1" applyAlignment="1">
      <alignment horizontal="right"/>
    </xf>
    <xf numFmtId="166" fontId="10" fillId="0" borderId="3" xfId="25" applyNumberFormat="1" applyFont="1" applyFill="1" applyBorder="1" applyAlignment="1">
      <alignment horizontal="right" vertical="center" wrapText="1"/>
    </xf>
    <xf numFmtId="49" fontId="14" fillId="0" borderId="7" xfId="3" applyNumberFormat="1" applyFont="1" applyFill="1" applyBorder="1" applyAlignment="1">
      <alignment horizontal="center" vertical="center" wrapText="1"/>
    </xf>
    <xf numFmtId="0" fontId="8" fillId="0" borderId="1" xfId="3" applyFont="1" applyFill="1" applyBorder="1" applyAlignment="1">
      <alignment horizontal="center"/>
    </xf>
    <xf numFmtId="168" fontId="12" fillId="0" borderId="20" xfId="1" applyNumberFormat="1" applyFont="1" applyFill="1" applyBorder="1" applyAlignment="1">
      <alignment horizontal="right"/>
    </xf>
    <xf numFmtId="166" fontId="10" fillId="0" borderId="4" xfId="1" applyNumberFormat="1" applyFont="1" applyFill="1" applyBorder="1" applyAlignment="1">
      <alignment horizontal="right" vertical="center" wrapText="1"/>
    </xf>
    <xf numFmtId="166" fontId="8" fillId="0" borderId="4" xfId="1" applyNumberFormat="1" applyFont="1" applyFill="1" applyBorder="1" applyAlignment="1">
      <alignment horizontal="right"/>
    </xf>
    <xf numFmtId="168" fontId="52" fillId="0" borderId="1" xfId="25" applyNumberFormat="1" applyFont="1" applyFill="1" applyBorder="1" applyAlignment="1"/>
    <xf numFmtId="43" fontId="52" fillId="0" borderId="45" xfId="26" applyFont="1" applyFill="1" applyBorder="1" applyAlignment="1">
      <alignment horizontal="center"/>
    </xf>
    <xf numFmtId="43" fontId="52" fillId="0" borderId="47" xfId="26" applyFont="1" applyFill="1" applyBorder="1" applyAlignment="1">
      <alignment horizontal="center"/>
    </xf>
    <xf numFmtId="168" fontId="52" fillId="0" borderId="1" xfId="7" applyNumberFormat="1" applyFont="1" applyFill="1" applyBorder="1" applyAlignment="1"/>
    <xf numFmtId="0" fontId="8" fillId="0" borderId="1" xfId="3" applyFont="1" applyFill="1" applyBorder="1" applyAlignment="1">
      <alignment horizontal="center"/>
    </xf>
    <xf numFmtId="167" fontId="8" fillId="0" borderId="0" xfId="3" applyNumberFormat="1" applyFont="1" applyFill="1" applyBorder="1"/>
    <xf numFmtId="171" fontId="18" fillId="0" borderId="0" xfId="3" applyNumberFormat="1" applyFont="1" applyFill="1" applyBorder="1"/>
    <xf numFmtId="0" fontId="11" fillId="6" borderId="1" xfId="3" applyFont="1" applyFill="1" applyBorder="1" applyAlignment="1">
      <alignment horizontal="center" vertical="center"/>
    </xf>
    <xf numFmtId="49" fontId="11" fillId="6" borderId="1" xfId="3" applyNumberFormat="1" applyFont="1" applyFill="1" applyBorder="1" applyAlignment="1">
      <alignment horizontal="center" vertical="center" wrapText="1"/>
    </xf>
    <xf numFmtId="49" fontId="10" fillId="6" borderId="1" xfId="3" applyNumberFormat="1" applyFont="1" applyFill="1" applyBorder="1" applyAlignment="1">
      <alignment horizontal="center" vertical="center" wrapText="1"/>
    </xf>
    <xf numFmtId="49" fontId="10" fillId="6" borderId="1" xfId="25" applyNumberFormat="1" applyFont="1" applyFill="1" applyBorder="1" applyAlignment="1">
      <alignment horizontal="right" vertical="center" wrapText="1"/>
    </xf>
    <xf numFmtId="166" fontId="10" fillId="6" borderId="1" xfId="25" applyNumberFormat="1" applyFont="1" applyFill="1" applyBorder="1" applyAlignment="1">
      <alignment horizontal="right" vertical="center" wrapText="1"/>
    </xf>
    <xf numFmtId="49" fontId="11" fillId="6" borderId="7" xfId="3" applyNumberFormat="1" applyFont="1" applyFill="1" applyBorder="1" applyAlignment="1">
      <alignment horizontal="right" vertical="center" wrapText="1"/>
    </xf>
    <xf numFmtId="168" fontId="14" fillId="6" borderId="1" xfId="3" applyNumberFormat="1" applyFont="1" applyFill="1" applyBorder="1" applyAlignment="1">
      <alignment horizontal="center" vertical="center" wrapText="1"/>
    </xf>
    <xf numFmtId="168" fontId="11" fillId="6" borderId="1" xfId="3" applyNumberFormat="1" applyFont="1" applyFill="1" applyBorder="1"/>
    <xf numFmtId="168" fontId="11" fillId="6" borderId="7" xfId="3" applyNumberFormat="1" applyFont="1" applyFill="1" applyBorder="1" applyAlignment="1">
      <alignment horizontal="right" vertical="center" wrapText="1"/>
    </xf>
    <xf numFmtId="0" fontId="24" fillId="0" borderId="0" xfId="27" applyFont="1" applyAlignment="1">
      <alignment horizontal="center" wrapText="1"/>
    </xf>
    <xf numFmtId="166" fontId="12" fillId="0" borderId="1" xfId="27" applyNumberFormat="1" applyFont="1" applyFill="1" applyBorder="1" applyAlignment="1">
      <alignment horizontal="center"/>
    </xf>
    <xf numFmtId="0" fontId="8" fillId="6" borderId="8" xfId="3" applyFont="1" applyFill="1" applyBorder="1"/>
    <xf numFmtId="0" fontId="11" fillId="6" borderId="1" xfId="0" applyFont="1" applyFill="1" applyBorder="1"/>
    <xf numFmtId="49" fontId="14" fillId="6" borderId="7" xfId="3" applyNumberFormat="1" applyFont="1" applyFill="1" applyBorder="1" applyAlignment="1">
      <alignment horizontal="center" vertical="center" wrapText="1"/>
    </xf>
    <xf numFmtId="0" fontId="10" fillId="6" borderId="1" xfId="3" applyFont="1" applyFill="1" applyBorder="1" applyAlignment="1">
      <alignment horizontal="left" vertical="center" wrapText="1"/>
    </xf>
    <xf numFmtId="0" fontId="17" fillId="6" borderId="7" xfId="3" applyFont="1" applyFill="1" applyBorder="1" applyAlignment="1">
      <alignment horizontal="left" vertical="center" wrapText="1"/>
    </xf>
    <xf numFmtId="0" fontId="69" fillId="0" borderId="1" xfId="4" applyFont="1" applyFill="1" applyBorder="1" applyAlignment="1">
      <alignment horizontal="left" vertical="center" wrapText="1"/>
    </xf>
    <xf numFmtId="0" fontId="50" fillId="0" borderId="1" xfId="0" applyFont="1" applyFill="1" applyBorder="1" applyAlignment="1">
      <alignment horizontal="left" vertical="center" wrapText="1"/>
    </xf>
    <xf numFmtId="49" fontId="15" fillId="0" borderId="1" xfId="0" applyNumberFormat="1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 wrapText="1"/>
    </xf>
    <xf numFmtId="49" fontId="70" fillId="0" borderId="1" xfId="0" applyNumberFormat="1" applyFont="1" applyFill="1" applyBorder="1" applyAlignment="1">
      <alignment horizontal="center" vertical="center" wrapText="1"/>
    </xf>
    <xf numFmtId="49" fontId="71" fillId="0" borderId="1" xfId="0" applyNumberFormat="1" applyFont="1" applyFill="1" applyBorder="1" applyAlignment="1">
      <alignment horizontal="center" vertical="center" wrapText="1"/>
    </xf>
    <xf numFmtId="49" fontId="23" fillId="0" borderId="1" xfId="0" applyNumberFormat="1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168" fontId="15" fillId="0" borderId="1" xfId="0" applyNumberFormat="1" applyFont="1" applyFill="1" applyBorder="1" applyAlignment="1">
      <alignment horizontal="right" vertical="center" wrapText="1"/>
    </xf>
    <xf numFmtId="168" fontId="10" fillId="0" borderId="1" xfId="0" applyNumberFormat="1" applyFont="1" applyFill="1" applyBorder="1" applyAlignment="1">
      <alignment horizontal="right" vertical="center" wrapText="1"/>
    </xf>
    <xf numFmtId="0" fontId="11" fillId="7" borderId="7" xfId="4" applyFont="1" applyFill="1" applyBorder="1" applyAlignment="1">
      <alignment horizontal="left" vertical="center" wrapText="1"/>
    </xf>
    <xf numFmtId="49" fontId="39" fillId="0" borderId="1" xfId="0" applyNumberFormat="1" applyFont="1" applyFill="1" applyBorder="1" applyAlignment="1">
      <alignment horizontal="center" vertical="center" wrapText="1"/>
    </xf>
    <xf numFmtId="168" fontId="10" fillId="0" borderId="64" xfId="0" applyNumberFormat="1" applyFont="1" applyFill="1" applyBorder="1" applyAlignment="1">
      <alignment horizontal="right" vertical="center" wrapText="1"/>
    </xf>
    <xf numFmtId="0" fontId="11" fillId="0" borderId="4" xfId="3" applyFont="1" applyFill="1" applyBorder="1" applyAlignment="1">
      <alignment horizontal="left" vertical="center"/>
    </xf>
    <xf numFmtId="0" fontId="8" fillId="0" borderId="64" xfId="3" applyFont="1" applyFill="1" applyBorder="1"/>
    <xf numFmtId="0" fontId="11" fillId="7" borderId="18" xfId="4" applyFont="1" applyFill="1" applyBorder="1" applyAlignment="1">
      <alignment horizontal="left" vertical="center" wrapText="1"/>
    </xf>
    <xf numFmtId="49" fontId="15" fillId="0" borderId="2" xfId="3" applyNumberFormat="1" applyFont="1" applyFill="1" applyBorder="1" applyAlignment="1">
      <alignment horizontal="center" vertical="center" wrapText="1"/>
    </xf>
    <xf numFmtId="167" fontId="15" fillId="0" borderId="20" xfId="25" applyNumberFormat="1" applyFont="1" applyFill="1" applyBorder="1" applyAlignment="1">
      <alignment horizontal="right" vertical="center" wrapText="1"/>
    </xf>
    <xf numFmtId="167" fontId="15" fillId="0" borderId="9" xfId="1" applyNumberFormat="1" applyFont="1" applyFill="1" applyBorder="1" applyAlignment="1">
      <alignment horizontal="right" vertical="center" wrapText="1"/>
    </xf>
    <xf numFmtId="0" fontId="11" fillId="0" borderId="13" xfId="3" applyFont="1" applyFill="1" applyBorder="1" applyAlignment="1"/>
    <xf numFmtId="0" fontId="50" fillId="0" borderId="1" xfId="3" applyFont="1" applyFill="1" applyBorder="1" applyAlignment="1">
      <alignment horizontal="center" vertical="top" wrapText="1"/>
    </xf>
    <xf numFmtId="170" fontId="50" fillId="0" borderId="1" xfId="33" applyFont="1" applyFill="1" applyBorder="1" applyAlignment="1">
      <alignment horizontal="center" vertical="center" wrapText="1"/>
    </xf>
    <xf numFmtId="0" fontId="12" fillId="0" borderId="13" xfId="3" applyFont="1" applyFill="1" applyBorder="1" applyAlignment="1">
      <alignment horizontal="left" wrapText="1"/>
    </xf>
    <xf numFmtId="166" fontId="11" fillId="0" borderId="1" xfId="3" applyNumberFormat="1" applyFont="1" applyFill="1" applyBorder="1" applyAlignment="1">
      <alignment horizontal="right" wrapText="1"/>
    </xf>
    <xf numFmtId="0" fontId="11" fillId="0" borderId="13" xfId="3" applyFont="1" applyBorder="1" applyAlignment="1">
      <alignment vertical="center" wrapText="1"/>
    </xf>
    <xf numFmtId="0" fontId="11" fillId="0" borderId="1" xfId="3" applyFont="1" applyBorder="1" applyAlignment="1">
      <alignment horizontal="center" vertical="center" wrapText="1"/>
    </xf>
    <xf numFmtId="0" fontId="11" fillId="0" borderId="13" xfId="3" applyFont="1" applyFill="1" applyBorder="1" applyAlignment="1">
      <alignment horizontal="center" vertical="center"/>
    </xf>
    <xf numFmtId="167" fontId="11" fillId="0" borderId="1" xfId="24" applyNumberFormat="1" applyFont="1" applyFill="1" applyBorder="1" applyAlignment="1">
      <alignment vertical="center"/>
    </xf>
    <xf numFmtId="167" fontId="12" fillId="0" borderId="1" xfId="24" applyNumberFormat="1" applyFont="1" applyFill="1" applyBorder="1" applyAlignment="1">
      <alignment horizontal="left" vertical="center"/>
    </xf>
    <xf numFmtId="0" fontId="11" fillId="0" borderId="13" xfId="9" applyFont="1" applyBorder="1" applyAlignment="1">
      <alignment horizontal="center" wrapText="1"/>
    </xf>
    <xf numFmtId="0" fontId="11" fillId="0" borderId="1" xfId="9" applyFont="1" applyBorder="1" applyAlignment="1">
      <alignment horizontal="center" wrapText="1"/>
    </xf>
    <xf numFmtId="0" fontId="11" fillId="0" borderId="13" xfId="3" applyFont="1" applyFill="1" applyBorder="1" applyAlignment="1">
      <alignment horizontal="center" vertical="top" wrapText="1"/>
    </xf>
    <xf numFmtId="166" fontId="11" fillId="0" borderId="1" xfId="9" applyNumberFormat="1" applyFont="1" applyBorder="1" applyAlignment="1">
      <alignment horizontal="right" wrapText="1"/>
    </xf>
    <xf numFmtId="166" fontId="11" fillId="0" borderId="0" xfId="24" applyNumberFormat="1" applyFont="1" applyAlignment="1">
      <alignment horizontal="right"/>
    </xf>
    <xf numFmtId="166" fontId="11" fillId="0" borderId="1" xfId="3" applyNumberFormat="1" applyFont="1" applyBorder="1"/>
    <xf numFmtId="0" fontId="11" fillId="0" borderId="1" xfId="3" applyFont="1" applyBorder="1"/>
    <xf numFmtId="167" fontId="27" fillId="0" borderId="1" xfId="24" applyNumberFormat="1" applyFont="1" applyFill="1" applyBorder="1" applyAlignment="1">
      <alignment horizontal="right"/>
    </xf>
    <xf numFmtId="0" fontId="35" fillId="0" borderId="0" xfId="7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166" fontId="10" fillId="8" borderId="7" xfId="25" applyNumberFormat="1" applyFont="1" applyFill="1" applyBorder="1" applyAlignment="1">
      <alignment horizontal="right" vertical="center" wrapText="1"/>
    </xf>
    <xf numFmtId="166" fontId="10" fillId="8" borderId="1" xfId="25" applyNumberFormat="1" applyFont="1" applyFill="1" applyBorder="1" applyAlignment="1">
      <alignment horizontal="right" vertical="center" wrapText="1"/>
    </xf>
    <xf numFmtId="0" fontId="11" fillId="0" borderId="0" xfId="7" applyFont="1" applyFill="1"/>
    <xf numFmtId="0" fontId="31" fillId="0" borderId="45" xfId="7" applyFont="1" applyFill="1" applyBorder="1"/>
    <xf numFmtId="0" fontId="31" fillId="0" borderId="46" xfId="7" applyFont="1" applyFill="1" applyBorder="1" applyAlignment="1">
      <alignment horizontal="center"/>
    </xf>
    <xf numFmtId="0" fontId="31" fillId="0" borderId="47" xfId="7" applyFont="1" applyFill="1" applyBorder="1"/>
    <xf numFmtId="0" fontId="31" fillId="0" borderId="46" xfId="7" applyFont="1" applyFill="1" applyBorder="1"/>
    <xf numFmtId="0" fontId="24" fillId="0" borderId="39" xfId="7" applyFont="1" applyFill="1" applyBorder="1"/>
    <xf numFmtId="0" fontId="24" fillId="0" borderId="27" xfId="7" applyFont="1" applyFill="1" applyBorder="1"/>
    <xf numFmtId="0" fontId="24" fillId="0" borderId="40" xfId="7" applyFont="1" applyFill="1" applyBorder="1"/>
    <xf numFmtId="0" fontId="24" fillId="0" borderId="42" xfId="7" applyFont="1" applyFill="1" applyBorder="1"/>
    <xf numFmtId="0" fontId="24" fillId="0" borderId="38" xfId="7" applyFont="1" applyFill="1" applyBorder="1"/>
    <xf numFmtId="0" fontId="24" fillId="0" borderId="43" xfId="7" applyFont="1" applyFill="1" applyBorder="1"/>
    <xf numFmtId="0" fontId="31" fillId="0" borderId="39" xfId="7" applyFont="1" applyFill="1" applyBorder="1"/>
    <xf numFmtId="0" fontId="31" fillId="0" borderId="27" xfId="7" applyFont="1" applyFill="1" applyBorder="1"/>
    <xf numFmtId="0" fontId="31" fillId="0" borderId="40" xfId="7" applyFont="1" applyFill="1" applyBorder="1"/>
    <xf numFmtId="0" fontId="31" fillId="0" borderId="42" xfId="7" applyFont="1" applyFill="1" applyBorder="1"/>
    <xf numFmtId="0" fontId="31" fillId="0" borderId="38" xfId="7" applyFont="1" applyFill="1" applyBorder="1"/>
    <xf numFmtId="0" fontId="31" fillId="0" borderId="43" xfId="7" applyFont="1" applyFill="1" applyBorder="1"/>
    <xf numFmtId="0" fontId="24" fillId="0" borderId="45" xfId="7" applyFont="1" applyFill="1" applyBorder="1" applyAlignment="1">
      <alignment horizontal="center" vertical="center"/>
    </xf>
    <xf numFmtId="0" fontId="24" fillId="0" borderId="46" xfId="7" applyFont="1" applyFill="1" applyBorder="1" applyAlignment="1">
      <alignment horizontal="center" vertical="center"/>
    </xf>
    <xf numFmtId="0" fontId="24" fillId="0" borderId="47" xfId="7" applyFont="1" applyFill="1" applyBorder="1" applyAlignment="1">
      <alignment horizontal="center" vertical="center"/>
    </xf>
    <xf numFmtId="175" fontId="24" fillId="0" borderId="38" xfId="26" applyNumberFormat="1" applyFont="1" applyFill="1" applyBorder="1" applyAlignment="1">
      <alignment horizontal="right" vertical="distributed"/>
    </xf>
    <xf numFmtId="175" fontId="24" fillId="0" borderId="43" xfId="26" applyNumberFormat="1" applyFont="1" applyFill="1" applyBorder="1" applyAlignment="1">
      <alignment horizontal="right" vertical="distributed"/>
    </xf>
    <xf numFmtId="0" fontId="24" fillId="0" borderId="45" xfId="7" applyFont="1" applyFill="1" applyBorder="1"/>
    <xf numFmtId="0" fontId="24" fillId="0" borderId="46" xfId="7" applyFont="1" applyFill="1" applyBorder="1"/>
    <xf numFmtId="0" fontId="24" fillId="0" borderId="47" xfId="7" applyFont="1" applyFill="1" applyBorder="1"/>
    <xf numFmtId="0" fontId="31" fillId="0" borderId="48" xfId="7" applyFont="1" applyFill="1" applyBorder="1"/>
    <xf numFmtId="0" fontId="31" fillId="0" borderId="0" xfId="7" applyFont="1" applyFill="1" applyBorder="1"/>
    <xf numFmtId="0" fontId="31" fillId="0" borderId="11" xfId="7" applyFont="1" applyFill="1" applyBorder="1"/>
    <xf numFmtId="0" fontId="24" fillId="0" borderId="48" xfId="7" applyFont="1" applyFill="1" applyBorder="1"/>
    <xf numFmtId="0" fontId="24" fillId="0" borderId="0" xfId="7" applyFont="1" applyFill="1" applyBorder="1"/>
    <xf numFmtId="0" fontId="24" fillId="0" borderId="11" xfId="7" applyFont="1" applyFill="1" applyBorder="1"/>
    <xf numFmtId="0" fontId="11" fillId="0" borderId="0" xfId="7" applyFont="1" applyFill="1" applyBorder="1"/>
    <xf numFmtId="0" fontId="31" fillId="0" borderId="49" xfId="7" applyFont="1" applyFill="1" applyBorder="1"/>
    <xf numFmtId="0" fontId="31" fillId="0" borderId="10" xfId="7" applyFont="1" applyFill="1" applyBorder="1"/>
    <xf numFmtId="0" fontId="31" fillId="0" borderId="17" xfId="7" applyFont="1" applyFill="1" applyBorder="1"/>
    <xf numFmtId="0" fontId="31" fillId="0" borderId="53" xfId="7" applyFont="1" applyFill="1" applyBorder="1"/>
    <xf numFmtId="0" fontId="24" fillId="0" borderId="54" xfId="7" applyFont="1" applyFill="1" applyBorder="1"/>
    <xf numFmtId="0" fontId="24" fillId="0" borderId="55" xfId="7" applyFont="1" applyFill="1" applyBorder="1"/>
    <xf numFmtId="0" fontId="24" fillId="0" borderId="49" xfId="7" applyFont="1" applyFill="1" applyBorder="1"/>
    <xf numFmtId="0" fontId="24" fillId="0" borderId="10" xfId="7" applyFont="1" applyFill="1" applyBorder="1"/>
    <xf numFmtId="0" fontId="24" fillId="0" borderId="17" xfId="7" applyFont="1" applyFill="1" applyBorder="1"/>
    <xf numFmtId="168" fontId="31" fillId="0" borderId="0" xfId="24" applyNumberFormat="1" applyFont="1" applyFill="1" applyAlignment="1"/>
    <xf numFmtId="168" fontId="31" fillId="0" borderId="0" xfId="7" applyNumberFormat="1" applyFont="1" applyFill="1" applyAlignment="1"/>
    <xf numFmtId="0" fontId="74" fillId="0" borderId="0" xfId="7" applyFont="1" applyFill="1"/>
    <xf numFmtId="168" fontId="31" fillId="0" borderId="1" xfId="24" applyNumberFormat="1" applyFont="1" applyFill="1" applyBorder="1" applyAlignment="1">
      <alignment horizontal="right" vertical="distributed"/>
    </xf>
    <xf numFmtId="168" fontId="31" fillId="0" borderId="1" xfId="7" applyNumberFormat="1" applyFont="1" applyFill="1" applyBorder="1" applyAlignment="1">
      <alignment horizontal="right" vertical="distributed"/>
    </xf>
    <xf numFmtId="168" fontId="24" fillId="0" borderId="38" xfId="26" applyNumberFormat="1" applyFont="1" applyFill="1" applyBorder="1" applyAlignment="1">
      <alignment horizontal="right" vertical="distributed"/>
    </xf>
    <xf numFmtId="168" fontId="24" fillId="0" borderId="43" xfId="26" applyNumberFormat="1" applyFont="1" applyFill="1" applyBorder="1" applyAlignment="1">
      <alignment horizontal="right" vertical="distributed"/>
    </xf>
    <xf numFmtId="168" fontId="31" fillId="0" borderId="0" xfId="24" applyNumberFormat="1" applyFont="1" applyFill="1" applyAlignment="1">
      <alignment horizontal="right" vertical="distributed"/>
    </xf>
    <xf numFmtId="168" fontId="31" fillId="0" borderId="0" xfId="7" applyNumberFormat="1" applyFont="1" applyFill="1" applyAlignment="1">
      <alignment horizontal="right" vertical="distributed"/>
    </xf>
    <xf numFmtId="168" fontId="31" fillId="0" borderId="28" xfId="24" applyNumberFormat="1" applyFont="1" applyFill="1" applyBorder="1" applyAlignment="1">
      <alignment horizontal="right" vertical="distributed"/>
    </xf>
    <xf numFmtId="168" fontId="31" fillId="0" borderId="26" xfId="24" applyNumberFormat="1" applyFont="1" applyFill="1" applyBorder="1" applyAlignment="1">
      <alignment horizontal="right" vertical="distributed"/>
    </xf>
    <xf numFmtId="168" fontId="31" fillId="0" borderId="25" xfId="24" applyNumberFormat="1" applyFont="1" applyFill="1" applyBorder="1" applyAlignment="1">
      <alignment horizontal="right" vertical="distributed"/>
    </xf>
    <xf numFmtId="168" fontId="24" fillId="0" borderId="45" xfId="26" applyNumberFormat="1" applyFont="1" applyFill="1" applyBorder="1" applyAlignment="1">
      <alignment horizontal="right" vertical="distributed"/>
    </xf>
    <xf numFmtId="168" fontId="31" fillId="0" borderId="47" xfId="7" applyNumberFormat="1" applyFont="1" applyFill="1" applyBorder="1" applyAlignment="1">
      <alignment horizontal="right" vertical="distributed"/>
    </xf>
    <xf numFmtId="0" fontId="47" fillId="0" borderId="0" xfId="3" applyFont="1" applyFill="1" applyBorder="1"/>
    <xf numFmtId="0" fontId="73" fillId="0" borderId="0" xfId="3" applyFont="1" applyFill="1" applyBorder="1"/>
    <xf numFmtId="0" fontId="20" fillId="0" borderId="0" xfId="3" applyFont="1" applyFill="1" applyBorder="1"/>
    <xf numFmtId="0" fontId="72" fillId="0" borderId="0" xfId="3" applyFont="1" applyFill="1" applyBorder="1"/>
    <xf numFmtId="0" fontId="56" fillId="0" borderId="0" xfId="3" applyFont="1" applyFill="1" applyAlignment="1">
      <alignment horizontal="center" vertical="center"/>
    </xf>
    <xf numFmtId="0" fontId="47" fillId="0" borderId="0" xfId="3" applyFont="1" applyFill="1"/>
    <xf numFmtId="166" fontId="47" fillId="0" borderId="0" xfId="3" applyNumberFormat="1" applyFont="1" applyFill="1"/>
    <xf numFmtId="172" fontId="39" fillId="0" borderId="1" xfId="5" applyNumberFormat="1" applyFont="1" applyFill="1" applyBorder="1" applyAlignment="1">
      <alignment horizontal="left" vertical="top" wrapText="1" indent="2"/>
    </xf>
    <xf numFmtId="49" fontId="39" fillId="0" borderId="1" xfId="5" applyNumberFormat="1" applyFont="1" applyFill="1" applyBorder="1" applyAlignment="1">
      <alignment horizontal="center" vertical="top" wrapText="1"/>
    </xf>
    <xf numFmtId="49" fontId="39" fillId="0" borderId="1" xfId="14" applyNumberFormat="1" applyFont="1" applyFill="1" applyBorder="1" applyAlignment="1">
      <alignment horizontal="center" vertical="top" wrapText="1"/>
    </xf>
    <xf numFmtId="176" fontId="31" fillId="0" borderId="47" xfId="26" applyNumberFormat="1" applyFont="1" applyFill="1" applyBorder="1" applyAlignment="1">
      <alignment horizontal="center" vertical="distributed"/>
    </xf>
    <xf numFmtId="176" fontId="31" fillId="0" borderId="47" xfId="26" applyNumberFormat="1" applyFont="1" applyFill="1" applyBorder="1" applyAlignment="1">
      <alignment horizontal="right" vertical="distributed"/>
    </xf>
    <xf numFmtId="168" fontId="31" fillId="0" borderId="47" xfId="7" applyNumberFormat="1" applyFont="1" applyFill="1" applyBorder="1" applyAlignment="1">
      <alignment horizontal="right" vertical="distributed"/>
    </xf>
    <xf numFmtId="174" fontId="31" fillId="0" borderId="47" xfId="7" applyNumberFormat="1" applyFont="1" applyFill="1" applyBorder="1" applyAlignment="1">
      <alignment horizontal="right" vertical="distributed"/>
    </xf>
    <xf numFmtId="43" fontId="31" fillId="0" borderId="47" xfId="26" applyFont="1" applyFill="1" applyBorder="1" applyAlignment="1">
      <alignment horizontal="right" vertical="distributed"/>
    </xf>
    <xf numFmtId="176" fontId="31" fillId="0" borderId="55" xfId="26" applyNumberFormat="1" applyFont="1" applyFill="1" applyBorder="1" applyAlignment="1">
      <alignment horizontal="distributed" vertical="distributed"/>
    </xf>
    <xf numFmtId="175" fontId="24" fillId="0" borderId="43" xfId="26" applyNumberFormat="1" applyFont="1" applyFill="1" applyBorder="1" applyAlignment="1">
      <alignment horizontal="right" vertical="distributed"/>
    </xf>
    <xf numFmtId="0" fontId="31" fillId="0" borderId="47" xfId="7" applyFont="1" applyFill="1" applyBorder="1" applyAlignment="1">
      <alignment horizontal="center"/>
    </xf>
    <xf numFmtId="175" fontId="31" fillId="0" borderId="47" xfId="26" applyNumberFormat="1" applyFont="1" applyFill="1" applyBorder="1" applyAlignment="1">
      <alignment horizontal="right" vertical="distributed"/>
    </xf>
    <xf numFmtId="166" fontId="8" fillId="0" borderId="0" xfId="34" applyNumberFormat="1" applyFont="1" applyFill="1" applyAlignment="1">
      <alignment horizontal="right"/>
    </xf>
    <xf numFmtId="167" fontId="32" fillId="0" borderId="0" xfId="34" applyNumberFormat="1" applyFont="1" applyFill="1" applyAlignment="1">
      <alignment horizontal="right"/>
    </xf>
    <xf numFmtId="166" fontId="34" fillId="0" borderId="0" xfId="34" applyNumberFormat="1" applyFont="1" applyFill="1" applyAlignment="1">
      <alignment horizontal="right"/>
    </xf>
    <xf numFmtId="167" fontId="32" fillId="0" borderId="0" xfId="34" applyNumberFormat="1" applyFont="1" applyFill="1" applyAlignment="1">
      <alignment horizontal="left"/>
    </xf>
    <xf numFmtId="167" fontId="32" fillId="0" borderId="0" xfId="34" applyNumberFormat="1" applyFont="1" applyFill="1" applyAlignment="1">
      <alignment horizontal="center" vertical="center"/>
    </xf>
    <xf numFmtId="168" fontId="32" fillId="0" borderId="0" xfId="34" applyNumberFormat="1" applyFont="1" applyFill="1" applyAlignment="1">
      <alignment horizontal="right"/>
    </xf>
    <xf numFmtId="167" fontId="32" fillId="0" borderId="0" xfId="34" applyNumberFormat="1" applyFont="1" applyFill="1"/>
    <xf numFmtId="166" fontId="31" fillId="0" borderId="0" xfId="34" applyNumberFormat="1" applyFont="1" applyFill="1" applyAlignment="1">
      <alignment horizontal="right"/>
    </xf>
    <xf numFmtId="166" fontId="15" fillId="0" borderId="1" xfId="34" applyNumberFormat="1" applyFont="1" applyFill="1" applyBorder="1" applyAlignment="1">
      <alignment horizontal="center" vertical="center"/>
    </xf>
    <xf numFmtId="167" fontId="21" fillId="0" borderId="1" xfId="34" applyNumberFormat="1" applyFont="1" applyFill="1" applyBorder="1" applyAlignment="1">
      <alignment horizontal="right" vertical="center" wrapText="1"/>
    </xf>
    <xf numFmtId="166" fontId="21" fillId="0" borderId="1" xfId="34" applyNumberFormat="1" applyFont="1" applyFill="1" applyBorder="1" applyAlignment="1">
      <alignment horizontal="right" vertical="center" wrapText="1"/>
    </xf>
    <xf numFmtId="167" fontId="27" fillId="0" borderId="1" xfId="34" applyNumberFormat="1" applyFont="1" applyFill="1" applyBorder="1" applyAlignment="1">
      <alignment horizontal="right" vertical="center" wrapText="1"/>
    </xf>
    <xf numFmtId="166" fontId="27" fillId="0" borderId="1" xfId="34" applyNumberFormat="1" applyFont="1" applyFill="1" applyBorder="1" applyAlignment="1">
      <alignment horizontal="right" vertical="center" wrapText="1"/>
    </xf>
    <xf numFmtId="166" fontId="12" fillId="0" borderId="1" xfId="34" applyNumberFormat="1" applyFont="1" applyFill="1" applyBorder="1" applyAlignment="1">
      <alignment horizontal="right" vertical="center" wrapText="1"/>
    </xf>
    <xf numFmtId="167" fontId="12" fillId="0" borderId="1" xfId="34" applyNumberFormat="1" applyFont="1" applyFill="1" applyBorder="1" applyAlignment="1">
      <alignment horizontal="right" vertical="center" wrapText="1"/>
    </xf>
    <xf numFmtId="167" fontId="11" fillId="0" borderId="1" xfId="34" applyNumberFormat="1" applyFont="1" applyFill="1" applyBorder="1" applyAlignment="1">
      <alignment horizontal="right" vertical="center" wrapText="1"/>
    </xf>
    <xf numFmtId="167" fontId="10" fillId="0" borderId="1" xfId="34" applyNumberFormat="1" applyFont="1" applyFill="1" applyBorder="1" applyAlignment="1">
      <alignment horizontal="right" vertical="center" wrapText="1"/>
    </xf>
    <xf numFmtId="166" fontId="11" fillId="0" borderId="1" xfId="34" applyNumberFormat="1" applyFont="1" applyFill="1" applyBorder="1" applyAlignment="1">
      <alignment horizontal="right" vertical="center" wrapText="1"/>
    </xf>
    <xf numFmtId="166" fontId="10" fillId="0" borderId="1" xfId="34" applyNumberFormat="1" applyFont="1" applyFill="1" applyBorder="1" applyAlignment="1">
      <alignment horizontal="right" vertical="center" wrapText="1"/>
    </xf>
    <xf numFmtId="167" fontId="15" fillId="0" borderId="1" xfId="34" applyNumberFormat="1" applyFont="1" applyFill="1" applyBorder="1" applyAlignment="1">
      <alignment horizontal="right" vertical="center" wrapText="1"/>
    </xf>
    <xf numFmtId="166" fontId="15" fillId="0" borderId="1" xfId="34" applyNumberFormat="1" applyFont="1" applyFill="1" applyBorder="1" applyAlignment="1">
      <alignment horizontal="right" vertical="center" wrapText="1"/>
    </xf>
    <xf numFmtId="165" fontId="10" fillId="0" borderId="1" xfId="34" applyFont="1" applyFill="1" applyBorder="1" applyAlignment="1">
      <alignment horizontal="right" vertical="center" wrapText="1"/>
    </xf>
    <xf numFmtId="166" fontId="26" fillId="0" borderId="1" xfId="34" applyNumberFormat="1" applyFont="1" applyFill="1" applyBorder="1" applyAlignment="1">
      <alignment horizontal="right" vertical="center" wrapText="1"/>
    </xf>
    <xf numFmtId="167" fontId="26" fillId="0" borderId="1" xfId="34" applyNumberFormat="1" applyFont="1" applyFill="1" applyBorder="1" applyAlignment="1">
      <alignment horizontal="right" vertical="center" wrapText="1"/>
    </xf>
    <xf numFmtId="166" fontId="10" fillId="0" borderId="7" xfId="34" applyNumberFormat="1" applyFont="1" applyFill="1" applyBorder="1" applyAlignment="1">
      <alignment horizontal="right" vertical="center" wrapText="1"/>
    </xf>
    <xf numFmtId="167" fontId="29" fillId="0" borderId="1" xfId="34" applyNumberFormat="1" applyFont="1" applyFill="1" applyBorder="1" applyAlignment="1">
      <alignment horizontal="right" vertical="center" wrapText="1"/>
    </xf>
    <xf numFmtId="166" fontId="29" fillId="0" borderId="1" xfId="34" applyNumberFormat="1" applyFont="1" applyFill="1" applyBorder="1" applyAlignment="1">
      <alignment horizontal="right" vertical="center" wrapText="1"/>
    </xf>
    <xf numFmtId="168" fontId="15" fillId="0" borderId="1" xfId="34" applyNumberFormat="1" applyFont="1" applyFill="1" applyBorder="1" applyAlignment="1">
      <alignment horizontal="right" vertical="center" wrapText="1"/>
    </xf>
    <xf numFmtId="165" fontId="26" fillId="0" borderId="1" xfId="34" applyFont="1" applyFill="1" applyBorder="1" applyAlignment="1">
      <alignment horizontal="right" vertical="center" wrapText="1"/>
    </xf>
    <xf numFmtId="167" fontId="10" fillId="0" borderId="15" xfId="34" applyNumberFormat="1" applyFont="1" applyFill="1" applyBorder="1" applyAlignment="1">
      <alignment horizontal="right" vertical="center" wrapText="1"/>
    </xf>
    <xf numFmtId="165" fontId="15" fillId="0" borderId="1" xfId="34" applyFont="1" applyFill="1" applyBorder="1" applyAlignment="1">
      <alignment horizontal="right" vertical="center" wrapText="1"/>
    </xf>
    <xf numFmtId="167" fontId="15" fillId="0" borderId="1" xfId="34" applyNumberFormat="1" applyFont="1" applyFill="1" applyBorder="1" applyAlignment="1">
      <alignment vertical="center" wrapText="1"/>
    </xf>
    <xf numFmtId="166" fontId="10" fillId="0" borderId="1" xfId="34" applyNumberFormat="1" applyFont="1" applyFill="1" applyBorder="1" applyAlignment="1">
      <alignment vertical="center" wrapText="1"/>
    </xf>
    <xf numFmtId="165" fontId="11" fillId="0" borderId="1" xfId="34" applyFont="1" applyFill="1" applyBorder="1" applyAlignment="1">
      <alignment horizontal="right" vertical="center" wrapText="1"/>
    </xf>
    <xf numFmtId="167" fontId="10" fillId="0" borderId="7" xfId="34" applyNumberFormat="1" applyFont="1" applyFill="1" applyBorder="1" applyAlignment="1">
      <alignment vertical="center" wrapText="1"/>
    </xf>
    <xf numFmtId="166" fontId="15" fillId="0" borderId="26" xfId="34" applyNumberFormat="1" applyFont="1" applyFill="1" applyBorder="1" applyAlignment="1">
      <alignment horizontal="center" vertical="center"/>
    </xf>
    <xf numFmtId="166" fontId="8" fillId="0" borderId="27" xfId="34" applyNumberFormat="1" applyFont="1" applyFill="1" applyBorder="1" applyAlignment="1">
      <alignment horizontal="right"/>
    </xf>
    <xf numFmtId="168" fontId="15" fillId="0" borderId="7" xfId="34" applyNumberFormat="1" applyFont="1" applyFill="1" applyBorder="1" applyAlignment="1">
      <alignment horizontal="right" vertical="center"/>
    </xf>
    <xf numFmtId="166" fontId="8" fillId="0" borderId="0" xfId="34" applyNumberFormat="1" applyFont="1" applyFill="1" applyBorder="1" applyAlignment="1">
      <alignment horizontal="right"/>
    </xf>
    <xf numFmtId="167" fontId="15" fillId="0" borderId="7" xfId="34" applyNumberFormat="1" applyFont="1" applyFill="1" applyBorder="1" applyAlignment="1">
      <alignment horizontal="center" vertical="center"/>
    </xf>
    <xf numFmtId="167" fontId="15" fillId="0" borderId="7" xfId="34" applyNumberFormat="1" applyFont="1" applyFill="1" applyBorder="1" applyAlignment="1">
      <alignment vertical="center" wrapText="1"/>
    </xf>
    <xf numFmtId="170" fontId="8" fillId="0" borderId="0" xfId="36" applyFont="1" applyFill="1" applyBorder="1"/>
    <xf numFmtId="167" fontId="10" fillId="0" borderId="7" xfId="34" applyNumberFormat="1" applyFont="1" applyFill="1" applyBorder="1" applyAlignment="1">
      <alignment horizontal="right" vertical="center" wrapText="1"/>
    </xf>
    <xf numFmtId="167" fontId="12" fillId="0" borderId="7" xfId="34" applyNumberFormat="1" applyFont="1" applyFill="1" applyBorder="1" applyAlignment="1">
      <alignment horizontal="right" vertical="center" wrapText="1"/>
    </xf>
    <xf numFmtId="0" fontId="24" fillId="0" borderId="0" xfId="35" applyFont="1" applyFill="1" applyBorder="1" applyAlignment="1"/>
    <xf numFmtId="166" fontId="10" fillId="0" borderId="9" xfId="34" applyNumberFormat="1" applyFont="1" applyFill="1" applyBorder="1" applyAlignment="1">
      <alignment horizontal="right" vertical="center" wrapText="1"/>
    </xf>
    <xf numFmtId="166" fontId="15" fillId="0" borderId="7" xfId="34" applyNumberFormat="1" applyFont="1" applyFill="1" applyBorder="1" applyAlignment="1">
      <alignment horizontal="right" vertical="center" wrapText="1"/>
    </xf>
    <xf numFmtId="0" fontId="19" fillId="0" borderId="1" xfId="37" applyFont="1" applyFill="1" applyBorder="1" applyAlignment="1">
      <alignment horizontal="left" vertical="center" wrapText="1"/>
    </xf>
    <xf numFmtId="0" fontId="19" fillId="0" borderId="7" xfId="37" applyFont="1" applyFill="1" applyBorder="1" applyAlignment="1">
      <alignment horizontal="left" vertical="center" wrapText="1"/>
    </xf>
    <xf numFmtId="0" fontId="11" fillId="0" borderId="1" xfId="37" applyFont="1" applyFill="1" applyBorder="1" applyAlignment="1">
      <alignment horizontal="left" vertical="top" wrapText="1"/>
    </xf>
    <xf numFmtId="166" fontId="12" fillId="0" borderId="7" xfId="34" applyNumberFormat="1" applyFont="1" applyFill="1" applyBorder="1" applyAlignment="1">
      <alignment horizontal="right" vertical="center" wrapText="1"/>
    </xf>
    <xf numFmtId="166" fontId="11" fillId="0" borderId="7" xfId="34" applyNumberFormat="1" applyFont="1" applyFill="1" applyBorder="1" applyAlignment="1">
      <alignment horizontal="right" vertical="center" wrapText="1"/>
    </xf>
    <xf numFmtId="167" fontId="11" fillId="0" borderId="7" xfId="34" applyNumberFormat="1" applyFont="1" applyFill="1" applyBorder="1" applyAlignment="1">
      <alignment horizontal="right" vertical="center" wrapText="1"/>
    </xf>
    <xf numFmtId="0" fontId="11" fillId="0" borderId="7" xfId="37" applyFont="1" applyFill="1" applyBorder="1" applyAlignment="1">
      <alignment horizontal="left" vertical="center" wrapText="1"/>
    </xf>
    <xf numFmtId="0" fontId="19" fillId="0" borderId="8" xfId="37" applyFont="1" applyFill="1" applyBorder="1" applyAlignment="1">
      <alignment horizontal="left" vertical="center" wrapText="1"/>
    </xf>
    <xf numFmtId="167" fontId="11" fillId="0" borderId="1" xfId="37" applyNumberFormat="1" applyFont="1" applyFill="1" applyBorder="1" applyAlignment="1">
      <alignment horizontal="left" vertical="center" wrapText="1"/>
    </xf>
    <xf numFmtId="167" fontId="11" fillId="0" borderId="7" xfId="37" applyNumberFormat="1" applyFont="1" applyFill="1" applyBorder="1" applyAlignment="1">
      <alignment horizontal="left" vertical="center" wrapText="1"/>
    </xf>
    <xf numFmtId="0" fontId="19" fillId="0" borderId="0" xfId="37" applyFont="1" applyFill="1" applyBorder="1" applyAlignment="1">
      <alignment horizontal="left" vertical="center" wrapText="1"/>
    </xf>
    <xf numFmtId="167" fontId="10" fillId="0" borderId="2" xfId="34" applyNumberFormat="1" applyFont="1" applyFill="1" applyBorder="1" applyAlignment="1">
      <alignment horizontal="right" vertical="center" wrapText="1"/>
    </xf>
    <xf numFmtId="165" fontId="15" fillId="0" borderId="2" xfId="34" applyFont="1" applyFill="1" applyBorder="1" applyAlignment="1">
      <alignment horizontal="right" vertical="center" wrapText="1"/>
    </xf>
    <xf numFmtId="167" fontId="10" fillId="0" borderId="18" xfId="34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vertical="top" wrapText="1"/>
    </xf>
    <xf numFmtId="167" fontId="15" fillId="0" borderId="7" xfId="34" applyNumberFormat="1" applyFont="1" applyFill="1" applyBorder="1" applyAlignment="1">
      <alignment horizontal="right" vertical="center" wrapText="1"/>
    </xf>
    <xf numFmtId="0" fontId="11" fillId="0" borderId="7" xfId="37" applyFont="1" applyFill="1" applyBorder="1" applyAlignment="1">
      <alignment vertical="top" wrapText="1"/>
    </xf>
    <xf numFmtId="0" fontId="69" fillId="0" borderId="1" xfId="37" applyFont="1" applyFill="1" applyBorder="1" applyAlignment="1">
      <alignment horizontal="left" vertical="center" wrapText="1"/>
    </xf>
    <xf numFmtId="0" fontId="11" fillId="0" borderId="1" xfId="37" applyFont="1" applyFill="1" applyBorder="1" applyAlignment="1">
      <alignment horizontal="left" vertical="center" wrapText="1"/>
    </xf>
    <xf numFmtId="168" fontId="15" fillId="0" borderId="1" xfId="34" applyNumberFormat="1" applyFont="1" applyFill="1" applyBorder="1" applyAlignment="1" applyProtection="1">
      <alignment horizontal="right" vertical="center" wrapText="1"/>
      <protection locked="0"/>
    </xf>
    <xf numFmtId="168" fontId="15" fillId="0" borderId="7" xfId="34" applyNumberFormat="1" applyFont="1" applyFill="1" applyBorder="1" applyAlignment="1" applyProtection="1">
      <alignment horizontal="right" vertical="center" wrapText="1"/>
      <protection locked="0"/>
    </xf>
    <xf numFmtId="168" fontId="12" fillId="0" borderId="1" xfId="34" applyNumberFormat="1" applyFont="1" applyFill="1" applyBorder="1" applyAlignment="1">
      <alignment horizontal="right" vertical="center" wrapText="1"/>
    </xf>
    <xf numFmtId="168" fontId="12" fillId="0" borderId="7" xfId="34" applyNumberFormat="1" applyFont="1" applyFill="1" applyBorder="1" applyAlignment="1">
      <alignment horizontal="right" vertical="center" wrapText="1"/>
    </xf>
    <xf numFmtId="168" fontId="11" fillId="0" borderId="1" xfId="34" applyNumberFormat="1" applyFont="1" applyFill="1" applyBorder="1" applyAlignment="1">
      <alignment horizontal="right" vertical="center" wrapText="1"/>
    </xf>
    <xf numFmtId="168" fontId="11" fillId="0" borderId="7" xfId="34" applyNumberFormat="1" applyFont="1" applyFill="1" applyBorder="1" applyAlignment="1">
      <alignment horizontal="right" vertical="center" wrapText="1"/>
    </xf>
    <xf numFmtId="172" fontId="50" fillId="0" borderId="1" xfId="11" applyNumberFormat="1" applyFont="1" applyFill="1" applyBorder="1" applyAlignment="1" applyProtection="1">
      <alignment horizontal="left" vertical="center" wrapText="1"/>
    </xf>
    <xf numFmtId="167" fontId="11" fillId="0" borderId="1" xfId="34" applyNumberFormat="1" applyFont="1" applyFill="1" applyBorder="1" applyAlignment="1">
      <alignment vertical="center"/>
    </xf>
    <xf numFmtId="0" fontId="11" fillId="0" borderId="1" xfId="37" applyNumberFormat="1" applyFont="1" applyFill="1" applyBorder="1" applyAlignment="1" applyProtection="1">
      <alignment horizontal="left" vertical="center" wrapText="1"/>
    </xf>
    <xf numFmtId="169" fontId="11" fillId="0" borderId="1" xfId="37" applyNumberFormat="1" applyFont="1" applyFill="1" applyBorder="1" applyAlignment="1" applyProtection="1">
      <alignment horizontal="left" vertical="center" wrapText="1"/>
    </xf>
    <xf numFmtId="166" fontId="11" fillId="0" borderId="1" xfId="34" applyNumberFormat="1" applyFont="1" applyFill="1" applyBorder="1" applyAlignment="1">
      <alignment horizontal="left" vertical="center" wrapText="1"/>
    </xf>
    <xf numFmtId="166" fontId="10" fillId="0" borderId="0" xfId="34" applyNumberFormat="1" applyFont="1" applyFill="1" applyBorder="1" applyAlignment="1">
      <alignment horizontal="right" vertical="center" wrapText="1"/>
    </xf>
    <xf numFmtId="168" fontId="15" fillId="0" borderId="7" xfId="34" applyNumberFormat="1" applyFont="1" applyFill="1" applyBorder="1" applyAlignment="1">
      <alignment horizontal="right" vertical="center" wrapText="1"/>
    </xf>
    <xf numFmtId="167" fontId="10" fillId="0" borderId="0" xfId="34" applyNumberFormat="1" applyFont="1" applyFill="1" applyBorder="1" applyAlignment="1">
      <alignment horizontal="right" vertical="center" wrapText="1"/>
    </xf>
    <xf numFmtId="166" fontId="10" fillId="0" borderId="14" xfId="34" applyNumberFormat="1" applyFont="1" applyFill="1" applyBorder="1" applyAlignment="1">
      <alignment horizontal="right" vertical="center" wrapText="1"/>
    </xf>
    <xf numFmtId="49" fontId="10" fillId="0" borderId="1" xfId="34" applyNumberFormat="1" applyFont="1" applyFill="1" applyBorder="1" applyAlignment="1">
      <alignment horizontal="right" vertical="center" wrapText="1"/>
    </xf>
    <xf numFmtId="0" fontId="8" fillId="0" borderId="15" xfId="3" applyFont="1" applyFill="1" applyBorder="1" applyAlignment="1">
      <alignment horizontal="left" vertical="center" wrapText="1"/>
    </xf>
    <xf numFmtId="166" fontId="10" fillId="0" borderId="10" xfId="34" applyNumberFormat="1" applyFont="1" applyFill="1" applyBorder="1" applyAlignment="1">
      <alignment horizontal="right" vertical="center" wrapText="1"/>
    </xf>
    <xf numFmtId="166" fontId="10" fillId="0" borderId="18" xfId="34" applyNumberFormat="1" applyFont="1" applyFill="1" applyBorder="1" applyAlignment="1">
      <alignment horizontal="right" vertical="center" wrapText="1"/>
    </xf>
    <xf numFmtId="172" fontId="8" fillId="0" borderId="4" xfId="5" applyNumberFormat="1" applyFont="1" applyFill="1" applyBorder="1" applyAlignment="1">
      <alignment horizontal="left" vertical="center" wrapText="1" indent="2"/>
    </xf>
    <xf numFmtId="49" fontId="10" fillId="0" borderId="1" xfId="34" applyNumberFormat="1" applyFont="1" applyFill="1" applyBorder="1" applyAlignment="1">
      <alignment vertical="center" wrapText="1"/>
    </xf>
    <xf numFmtId="167" fontId="10" fillId="0" borderId="1" xfId="34" applyNumberFormat="1" applyFont="1" applyFill="1" applyBorder="1" applyAlignment="1">
      <alignment vertical="center" wrapText="1"/>
    </xf>
    <xf numFmtId="49" fontId="10" fillId="0" borderId="18" xfId="34" applyNumberFormat="1" applyFont="1" applyFill="1" applyBorder="1" applyAlignment="1">
      <alignment vertical="center" wrapText="1"/>
    </xf>
    <xf numFmtId="167" fontId="10" fillId="0" borderId="18" xfId="34" applyNumberFormat="1" applyFont="1" applyFill="1" applyBorder="1" applyAlignment="1">
      <alignment vertical="center" wrapText="1"/>
    </xf>
    <xf numFmtId="49" fontId="12" fillId="0" borderId="1" xfId="34" applyNumberFormat="1" applyFont="1" applyFill="1" applyBorder="1" applyAlignment="1">
      <alignment horizontal="right"/>
    </xf>
    <xf numFmtId="166" fontId="12" fillId="0" borderId="7" xfId="34" applyNumberFormat="1" applyFont="1" applyFill="1" applyBorder="1" applyAlignment="1">
      <alignment horizontal="right"/>
    </xf>
    <xf numFmtId="166" fontId="12" fillId="0" borderId="1" xfId="34" applyNumberFormat="1" applyFont="1" applyFill="1" applyBorder="1" applyAlignment="1">
      <alignment horizontal="right"/>
    </xf>
    <xf numFmtId="0" fontId="11" fillId="0" borderId="1" xfId="0" applyFont="1" applyFill="1" applyBorder="1" applyAlignment="1">
      <alignment vertical="justify" wrapText="1"/>
    </xf>
    <xf numFmtId="49" fontId="11" fillId="0" borderId="1" xfId="34" applyNumberFormat="1" applyFont="1" applyFill="1" applyBorder="1" applyAlignment="1">
      <alignment horizontal="right"/>
    </xf>
    <xf numFmtId="166" fontId="11" fillId="0" borderId="9" xfId="34" applyNumberFormat="1" applyFont="1" applyFill="1" applyBorder="1" applyAlignment="1">
      <alignment horizontal="right"/>
    </xf>
    <xf numFmtId="166" fontId="11" fillId="0" borderId="7" xfId="34" applyNumberFormat="1" applyFont="1" applyFill="1" applyBorder="1" applyAlignment="1">
      <alignment horizontal="right"/>
    </xf>
    <xf numFmtId="166" fontId="11" fillId="0" borderId="1" xfId="34" applyNumberFormat="1" applyFont="1" applyFill="1" applyBorder="1" applyAlignment="1">
      <alignment horizontal="right"/>
    </xf>
    <xf numFmtId="0" fontId="11" fillId="0" borderId="2" xfId="3" applyFont="1" applyFill="1" applyBorder="1" applyAlignment="1">
      <alignment horizontal="left" vertical="justify" wrapText="1"/>
    </xf>
    <xf numFmtId="49" fontId="11" fillId="0" borderId="2" xfId="3" applyNumberFormat="1" applyFont="1" applyFill="1" applyBorder="1" applyAlignment="1" applyProtection="1">
      <alignment horizontal="center" vertical="center" wrapText="1"/>
    </xf>
    <xf numFmtId="49" fontId="10" fillId="0" borderId="2" xfId="34" applyNumberFormat="1" applyFont="1" applyFill="1" applyBorder="1" applyAlignment="1">
      <alignment horizontal="right" vertical="center" wrapText="1"/>
    </xf>
    <xf numFmtId="166" fontId="12" fillId="0" borderId="2" xfId="34" applyNumberFormat="1" applyFont="1" applyFill="1" applyBorder="1" applyAlignment="1">
      <alignment horizontal="right"/>
    </xf>
    <xf numFmtId="166" fontId="8" fillId="0" borderId="2" xfId="34" applyNumberFormat="1" applyFont="1" applyFill="1" applyBorder="1" applyAlignment="1">
      <alignment horizontal="right"/>
    </xf>
    <xf numFmtId="166" fontId="13" fillId="0" borderId="2" xfId="34" applyNumberFormat="1" applyFont="1" applyFill="1" applyBorder="1" applyAlignment="1">
      <alignment horizontal="right"/>
    </xf>
    <xf numFmtId="166" fontId="12" fillId="0" borderId="20" xfId="34" applyNumberFormat="1" applyFont="1" applyFill="1" applyBorder="1" applyAlignment="1">
      <alignment horizontal="right"/>
    </xf>
    <xf numFmtId="166" fontId="8" fillId="0" borderId="1" xfId="34" applyNumberFormat="1" applyFont="1" applyFill="1" applyBorder="1" applyAlignment="1">
      <alignment horizontal="right"/>
    </xf>
    <xf numFmtId="0" fontId="11" fillId="0" borderId="18" xfId="37" applyFont="1" applyFill="1" applyBorder="1" applyAlignment="1">
      <alignment horizontal="left" vertical="center" wrapText="1"/>
    </xf>
    <xf numFmtId="0" fontId="75" fillId="0" borderId="1" xfId="0" applyFont="1" applyFill="1" applyBorder="1" applyAlignment="1">
      <alignment horizontal="left" vertical="center" wrapText="1"/>
    </xf>
    <xf numFmtId="0" fontId="75" fillId="0" borderId="1" xfId="0" applyFont="1" applyFill="1" applyBorder="1" applyAlignment="1">
      <alignment vertical="center" wrapText="1"/>
    </xf>
    <xf numFmtId="166" fontId="10" fillId="0" borderId="4" xfId="34" applyNumberFormat="1" applyFont="1" applyFill="1" applyBorder="1" applyAlignment="1">
      <alignment horizontal="right" vertical="center" wrapText="1"/>
    </xf>
    <xf numFmtId="166" fontId="8" fillId="0" borderId="4" xfId="34" applyNumberFormat="1" applyFont="1" applyFill="1" applyBorder="1" applyAlignment="1">
      <alignment horizontal="right"/>
    </xf>
    <xf numFmtId="166" fontId="10" fillId="0" borderId="3" xfId="34" applyNumberFormat="1" applyFont="1" applyFill="1" applyBorder="1" applyAlignment="1">
      <alignment horizontal="right" vertical="center" wrapText="1"/>
    </xf>
    <xf numFmtId="166" fontId="50" fillId="0" borderId="0" xfId="24" applyNumberFormat="1" applyFont="1" applyFill="1" applyAlignment="1">
      <alignment horizontal="right"/>
    </xf>
    <xf numFmtId="0" fontId="49" fillId="0" borderId="33" xfId="5" applyFont="1" applyFill="1" applyBorder="1" applyAlignment="1">
      <alignment horizontal="center" vertical="center" wrapText="1"/>
    </xf>
    <xf numFmtId="172" fontId="49" fillId="0" borderId="32" xfId="5" applyNumberFormat="1" applyFont="1" applyFill="1" applyBorder="1" applyAlignment="1">
      <alignment horizontal="center" vertical="center" wrapText="1"/>
    </xf>
    <xf numFmtId="166" fontId="49" fillId="0" borderId="32" xfId="5" applyNumberFormat="1" applyFont="1" applyFill="1" applyBorder="1" applyAlignment="1">
      <alignment horizontal="center" vertical="center" wrapText="1"/>
    </xf>
    <xf numFmtId="49" fontId="49" fillId="0" borderId="32" xfId="5" applyNumberFormat="1" applyFont="1" applyFill="1" applyBorder="1" applyAlignment="1">
      <alignment horizontal="center" vertical="center" wrapText="1"/>
    </xf>
    <xf numFmtId="168" fontId="49" fillId="0" borderId="31" xfId="5" applyNumberFormat="1" applyFont="1" applyFill="1" applyBorder="1" applyAlignment="1">
      <alignment horizontal="center" vertical="center" wrapText="1"/>
    </xf>
    <xf numFmtId="0" fontId="11" fillId="0" borderId="35" xfId="5" applyFont="1" applyFill="1" applyBorder="1" applyAlignment="1">
      <alignment horizontal="center" vertical="center"/>
    </xf>
    <xf numFmtId="172" fontId="12" fillId="0" borderId="36" xfId="5" applyNumberFormat="1" applyFont="1" applyFill="1" applyBorder="1" applyAlignment="1">
      <alignment horizontal="left" vertical="center" wrapText="1"/>
    </xf>
    <xf numFmtId="166" fontId="12" fillId="0" borderId="36" xfId="5" applyNumberFormat="1" applyFont="1" applyFill="1" applyBorder="1" applyAlignment="1">
      <alignment horizontal="left" vertical="center" wrapText="1"/>
    </xf>
    <xf numFmtId="49" fontId="12" fillId="0" borderId="36" xfId="5" applyNumberFormat="1" applyFont="1" applyFill="1" applyBorder="1" applyAlignment="1">
      <alignment horizontal="center" vertical="center" wrapText="1"/>
    </xf>
    <xf numFmtId="168" fontId="76" fillId="0" borderId="37" xfId="5" applyNumberFormat="1" applyFont="1" applyFill="1" applyBorder="1" applyAlignment="1">
      <alignment horizontal="right" vertical="center" wrapText="1"/>
    </xf>
    <xf numFmtId="0" fontId="49" fillId="0" borderId="33" xfId="5" applyFont="1" applyFill="1" applyBorder="1" applyAlignment="1">
      <alignment horizontal="center" vertical="center"/>
    </xf>
    <xf numFmtId="0" fontId="49" fillId="0" borderId="32" xfId="8" applyFont="1" applyFill="1" applyBorder="1" applyAlignment="1">
      <alignment horizontal="left" vertical="center" wrapText="1"/>
    </xf>
    <xf numFmtId="168" fontId="76" fillId="0" borderId="31" xfId="5" applyNumberFormat="1" applyFont="1" applyFill="1" applyBorder="1" applyAlignment="1">
      <alignment horizontal="right" vertical="center" wrapText="1"/>
    </xf>
    <xf numFmtId="172" fontId="76" fillId="0" borderId="32" xfId="5" applyNumberFormat="1" applyFont="1" applyFill="1" applyBorder="1" applyAlignment="1">
      <alignment horizontal="left" vertical="center" wrapText="1"/>
    </xf>
    <xf numFmtId="0" fontId="49" fillId="0" borderId="21" xfId="5" applyFont="1" applyFill="1" applyBorder="1" applyAlignment="1">
      <alignment horizontal="center" vertical="center"/>
    </xf>
    <xf numFmtId="172" fontId="76" fillId="0" borderId="2" xfId="5" applyNumberFormat="1" applyFont="1" applyFill="1" applyBorder="1" applyAlignment="1">
      <alignment horizontal="left" vertical="center" wrapText="1"/>
    </xf>
    <xf numFmtId="166" fontId="49" fillId="0" borderId="2" xfId="5" applyNumberFormat="1" applyFont="1" applyFill="1" applyBorder="1" applyAlignment="1">
      <alignment horizontal="left" vertical="center" wrapText="1"/>
    </xf>
    <xf numFmtId="49" fontId="49" fillId="0" borderId="2" xfId="5" applyNumberFormat="1" applyFont="1" applyFill="1" applyBorder="1" applyAlignment="1">
      <alignment horizontal="center" vertical="center" wrapText="1"/>
    </xf>
    <xf numFmtId="168" fontId="76" fillId="0" borderId="20" xfId="5" applyNumberFormat="1" applyFont="1" applyFill="1" applyBorder="1" applyAlignment="1">
      <alignment horizontal="right" vertical="center" wrapText="1"/>
    </xf>
    <xf numFmtId="166" fontId="49" fillId="0" borderId="1" xfId="5" applyNumberFormat="1" applyFont="1" applyFill="1" applyBorder="1" applyAlignment="1">
      <alignment horizontal="left" vertical="center" wrapText="1"/>
    </xf>
    <xf numFmtId="168" fontId="76" fillId="0" borderId="9" xfId="5" applyNumberFormat="1" applyFont="1" applyFill="1" applyBorder="1" applyAlignment="1">
      <alignment horizontal="right" vertical="center"/>
    </xf>
    <xf numFmtId="0" fontId="50" fillId="0" borderId="8" xfId="5" applyFont="1" applyFill="1" applyBorder="1" applyAlignment="1">
      <alignment horizontal="center" vertical="center"/>
    </xf>
    <xf numFmtId="166" fontId="50" fillId="0" borderId="1" xfId="5" applyNumberFormat="1" applyFont="1" applyFill="1" applyBorder="1" applyAlignment="1">
      <alignment horizontal="left" vertical="center" wrapText="1"/>
    </xf>
    <xf numFmtId="168" fontId="17" fillId="0" borderId="9" xfId="5" applyNumberFormat="1" applyFont="1" applyFill="1" applyBorder="1" applyAlignment="1">
      <alignment horizontal="right" vertical="center"/>
    </xf>
    <xf numFmtId="172" fontId="50" fillId="0" borderId="1" xfId="5" applyNumberFormat="1" applyFont="1" applyFill="1" applyBorder="1" applyAlignment="1">
      <alignment horizontal="left" vertical="center" wrapText="1" indent="2"/>
    </xf>
    <xf numFmtId="166" fontId="50" fillId="0" borderId="1" xfId="5" applyNumberFormat="1" applyFont="1" applyFill="1" applyBorder="1" applyAlignment="1">
      <alignment horizontal="left" vertical="center" wrapText="1" indent="2"/>
    </xf>
    <xf numFmtId="172" fontId="76" fillId="0" borderId="1" xfId="5" applyNumberFormat="1" applyFont="1" applyFill="1" applyBorder="1" applyAlignment="1">
      <alignment horizontal="left" vertical="center" wrapText="1"/>
    </xf>
    <xf numFmtId="172" fontId="50" fillId="0" borderId="1" xfId="5" applyNumberFormat="1" applyFont="1" applyFill="1" applyBorder="1" applyAlignment="1">
      <alignment horizontal="left" vertical="top" wrapText="1" indent="2"/>
    </xf>
    <xf numFmtId="167" fontId="17" fillId="0" borderId="9" xfId="34" applyNumberFormat="1" applyFont="1" applyFill="1" applyBorder="1" applyAlignment="1">
      <alignment horizontal="right" vertical="center" wrapText="1"/>
    </xf>
    <xf numFmtId="168" fontId="39" fillId="0" borderId="14" xfId="5" applyNumberFormat="1" applyFont="1" applyFill="1" applyBorder="1" applyAlignment="1">
      <alignment horizontal="right" vertical="center"/>
    </xf>
    <xf numFmtId="166" fontId="50" fillId="0" borderId="1" xfId="11" applyNumberFormat="1" applyFont="1" applyFill="1" applyBorder="1" applyAlignment="1" applyProtection="1">
      <alignment horizontal="left" vertical="center" wrapText="1"/>
    </xf>
    <xf numFmtId="166" fontId="49" fillId="0" borderId="1" xfId="11" applyNumberFormat="1" applyFont="1" applyFill="1" applyBorder="1" applyAlignment="1" applyProtection="1">
      <alignment horizontal="left" vertical="center" wrapText="1"/>
    </xf>
    <xf numFmtId="0" fontId="49" fillId="0" borderId="24" xfId="5" applyFont="1" applyFill="1" applyBorder="1" applyAlignment="1">
      <alignment horizontal="center" vertical="center"/>
    </xf>
    <xf numFmtId="172" fontId="50" fillId="0" borderId="23" xfId="5" applyNumberFormat="1" applyFont="1" applyFill="1" applyBorder="1" applyAlignment="1">
      <alignment horizontal="left" vertical="center" wrapText="1" indent="2"/>
    </xf>
    <xf numFmtId="166" fontId="50" fillId="0" borderId="23" xfId="5" applyNumberFormat="1" applyFont="1" applyFill="1" applyBorder="1" applyAlignment="1">
      <alignment horizontal="left" vertical="center" wrapText="1" indent="2"/>
    </xf>
    <xf numFmtId="49" fontId="50" fillId="0" borderId="23" xfId="5" applyNumberFormat="1" applyFont="1" applyFill="1" applyBorder="1" applyAlignment="1">
      <alignment horizontal="center" vertical="center" wrapText="1"/>
    </xf>
    <xf numFmtId="168" fontId="17" fillId="0" borderId="34" xfId="5" applyNumberFormat="1" applyFont="1" applyFill="1" applyBorder="1" applyAlignment="1">
      <alignment horizontal="right" vertical="center"/>
    </xf>
    <xf numFmtId="0" fontId="50" fillId="0" borderId="21" xfId="5" applyFont="1" applyFill="1" applyBorder="1" applyAlignment="1">
      <alignment horizontal="center" vertical="center"/>
    </xf>
    <xf numFmtId="0" fontId="76" fillId="0" borderId="0" xfId="9" applyFont="1" applyFill="1" applyBorder="1" applyAlignment="1">
      <alignment wrapText="1"/>
    </xf>
    <xf numFmtId="0" fontId="50" fillId="0" borderId="7" xfId="9" applyFont="1" applyFill="1" applyBorder="1" applyAlignment="1">
      <alignment horizontal="left" vertical="center" wrapText="1"/>
    </xf>
    <xf numFmtId="172" fontId="50" fillId="0" borderId="7" xfId="5" applyNumberFormat="1" applyFont="1" applyFill="1" applyBorder="1" applyAlignment="1">
      <alignment horizontal="left" vertical="center" wrapText="1" indent="2"/>
    </xf>
    <xf numFmtId="0" fontId="50" fillId="0" borderId="7" xfId="9" applyFont="1" applyFill="1" applyBorder="1" applyAlignment="1">
      <alignment wrapText="1"/>
    </xf>
    <xf numFmtId="168" fontId="17" fillId="0" borderId="9" xfId="5" applyNumberFormat="1" applyFont="1" applyFill="1" applyBorder="1" applyAlignment="1">
      <alignment horizontal="right" vertical="center" wrapText="1"/>
    </xf>
    <xf numFmtId="0" fontId="50" fillId="0" borderId="1" xfId="9" applyNumberFormat="1" applyFont="1" applyFill="1" applyBorder="1" applyAlignment="1" applyProtection="1">
      <alignment horizontal="left" vertical="center" wrapText="1"/>
    </xf>
    <xf numFmtId="169" fontId="50" fillId="0" borderId="1" xfId="10" applyNumberFormat="1" applyFont="1" applyFill="1" applyBorder="1" applyAlignment="1" applyProtection="1">
      <alignment horizontal="left" vertical="center" wrapText="1"/>
    </xf>
    <xf numFmtId="0" fontId="50" fillId="0" borderId="1" xfId="9" applyFont="1" applyFill="1" applyBorder="1" applyAlignment="1">
      <alignment horizontal="left" vertical="center" wrapText="1"/>
    </xf>
    <xf numFmtId="49" fontId="50" fillId="0" borderId="1" xfId="3" applyNumberFormat="1" applyFont="1" applyFill="1" applyBorder="1" applyAlignment="1">
      <alignment horizontal="center" vertical="center" wrapText="1"/>
    </xf>
    <xf numFmtId="0" fontId="50" fillId="0" borderId="7" xfId="3" applyFont="1" applyFill="1" applyBorder="1" applyAlignment="1">
      <alignment horizontal="left" vertical="center" wrapText="1"/>
    </xf>
    <xf numFmtId="172" fontId="76" fillId="0" borderId="7" xfId="5" applyNumberFormat="1" applyFont="1" applyFill="1" applyBorder="1" applyAlignment="1">
      <alignment vertical="center" wrapText="1"/>
    </xf>
    <xf numFmtId="166" fontId="49" fillId="0" borderId="1" xfId="5" applyNumberFormat="1" applyFont="1" applyFill="1" applyBorder="1" applyAlignment="1">
      <alignment horizontal="left" vertical="center" wrapText="1" indent="2"/>
    </xf>
    <xf numFmtId="168" fontId="76" fillId="0" borderId="9" xfId="5" applyNumberFormat="1" applyFont="1" applyFill="1" applyBorder="1" applyAlignment="1">
      <alignment horizontal="right" vertical="center" wrapText="1"/>
    </xf>
    <xf numFmtId="172" fontId="50" fillId="0" borderId="7" xfId="5" applyNumberFormat="1" applyFont="1" applyFill="1" applyBorder="1" applyAlignment="1">
      <alignment vertical="center" wrapText="1"/>
    </xf>
    <xf numFmtId="172" fontId="49" fillId="0" borderId="7" xfId="5" applyNumberFormat="1" applyFont="1" applyFill="1" applyBorder="1" applyAlignment="1">
      <alignment vertical="center" wrapText="1"/>
    </xf>
    <xf numFmtId="0" fontId="49" fillId="0" borderId="8" xfId="5" applyFont="1" applyFill="1" applyBorder="1" applyAlignment="1">
      <alignment vertical="center"/>
    </xf>
    <xf numFmtId="0" fontId="49" fillId="0" borderId="7" xfId="3" applyFont="1" applyFill="1" applyBorder="1" applyAlignment="1">
      <alignment horizontal="left" vertical="center" wrapText="1"/>
    </xf>
    <xf numFmtId="0" fontId="50" fillId="0" borderId="2" xfId="10" applyNumberFormat="1" applyFont="1" applyFill="1" applyBorder="1" applyAlignment="1" applyProtection="1">
      <alignment horizontal="left" vertical="center" wrapText="1"/>
    </xf>
    <xf numFmtId="172" fontId="76" fillId="0" borderId="1" xfId="5" applyNumberFormat="1" applyFont="1" applyFill="1" applyBorder="1" applyAlignment="1">
      <alignment horizontal="left" vertical="top" wrapText="1"/>
    </xf>
    <xf numFmtId="166" fontId="50" fillId="0" borderId="1" xfId="14" applyNumberFormat="1" applyFont="1" applyFill="1" applyBorder="1" applyAlignment="1">
      <alignment vertical="center" wrapText="1"/>
    </xf>
    <xf numFmtId="0" fontId="77" fillId="0" borderId="7" xfId="3" applyFont="1" applyFill="1" applyBorder="1" applyAlignment="1">
      <alignment horizontal="left" vertical="center" wrapText="1"/>
    </xf>
    <xf numFmtId="49" fontId="50" fillId="0" borderId="1" xfId="14" applyNumberFormat="1" applyFont="1" applyFill="1" applyBorder="1" applyAlignment="1">
      <alignment horizontal="center" vertical="center" wrapText="1"/>
    </xf>
    <xf numFmtId="0" fontId="50" fillId="0" borderId="7" xfId="10" applyFont="1" applyFill="1" applyBorder="1" applyAlignment="1">
      <alignment horizontal="left" vertical="center" wrapText="1"/>
    </xf>
    <xf numFmtId="172" fontId="50" fillId="0" borderId="1" xfId="9" applyNumberFormat="1" applyFont="1" applyFill="1" applyBorder="1" applyAlignment="1">
      <alignment vertical="center" wrapText="1"/>
    </xf>
    <xf numFmtId="0" fontId="76" fillId="0" borderId="7" xfId="9" applyFont="1" applyFill="1" applyBorder="1" applyAlignment="1">
      <alignment horizontal="left" vertical="center" wrapText="1"/>
    </xf>
    <xf numFmtId="49" fontId="49" fillId="0" borderId="1" xfId="14" applyNumberFormat="1" applyFont="1" applyFill="1" applyBorder="1" applyAlignment="1">
      <alignment horizontal="center" vertical="center" wrapText="1"/>
    </xf>
    <xf numFmtId="49" fontId="49" fillId="0" borderId="1" xfId="14" applyNumberFormat="1" applyFont="1" applyFill="1" applyBorder="1" applyAlignment="1">
      <alignment vertical="center" wrapText="1"/>
    </xf>
    <xf numFmtId="49" fontId="50" fillId="0" borderId="1" xfId="14" applyNumberFormat="1" applyFont="1" applyFill="1" applyBorder="1" applyAlignment="1">
      <alignment vertical="center" wrapText="1"/>
    </xf>
    <xf numFmtId="49" fontId="50" fillId="0" borderId="1" xfId="5" applyNumberFormat="1" applyFont="1" applyFill="1" applyBorder="1" applyAlignment="1">
      <alignment horizontal="left" vertical="center" wrapText="1"/>
    </xf>
    <xf numFmtId="172" fontId="76" fillId="0" borderId="1" xfId="12" applyNumberFormat="1" applyFont="1" applyFill="1" applyBorder="1" applyAlignment="1" applyProtection="1">
      <alignment horizontal="left" vertical="center" wrapText="1"/>
    </xf>
    <xf numFmtId="166" fontId="49" fillId="0" borderId="1" xfId="12" applyNumberFormat="1" applyFont="1" applyFill="1" applyBorder="1" applyAlignment="1" applyProtection="1">
      <alignment horizontal="left" vertical="center" wrapText="1"/>
    </xf>
    <xf numFmtId="49" fontId="49" fillId="0" borderId="1" xfId="12" applyNumberFormat="1" applyFont="1" applyFill="1" applyBorder="1" applyAlignment="1" applyProtection="1">
      <alignment horizontal="center" vertical="center" wrapText="1"/>
    </xf>
    <xf numFmtId="168" fontId="76" fillId="0" borderId="9" xfId="14" applyNumberFormat="1" applyFont="1" applyFill="1" applyBorder="1" applyAlignment="1">
      <alignment horizontal="right" vertical="center"/>
    </xf>
    <xf numFmtId="0" fontId="50" fillId="0" borderId="8" xfId="14" applyFont="1" applyFill="1" applyBorder="1" applyAlignment="1">
      <alignment horizontal="center" vertical="center"/>
    </xf>
    <xf numFmtId="172" fontId="49" fillId="0" borderId="1" xfId="9" applyNumberFormat="1" applyFont="1" applyFill="1" applyBorder="1" applyAlignment="1">
      <alignment vertical="center" wrapText="1"/>
    </xf>
    <xf numFmtId="49" fontId="70" fillId="0" borderId="1" xfId="3" applyNumberFormat="1" applyFont="1" applyFill="1" applyBorder="1" applyAlignment="1">
      <alignment horizontal="center" vertical="center" wrapText="1"/>
    </xf>
    <xf numFmtId="0" fontId="50" fillId="0" borderId="1" xfId="9" applyFont="1" applyFill="1" applyBorder="1" applyAlignment="1">
      <alignment horizontal="left" vertical="top" wrapText="1"/>
    </xf>
    <xf numFmtId="0" fontId="50" fillId="0" borderId="8" xfId="5" applyFont="1" applyFill="1" applyBorder="1" applyAlignment="1">
      <alignment vertical="center"/>
    </xf>
    <xf numFmtId="0" fontId="50" fillId="0" borderId="8" xfId="14" applyFont="1" applyFill="1" applyBorder="1" applyAlignment="1">
      <alignment vertical="center"/>
    </xf>
    <xf numFmtId="49" fontId="50" fillId="0" borderId="1" xfId="0" applyNumberFormat="1" applyFont="1" applyFill="1" applyBorder="1" applyAlignment="1">
      <alignment horizontal="center" vertical="center" wrapText="1"/>
    </xf>
    <xf numFmtId="173" fontId="50" fillId="0" borderId="1" xfId="5" applyNumberFormat="1" applyFont="1" applyFill="1" applyBorder="1" applyAlignment="1">
      <alignment horizontal="left" vertical="center" wrapText="1" indent="2"/>
    </xf>
    <xf numFmtId="168" fontId="75" fillId="0" borderId="64" xfId="0" applyNumberFormat="1" applyFont="1" applyFill="1" applyBorder="1" applyAlignment="1">
      <alignment horizontal="right" vertical="center" wrapText="1"/>
    </xf>
    <xf numFmtId="0" fontId="50" fillId="0" borderId="15" xfId="3" applyFont="1" applyFill="1" applyBorder="1" applyAlignment="1">
      <alignment vertical="top" wrapText="1"/>
    </xf>
    <xf numFmtId="0" fontId="50" fillId="0" borderId="18" xfId="3" applyFont="1" applyFill="1" applyBorder="1" applyAlignment="1">
      <alignment vertical="top" wrapText="1"/>
    </xf>
    <xf numFmtId="166" fontId="50" fillId="0" borderId="8" xfId="5" applyNumberFormat="1" applyFont="1" applyFill="1" applyBorder="1" applyAlignment="1">
      <alignment horizontal="left" vertical="center" wrapText="1"/>
    </xf>
    <xf numFmtId="0" fontId="50" fillId="0" borderId="7" xfId="9" applyFont="1" applyFill="1" applyBorder="1" applyAlignment="1">
      <alignment vertical="top" wrapText="1"/>
    </xf>
    <xf numFmtId="172" fontId="50" fillId="0" borderId="1" xfId="5" applyNumberFormat="1" applyFont="1" applyFill="1" applyBorder="1" applyAlignment="1">
      <alignment vertical="center" wrapText="1"/>
    </xf>
    <xf numFmtId="0" fontId="50" fillId="0" borderId="7" xfId="3" applyFont="1" applyFill="1" applyBorder="1" applyAlignment="1">
      <alignment vertical="top" wrapText="1"/>
    </xf>
    <xf numFmtId="0" fontId="49" fillId="0" borderId="7" xfId="3" applyFont="1" applyFill="1" applyBorder="1" applyAlignment="1">
      <alignment vertical="top" wrapText="1"/>
    </xf>
    <xf numFmtId="166" fontId="50" fillId="0" borderId="8" xfId="5" applyNumberFormat="1" applyFont="1" applyFill="1" applyBorder="1" applyAlignment="1">
      <alignment vertical="center" wrapText="1"/>
    </xf>
    <xf numFmtId="0" fontId="50" fillId="0" borderId="7" xfId="3" applyFont="1" applyFill="1" applyBorder="1" applyAlignment="1">
      <alignment horizontal="center" vertical="center" wrapText="1"/>
    </xf>
    <xf numFmtId="172" fontId="50" fillId="0" borderId="1" xfId="12" applyNumberFormat="1" applyFont="1" applyFill="1" applyBorder="1" applyAlignment="1" applyProtection="1">
      <alignment horizontal="left" vertical="center" wrapText="1"/>
    </xf>
    <xf numFmtId="49" fontId="50" fillId="0" borderId="1" xfId="12" applyNumberFormat="1" applyFont="1" applyFill="1" applyBorder="1" applyAlignment="1" applyProtection="1">
      <alignment horizontal="center" vertical="center" wrapText="1"/>
    </xf>
    <xf numFmtId="168" fontId="17" fillId="0" borderId="9" xfId="14" applyNumberFormat="1" applyFont="1" applyFill="1" applyBorder="1" applyAlignment="1">
      <alignment horizontal="right" vertical="center"/>
    </xf>
    <xf numFmtId="0" fontId="50" fillId="0" borderId="1" xfId="9" applyFont="1" applyFill="1" applyBorder="1" applyAlignment="1">
      <alignment horizontal="justify" vertical="top" wrapText="1"/>
    </xf>
    <xf numFmtId="0" fontId="76" fillId="0" borderId="1" xfId="8" applyFont="1" applyFill="1" applyBorder="1" applyAlignment="1">
      <alignment horizontal="left" vertical="center" wrapText="1"/>
    </xf>
    <xf numFmtId="0" fontId="76" fillId="0" borderId="7" xfId="3" applyFont="1" applyFill="1" applyBorder="1" applyAlignment="1">
      <alignment horizontal="left" vertical="center" wrapText="1"/>
    </xf>
    <xf numFmtId="172" fontId="17" fillId="0" borderId="1" xfId="5" applyNumberFormat="1" applyFont="1" applyFill="1" applyBorder="1" applyAlignment="1">
      <alignment horizontal="left" vertical="center" wrapText="1"/>
    </xf>
    <xf numFmtId="172" fontId="17" fillId="0" borderId="1" xfId="5" applyNumberFormat="1" applyFont="1" applyFill="1" applyBorder="1" applyAlignment="1">
      <alignment horizontal="left" vertical="center" wrapText="1" indent="2"/>
    </xf>
    <xf numFmtId="172" fontId="76" fillId="0" borderId="1" xfId="5" applyNumberFormat="1" applyFont="1" applyFill="1" applyBorder="1" applyAlignment="1">
      <alignment vertical="center" wrapText="1"/>
    </xf>
    <xf numFmtId="0" fontId="50" fillId="0" borderId="15" xfId="3" applyFont="1" applyFill="1" applyBorder="1" applyAlignment="1">
      <alignment horizontal="left" vertical="center" wrapText="1"/>
    </xf>
    <xf numFmtId="166" fontId="50" fillId="0" borderId="23" xfId="5" applyNumberFormat="1" applyFont="1" applyFill="1" applyBorder="1" applyAlignment="1">
      <alignment horizontal="left" vertical="center" wrapText="1"/>
    </xf>
    <xf numFmtId="168" fontId="17" fillId="0" borderId="34" xfId="5" applyNumberFormat="1" applyFont="1" applyFill="1" applyBorder="1" applyAlignment="1">
      <alignment horizontal="right" vertical="center" wrapText="1"/>
    </xf>
    <xf numFmtId="172" fontId="50" fillId="0" borderId="4" xfId="5" applyNumberFormat="1" applyFont="1" applyFill="1" applyBorder="1" applyAlignment="1">
      <alignment horizontal="left" vertical="center" wrapText="1" indent="2"/>
    </xf>
    <xf numFmtId="166" fontId="50" fillId="0" borderId="4" xfId="5" applyNumberFormat="1" applyFont="1" applyFill="1" applyBorder="1" applyAlignment="1">
      <alignment horizontal="left" vertical="center" wrapText="1" indent="2"/>
    </xf>
    <xf numFmtId="49" fontId="50" fillId="0" borderId="4" xfId="5" applyNumberFormat="1" applyFont="1" applyFill="1" applyBorder="1" applyAlignment="1">
      <alignment horizontal="center" vertical="center" wrapText="1"/>
    </xf>
    <xf numFmtId="168" fontId="17" fillId="0" borderId="3" xfId="5" applyNumberFormat="1" applyFont="1" applyFill="1" applyBorder="1" applyAlignment="1">
      <alignment horizontal="right" vertical="center" wrapText="1"/>
    </xf>
    <xf numFmtId="168" fontId="78" fillId="0" borderId="2" xfId="5" applyNumberFormat="1" applyFont="1" applyFill="1" applyBorder="1" applyAlignment="1">
      <alignment horizontal="right" vertical="center" wrapText="1"/>
    </xf>
    <xf numFmtId="168" fontId="57" fillId="0" borderId="1" xfId="5" applyNumberFormat="1" applyFont="1" applyFill="1" applyBorder="1" applyAlignment="1">
      <alignment horizontal="right" vertical="center" wrapText="1"/>
    </xf>
    <xf numFmtId="168" fontId="57" fillId="0" borderId="23" xfId="5" applyNumberFormat="1" applyFont="1" applyFill="1" applyBorder="1" applyAlignment="1">
      <alignment horizontal="right" vertical="center" wrapText="1"/>
    </xf>
    <xf numFmtId="168" fontId="57" fillId="0" borderId="36" xfId="5" applyNumberFormat="1" applyFont="1" applyFill="1" applyBorder="1" applyAlignment="1">
      <alignment horizontal="right" vertical="center" wrapText="1"/>
    </xf>
    <xf numFmtId="168" fontId="78" fillId="0" borderId="32" xfId="5" applyNumberFormat="1" applyFont="1" applyFill="1" applyBorder="1" applyAlignment="1">
      <alignment horizontal="right" vertical="center" wrapText="1"/>
    </xf>
    <xf numFmtId="168" fontId="78" fillId="0" borderId="1" xfId="5" applyNumberFormat="1" applyFont="1" applyFill="1" applyBorder="1" applyAlignment="1">
      <alignment horizontal="right" vertical="center" wrapText="1"/>
    </xf>
    <xf numFmtId="174" fontId="76" fillId="0" borderId="1" xfId="5" applyNumberFormat="1" applyFont="1" applyFill="1" applyBorder="1" applyAlignment="1">
      <alignment horizontal="right" vertical="center" wrapText="1"/>
    </xf>
    <xf numFmtId="174" fontId="17" fillId="0" borderId="1" xfId="5" applyNumberFormat="1" applyFont="1" applyFill="1" applyBorder="1" applyAlignment="1">
      <alignment horizontal="right" vertical="center" wrapText="1"/>
    </xf>
    <xf numFmtId="168" fontId="57" fillId="0" borderId="4" xfId="5" applyNumberFormat="1" applyFont="1" applyFill="1" applyBorder="1" applyAlignment="1">
      <alignment horizontal="right" vertical="center" wrapText="1"/>
    </xf>
    <xf numFmtId="166" fontId="57" fillId="0" borderId="0" xfId="24" applyNumberFormat="1" applyFont="1" applyFill="1" applyAlignment="1">
      <alignment horizontal="right"/>
    </xf>
    <xf numFmtId="0" fontId="31" fillId="0" borderId="0" xfId="40" applyFont="1" applyFill="1" applyAlignment="1">
      <alignment vertical="center"/>
    </xf>
    <xf numFmtId="0" fontId="36" fillId="0" borderId="0" xfId="40" applyFont="1" applyFill="1" applyAlignment="1">
      <alignment horizontal="right" vertical="center"/>
    </xf>
    <xf numFmtId="0" fontId="31" fillId="0" borderId="0" xfId="40" applyFont="1" applyFill="1" applyAlignment="1">
      <alignment horizontal="right" vertical="center"/>
    </xf>
    <xf numFmtId="168" fontId="31" fillId="0" borderId="0" xfId="40" applyNumberFormat="1" applyFont="1" applyFill="1" applyAlignment="1">
      <alignment horizontal="right" vertical="center"/>
    </xf>
    <xf numFmtId="0" fontId="11" fillId="0" borderId="0" xfId="40" applyFont="1" applyFill="1" applyAlignment="1">
      <alignment vertical="center"/>
    </xf>
    <xf numFmtId="169" fontId="25" fillId="0" borderId="1" xfId="40" applyNumberFormat="1" applyFont="1" applyFill="1" applyBorder="1" applyAlignment="1">
      <alignment horizontal="center" vertical="top" wrapText="1"/>
    </xf>
    <xf numFmtId="168" fontId="15" fillId="0" borderId="1" xfId="24" applyNumberFormat="1" applyFont="1" applyFill="1" applyBorder="1" applyAlignment="1">
      <alignment horizontal="center" vertical="center"/>
    </xf>
    <xf numFmtId="166" fontId="21" fillId="0" borderId="1" xfId="24" applyNumberFormat="1" applyFont="1" applyFill="1" applyBorder="1" applyAlignment="1">
      <alignment horizontal="right" vertical="center" wrapText="1"/>
    </xf>
    <xf numFmtId="168" fontId="21" fillId="0" borderId="1" xfId="24" applyNumberFormat="1" applyFont="1" applyFill="1" applyBorder="1" applyAlignment="1">
      <alignment horizontal="right" vertical="center" wrapText="1"/>
    </xf>
    <xf numFmtId="168" fontId="27" fillId="0" borderId="1" xfId="24" applyNumberFormat="1" applyFont="1" applyFill="1" applyBorder="1" applyAlignment="1">
      <alignment horizontal="right" vertical="center" wrapText="1"/>
    </xf>
    <xf numFmtId="168" fontId="12" fillId="0" borderId="1" xfId="24" applyNumberFormat="1" applyFont="1" applyFill="1" applyBorder="1" applyAlignment="1">
      <alignment horizontal="right" vertical="center" wrapText="1"/>
    </xf>
    <xf numFmtId="0" fontId="11" fillId="0" borderId="0" xfId="40" applyFont="1" applyFill="1"/>
    <xf numFmtId="168" fontId="11" fillId="0" borderId="1" xfId="24" applyNumberFormat="1" applyFont="1" applyFill="1" applyBorder="1" applyAlignment="1">
      <alignment horizontal="right" vertical="center" wrapText="1"/>
    </xf>
    <xf numFmtId="168" fontId="10" fillId="0" borderId="1" xfId="24" applyNumberFormat="1" applyFont="1" applyFill="1" applyBorder="1" applyAlignment="1">
      <alignment horizontal="right" vertical="center" wrapText="1"/>
    </xf>
    <xf numFmtId="0" fontId="11" fillId="0" borderId="1" xfId="40" applyFont="1" applyFill="1" applyBorder="1"/>
    <xf numFmtId="168" fontId="26" fillId="0" borderId="1" xfId="24" applyNumberFormat="1" applyFont="1" applyFill="1" applyBorder="1" applyAlignment="1">
      <alignment horizontal="right" vertical="center" wrapText="1"/>
    </xf>
    <xf numFmtId="168" fontId="10" fillId="0" borderId="7" xfId="24" applyNumberFormat="1" applyFont="1" applyFill="1" applyBorder="1" applyAlignment="1">
      <alignment horizontal="right" vertical="center" wrapText="1"/>
    </xf>
    <xf numFmtId="166" fontId="29" fillId="0" borderId="1" xfId="24" applyNumberFormat="1" applyFont="1" applyFill="1" applyBorder="1" applyAlignment="1">
      <alignment horizontal="right" vertical="center" wrapText="1"/>
    </xf>
    <xf numFmtId="168" fontId="29" fillId="0" borderId="1" xfId="24" applyNumberFormat="1" applyFont="1" applyFill="1" applyBorder="1" applyAlignment="1">
      <alignment horizontal="right" vertical="center" wrapText="1"/>
    </xf>
    <xf numFmtId="0" fontId="11" fillId="0" borderId="0" xfId="40" applyFont="1" applyFill="1" applyAlignment="1">
      <alignment wrapText="1"/>
    </xf>
    <xf numFmtId="168" fontId="10" fillId="0" borderId="15" xfId="24" applyNumberFormat="1" applyFont="1" applyFill="1" applyBorder="1" applyAlignment="1">
      <alignment horizontal="right" vertical="center" wrapText="1"/>
    </xf>
    <xf numFmtId="168" fontId="15" fillId="0" borderId="1" xfId="24" applyNumberFormat="1" applyFont="1" applyFill="1" applyBorder="1" applyAlignment="1">
      <alignment vertical="center" wrapText="1"/>
    </xf>
    <xf numFmtId="168" fontId="10" fillId="0" borderId="1" xfId="24" applyNumberFormat="1" applyFont="1" applyFill="1" applyBorder="1" applyAlignment="1">
      <alignment vertical="center" wrapText="1"/>
    </xf>
    <xf numFmtId="168" fontId="10" fillId="0" borderId="7" xfId="24" applyNumberFormat="1" applyFont="1" applyFill="1" applyBorder="1" applyAlignment="1">
      <alignment vertical="center" wrapText="1"/>
    </xf>
    <xf numFmtId="168" fontId="8" fillId="0" borderId="0" xfId="24" applyNumberFormat="1" applyFont="1" applyFill="1" applyAlignment="1">
      <alignment horizontal="right"/>
    </xf>
    <xf numFmtId="166" fontId="15" fillId="0" borderId="26" xfId="24" applyNumberFormat="1" applyFont="1" applyFill="1" applyBorder="1" applyAlignment="1">
      <alignment horizontal="center" vertical="center"/>
    </xf>
    <xf numFmtId="166" fontId="8" fillId="0" borderId="27" xfId="24" applyNumberFormat="1" applyFont="1" applyFill="1" applyBorder="1" applyAlignment="1">
      <alignment horizontal="right"/>
    </xf>
    <xf numFmtId="169" fontId="25" fillId="0" borderId="26" xfId="40" applyNumberFormat="1" applyFont="1" applyFill="1" applyBorder="1" applyAlignment="1">
      <alignment horizontal="center" vertical="top" wrapText="1"/>
    </xf>
    <xf numFmtId="168" fontId="15" fillId="0" borderId="25" xfId="24" applyNumberFormat="1" applyFont="1" applyFill="1" applyBorder="1" applyAlignment="1">
      <alignment horizontal="center" vertical="center"/>
    </xf>
    <xf numFmtId="49" fontId="24" fillId="0" borderId="7" xfId="40" applyNumberFormat="1" applyFont="1" applyFill="1" applyBorder="1" applyAlignment="1">
      <alignment horizontal="left" vertical="top" wrapText="1"/>
    </xf>
    <xf numFmtId="168" fontId="15" fillId="0" borderId="7" xfId="24" applyNumberFormat="1" applyFont="1" applyFill="1" applyBorder="1" applyAlignment="1">
      <alignment horizontal="right" vertical="center"/>
    </xf>
    <xf numFmtId="166" fontId="8" fillId="0" borderId="0" xfId="24" applyNumberFormat="1" applyFont="1" applyFill="1" applyBorder="1" applyAlignment="1">
      <alignment horizontal="right"/>
    </xf>
    <xf numFmtId="167" fontId="15" fillId="0" borderId="7" xfId="24" applyNumberFormat="1" applyFont="1" applyFill="1" applyBorder="1" applyAlignment="1">
      <alignment horizontal="center" vertical="center"/>
    </xf>
    <xf numFmtId="168" fontId="15" fillId="0" borderId="6" xfId="24" applyNumberFormat="1" applyFont="1" applyFill="1" applyBorder="1" applyAlignment="1">
      <alignment horizontal="right" vertical="center"/>
    </xf>
    <xf numFmtId="0" fontId="21" fillId="0" borderId="7" xfId="40" applyFont="1" applyFill="1" applyBorder="1" applyAlignment="1">
      <alignment horizontal="left" vertical="center"/>
    </xf>
    <xf numFmtId="167" fontId="15" fillId="0" borderId="7" xfId="24" applyNumberFormat="1" applyFont="1" applyFill="1" applyBorder="1" applyAlignment="1">
      <alignment vertical="center" wrapText="1"/>
    </xf>
    <xf numFmtId="168" fontId="15" fillId="0" borderId="6" xfId="24" applyNumberFormat="1" applyFont="1" applyFill="1" applyBorder="1" applyAlignment="1">
      <alignment vertical="center" wrapText="1"/>
    </xf>
    <xf numFmtId="168" fontId="10" fillId="0" borderId="9" xfId="24" applyNumberFormat="1" applyFont="1" applyFill="1" applyBorder="1" applyAlignment="1">
      <alignment horizontal="right" vertical="center" wrapText="1"/>
    </xf>
    <xf numFmtId="168" fontId="12" fillId="0" borderId="9" xfId="24" applyNumberFormat="1" applyFont="1" applyFill="1" applyBorder="1" applyAlignment="1">
      <alignment horizontal="right" vertical="center" wrapText="1"/>
    </xf>
    <xf numFmtId="0" fontId="11" fillId="0" borderId="1" xfId="40" applyFont="1" applyFill="1" applyBorder="1" applyAlignment="1">
      <alignment horizontal="justify" vertical="top" wrapText="1"/>
    </xf>
    <xf numFmtId="168" fontId="15" fillId="0" borderId="9" xfId="24" applyNumberFormat="1" applyFont="1" applyFill="1" applyBorder="1" applyAlignment="1">
      <alignment horizontal="right" vertical="center" wrapText="1"/>
    </xf>
    <xf numFmtId="0" fontId="19" fillId="0" borderId="1" xfId="9" applyFont="1" applyFill="1" applyBorder="1" applyAlignment="1">
      <alignment horizontal="left" vertical="center" wrapText="1"/>
    </xf>
    <xf numFmtId="0" fontId="11" fillId="0" borderId="1" xfId="40" applyFont="1" applyFill="1" applyBorder="1" applyAlignment="1">
      <alignment horizontal="left" vertical="top" wrapText="1"/>
    </xf>
    <xf numFmtId="0" fontId="11" fillId="0" borderId="1" xfId="9" applyFont="1" applyFill="1" applyBorder="1" applyAlignment="1">
      <alignment horizontal="left" vertical="top" wrapText="1"/>
    </xf>
    <xf numFmtId="168" fontId="11" fillId="0" borderId="9" xfId="24" applyNumberFormat="1" applyFont="1" applyFill="1" applyBorder="1" applyAlignment="1">
      <alignment horizontal="right" vertical="center" wrapText="1"/>
    </xf>
    <xf numFmtId="0" fontId="11" fillId="0" borderId="0" xfId="40" applyFont="1" applyFill="1" applyBorder="1"/>
    <xf numFmtId="0" fontId="11" fillId="0" borderId="1" xfId="40" applyFont="1" applyFill="1" applyBorder="1" applyAlignment="1">
      <alignment wrapText="1"/>
    </xf>
    <xf numFmtId="0" fontId="11" fillId="0" borderId="7" xfId="40" applyFont="1" applyFill="1" applyBorder="1" applyAlignment="1">
      <alignment wrapText="1"/>
    </xf>
    <xf numFmtId="168" fontId="10" fillId="0" borderId="6" xfId="24" applyNumberFormat="1" applyFont="1" applyFill="1" applyBorder="1" applyAlignment="1">
      <alignment horizontal="right" vertical="center" wrapText="1"/>
    </xf>
    <xf numFmtId="0" fontId="19" fillId="0" borderId="8" xfId="9" applyFont="1" applyFill="1" applyBorder="1" applyAlignment="1">
      <alignment horizontal="left" vertical="center" wrapText="1"/>
    </xf>
    <xf numFmtId="167" fontId="11" fillId="0" borderId="1" xfId="9" applyNumberFormat="1" applyFont="1" applyFill="1" applyBorder="1" applyAlignment="1">
      <alignment horizontal="left" vertical="center" wrapText="1"/>
    </xf>
    <xf numFmtId="168" fontId="11" fillId="0" borderId="9" xfId="9" applyNumberFormat="1" applyFont="1" applyFill="1" applyBorder="1" applyAlignment="1">
      <alignment horizontal="right" vertical="center" wrapText="1"/>
    </xf>
    <xf numFmtId="0" fontId="19" fillId="0" borderId="0" xfId="9" applyFont="1" applyFill="1" applyBorder="1" applyAlignment="1">
      <alignment horizontal="left" vertical="center" wrapText="1"/>
    </xf>
    <xf numFmtId="167" fontId="10" fillId="0" borderId="2" xfId="24" applyNumberFormat="1" applyFont="1" applyFill="1" applyBorder="1" applyAlignment="1">
      <alignment horizontal="right" vertical="center" wrapText="1"/>
    </xf>
    <xf numFmtId="165" fontId="15" fillId="0" borderId="2" xfId="24" applyFont="1" applyFill="1" applyBorder="1" applyAlignment="1">
      <alignment horizontal="right" vertical="center" wrapText="1"/>
    </xf>
    <xf numFmtId="166" fontId="15" fillId="0" borderId="2" xfId="24" applyNumberFormat="1" applyFont="1" applyFill="1" applyBorder="1" applyAlignment="1">
      <alignment horizontal="right" vertical="center" wrapText="1"/>
    </xf>
    <xf numFmtId="168" fontId="10" fillId="0" borderId="20" xfId="24" applyNumberFormat="1" applyFont="1" applyFill="1" applyBorder="1" applyAlignment="1">
      <alignment horizontal="right" vertical="center" wrapText="1"/>
    </xf>
    <xf numFmtId="0" fontId="12" fillId="0" borderId="1" xfId="40" applyFont="1" applyFill="1" applyBorder="1" applyAlignment="1">
      <alignment horizontal="left" vertical="center" wrapText="1"/>
    </xf>
    <xf numFmtId="168" fontId="15" fillId="0" borderId="1" xfId="24" applyNumberFormat="1" applyFont="1" applyFill="1" applyBorder="1" applyAlignment="1" applyProtection="1">
      <alignment horizontal="right" vertical="center" wrapText="1"/>
      <protection locked="0"/>
    </xf>
    <xf numFmtId="168" fontId="15" fillId="0" borderId="9" xfId="24" applyNumberFormat="1" applyFont="1" applyFill="1" applyBorder="1" applyAlignment="1" applyProtection="1">
      <alignment horizontal="right" vertical="center" wrapText="1"/>
      <protection locked="0"/>
    </xf>
    <xf numFmtId="0" fontId="11" fillId="0" borderId="0" xfId="40" applyFont="1" applyFill="1" applyBorder="1" applyAlignment="1">
      <alignment wrapText="1"/>
    </xf>
    <xf numFmtId="167" fontId="8" fillId="0" borderId="1" xfId="24" applyNumberFormat="1" applyFont="1" applyFill="1" applyBorder="1" applyAlignment="1">
      <alignment vertical="center"/>
    </xf>
    <xf numFmtId="166" fontId="11" fillId="0" borderId="1" xfId="24" applyNumberFormat="1" applyFont="1" applyFill="1" applyBorder="1" applyAlignment="1">
      <alignment vertical="center"/>
    </xf>
    <xf numFmtId="169" fontId="11" fillId="0" borderId="1" xfId="9" applyNumberFormat="1" applyFont="1" applyFill="1" applyBorder="1" applyAlignment="1" applyProtection="1">
      <alignment horizontal="left" vertical="center" wrapText="1"/>
    </xf>
    <xf numFmtId="0" fontId="11" fillId="0" borderId="7" xfId="40" applyFont="1" applyFill="1" applyBorder="1"/>
    <xf numFmtId="166" fontId="10" fillId="0" borderId="0" xfId="24" applyNumberFormat="1" applyFont="1" applyFill="1" applyBorder="1" applyAlignment="1">
      <alignment horizontal="right" vertical="center" wrapText="1"/>
    </xf>
    <xf numFmtId="167" fontId="10" fillId="0" borderId="0" xfId="24" applyNumberFormat="1" applyFont="1" applyFill="1" applyBorder="1" applyAlignment="1">
      <alignment horizontal="right" vertical="center" wrapText="1"/>
    </xf>
    <xf numFmtId="0" fontId="10" fillId="0" borderId="1" xfId="40" applyFont="1" applyFill="1" applyBorder="1" applyAlignment="1">
      <alignment horizontal="justify" vertical="top" wrapText="1"/>
    </xf>
    <xf numFmtId="167" fontId="15" fillId="0" borderId="9" xfId="24" applyNumberFormat="1" applyFont="1" applyFill="1" applyBorder="1" applyAlignment="1">
      <alignment horizontal="right" vertical="center" wrapText="1"/>
    </xf>
    <xf numFmtId="166" fontId="10" fillId="0" borderId="10" xfId="24" applyNumberFormat="1" applyFont="1" applyFill="1" applyBorder="1" applyAlignment="1">
      <alignment horizontal="right" vertical="center" wrapText="1"/>
    </xf>
    <xf numFmtId="167" fontId="10" fillId="0" borderId="1" xfId="24" applyNumberFormat="1" applyFont="1" applyFill="1" applyBorder="1" applyAlignment="1">
      <alignment vertical="center" wrapText="1"/>
    </xf>
    <xf numFmtId="168" fontId="10" fillId="0" borderId="9" xfId="24" applyNumberFormat="1" applyFont="1" applyFill="1" applyBorder="1" applyAlignment="1">
      <alignment vertical="center" wrapText="1"/>
    </xf>
    <xf numFmtId="0" fontId="11" fillId="0" borderId="10" xfId="40" applyFont="1" applyFill="1" applyBorder="1"/>
    <xf numFmtId="166" fontId="12" fillId="0" borderId="1" xfId="24" applyNumberFormat="1" applyFont="1" applyFill="1" applyBorder="1" applyAlignment="1">
      <alignment horizontal="right"/>
    </xf>
    <xf numFmtId="168" fontId="12" fillId="0" borderId="9" xfId="24" applyNumberFormat="1" applyFont="1" applyFill="1" applyBorder="1" applyAlignment="1">
      <alignment horizontal="right"/>
    </xf>
    <xf numFmtId="166" fontId="11" fillId="0" borderId="1" xfId="24" applyNumberFormat="1" applyFont="1" applyFill="1" applyBorder="1" applyAlignment="1">
      <alignment horizontal="right"/>
    </xf>
    <xf numFmtId="168" fontId="11" fillId="0" borderId="9" xfId="24" applyNumberFormat="1" applyFont="1" applyFill="1" applyBorder="1" applyAlignment="1">
      <alignment horizontal="right"/>
    </xf>
    <xf numFmtId="0" fontId="16" fillId="0" borderId="1" xfId="40" applyFont="1" applyFill="1" applyBorder="1" applyAlignment="1">
      <alignment vertical="center" wrapText="1"/>
    </xf>
    <xf numFmtId="166" fontId="12" fillId="0" borderId="2" xfId="24" applyNumberFormat="1" applyFont="1" applyFill="1" applyBorder="1" applyAlignment="1">
      <alignment horizontal="right"/>
    </xf>
    <xf numFmtId="166" fontId="8" fillId="0" borderId="2" xfId="24" applyNumberFormat="1" applyFont="1" applyFill="1" applyBorder="1" applyAlignment="1">
      <alignment horizontal="right"/>
    </xf>
    <xf numFmtId="166" fontId="13" fillId="0" borderId="2" xfId="24" applyNumberFormat="1" applyFont="1" applyFill="1" applyBorder="1" applyAlignment="1">
      <alignment horizontal="right"/>
    </xf>
    <xf numFmtId="168" fontId="12" fillId="0" borderId="20" xfId="24" applyNumberFormat="1" applyFont="1" applyFill="1" applyBorder="1" applyAlignment="1">
      <alignment horizontal="right"/>
    </xf>
    <xf numFmtId="166" fontId="8" fillId="0" borderId="1" xfId="24" applyNumberFormat="1" applyFont="1" applyFill="1" applyBorder="1" applyAlignment="1">
      <alignment horizontal="right"/>
    </xf>
    <xf numFmtId="166" fontId="10" fillId="0" borderId="4" xfId="24" applyNumberFormat="1" applyFont="1" applyFill="1" applyBorder="1" applyAlignment="1">
      <alignment horizontal="right" vertical="center" wrapText="1"/>
    </xf>
    <xf numFmtId="166" fontId="8" fillId="0" borderId="4" xfId="24" applyNumberFormat="1" applyFont="1" applyFill="1" applyBorder="1" applyAlignment="1">
      <alignment horizontal="right"/>
    </xf>
    <xf numFmtId="0" fontId="49" fillId="0" borderId="29" xfId="5" applyFont="1" applyFill="1" applyBorder="1" applyAlignment="1">
      <alignment horizontal="center" vertical="center" wrapText="1"/>
    </xf>
    <xf numFmtId="172" fontId="49" fillId="0" borderId="26" xfId="5" applyNumberFormat="1" applyFont="1" applyFill="1" applyBorder="1" applyAlignment="1">
      <alignment horizontal="center" vertical="center" wrapText="1"/>
    </xf>
    <xf numFmtId="166" fontId="49" fillId="0" borderId="26" xfId="5" applyNumberFormat="1" applyFont="1" applyFill="1" applyBorder="1" applyAlignment="1">
      <alignment horizontal="center" vertical="center" wrapText="1"/>
    </xf>
    <xf numFmtId="49" fontId="49" fillId="0" borderId="26" xfId="5" applyNumberFormat="1" applyFont="1" applyFill="1" applyBorder="1" applyAlignment="1">
      <alignment horizontal="center" vertical="center" wrapText="1"/>
    </xf>
    <xf numFmtId="168" fontId="49" fillId="0" borderId="26" xfId="5" applyNumberFormat="1" applyFont="1" applyFill="1" applyBorder="1" applyAlignment="1">
      <alignment horizontal="center" vertical="center" wrapText="1"/>
    </xf>
    <xf numFmtId="168" fontId="49" fillId="0" borderId="25" xfId="5" applyNumberFormat="1" applyFont="1" applyFill="1" applyBorder="1" applyAlignment="1">
      <alignment horizontal="center" vertical="center" wrapText="1"/>
    </xf>
    <xf numFmtId="0" fontId="11" fillId="0" borderId="24" xfId="5" applyFont="1" applyFill="1" applyBorder="1" applyAlignment="1">
      <alignment horizontal="center" vertical="center"/>
    </xf>
    <xf numFmtId="172" fontId="12" fillId="0" borderId="23" xfId="5" applyNumberFormat="1" applyFont="1" applyFill="1" applyBorder="1" applyAlignment="1">
      <alignment horizontal="left" vertical="center" wrapText="1"/>
    </xf>
    <xf numFmtId="166" fontId="12" fillId="0" borderId="23" xfId="5" applyNumberFormat="1" applyFont="1" applyFill="1" applyBorder="1" applyAlignment="1">
      <alignment horizontal="left" vertical="center" wrapText="1"/>
    </xf>
    <xf numFmtId="49" fontId="12" fillId="0" borderId="23" xfId="5" applyNumberFormat="1" applyFont="1" applyFill="1" applyBorder="1" applyAlignment="1">
      <alignment horizontal="center" vertical="center" wrapText="1"/>
    </xf>
    <xf numFmtId="168" fontId="12" fillId="0" borderId="23" xfId="5" applyNumberFormat="1" applyFont="1" applyFill="1" applyBorder="1" applyAlignment="1">
      <alignment horizontal="right" vertical="center" wrapText="1"/>
    </xf>
    <xf numFmtId="168" fontId="12" fillId="0" borderId="34" xfId="5" applyNumberFormat="1" applyFont="1" applyFill="1" applyBorder="1" applyAlignment="1">
      <alignment horizontal="right" vertical="center" wrapText="1"/>
    </xf>
    <xf numFmtId="0" fontId="49" fillId="0" borderId="61" xfId="5" applyFont="1" applyFill="1" applyBorder="1" applyAlignment="1">
      <alignment horizontal="center" vertical="center"/>
    </xf>
    <xf numFmtId="0" fontId="49" fillId="0" borderId="62" xfId="8" applyFont="1" applyFill="1" applyBorder="1" applyAlignment="1">
      <alignment horizontal="left" vertical="center" wrapText="1"/>
    </xf>
    <xf numFmtId="49" fontId="49" fillId="0" borderId="62" xfId="5" applyNumberFormat="1" applyFont="1" applyFill="1" applyBorder="1" applyAlignment="1">
      <alignment horizontal="center" vertical="center" wrapText="1"/>
    </xf>
    <xf numFmtId="168" fontId="49" fillId="0" borderId="62" xfId="5" applyNumberFormat="1" applyFont="1" applyFill="1" applyBorder="1" applyAlignment="1">
      <alignment horizontal="right" vertical="center" wrapText="1"/>
    </xf>
    <xf numFmtId="168" fontId="49" fillId="0" borderId="63" xfId="5" applyNumberFormat="1" applyFont="1" applyFill="1" applyBorder="1" applyAlignment="1">
      <alignment horizontal="right" vertical="center" wrapText="1"/>
    </xf>
    <xf numFmtId="168" fontId="49" fillId="0" borderId="1" xfId="5" applyNumberFormat="1" applyFont="1" applyFill="1" applyBorder="1" applyAlignment="1">
      <alignment horizontal="right" vertical="center" wrapText="1"/>
    </xf>
    <xf numFmtId="168" fontId="11" fillId="0" borderId="9" xfId="3" applyNumberFormat="1" applyFont="1" applyFill="1" applyBorder="1"/>
    <xf numFmtId="172" fontId="49" fillId="0" borderId="2" xfId="5" applyNumberFormat="1" applyFont="1" applyFill="1" applyBorder="1" applyAlignment="1">
      <alignment horizontal="left" vertical="center" wrapText="1"/>
    </xf>
    <xf numFmtId="168" fontId="49" fillId="0" borderId="2" xfId="5" applyNumberFormat="1" applyFont="1" applyFill="1" applyBorder="1" applyAlignment="1">
      <alignment horizontal="right" vertical="center" wrapText="1"/>
    </xf>
    <xf numFmtId="168" fontId="49" fillId="0" borderId="20" xfId="5" applyNumberFormat="1" applyFont="1" applyFill="1" applyBorder="1" applyAlignment="1">
      <alignment horizontal="right" vertical="center" wrapText="1"/>
    </xf>
    <xf numFmtId="168" fontId="49" fillId="0" borderId="1" xfId="5" applyNumberFormat="1" applyFont="1" applyFill="1" applyBorder="1" applyAlignment="1">
      <alignment horizontal="right" vertical="center"/>
    </xf>
    <xf numFmtId="168" fontId="49" fillId="0" borderId="9" xfId="5" applyNumberFormat="1" applyFont="1" applyFill="1" applyBorder="1" applyAlignment="1">
      <alignment horizontal="right" vertical="center"/>
    </xf>
    <xf numFmtId="168" fontId="50" fillId="0" borderId="1" xfId="5" applyNumberFormat="1" applyFont="1" applyFill="1" applyBorder="1" applyAlignment="1">
      <alignment horizontal="right" vertical="center"/>
    </xf>
    <xf numFmtId="168" fontId="50" fillId="0" borderId="9" xfId="5" applyNumberFormat="1" applyFont="1" applyFill="1" applyBorder="1" applyAlignment="1">
      <alignment horizontal="right" vertical="center"/>
    </xf>
    <xf numFmtId="49" fontId="50" fillId="0" borderId="1" xfId="5" applyNumberFormat="1" applyFont="1" applyFill="1" applyBorder="1" applyAlignment="1">
      <alignment horizontal="center" vertical="top" wrapText="1"/>
    </xf>
    <xf numFmtId="168" fontId="50" fillId="0" borderId="23" xfId="5" applyNumberFormat="1" applyFont="1" applyFill="1" applyBorder="1" applyAlignment="1">
      <alignment horizontal="right" vertical="center"/>
    </xf>
    <xf numFmtId="168" fontId="50" fillId="0" borderId="34" xfId="5" applyNumberFormat="1" applyFont="1" applyFill="1" applyBorder="1" applyAlignment="1">
      <alignment horizontal="right" vertical="center"/>
    </xf>
    <xf numFmtId="172" fontId="49" fillId="0" borderId="32" xfId="5" applyNumberFormat="1" applyFont="1" applyFill="1" applyBorder="1" applyAlignment="1">
      <alignment horizontal="left" vertical="center" wrapText="1"/>
    </xf>
    <xf numFmtId="168" fontId="49" fillId="0" borderId="32" xfId="5" applyNumberFormat="1" applyFont="1" applyFill="1" applyBorder="1" applyAlignment="1">
      <alignment horizontal="right" vertical="center" wrapText="1"/>
    </xf>
    <xf numFmtId="168" fontId="49" fillId="0" borderId="31" xfId="5" applyNumberFormat="1" applyFont="1" applyFill="1" applyBorder="1" applyAlignment="1">
      <alignment horizontal="right" vertical="center" wrapText="1"/>
    </xf>
    <xf numFmtId="0" fontId="49" fillId="0" borderId="0" xfId="9" applyFont="1" applyFill="1" applyBorder="1" applyAlignment="1">
      <alignment wrapText="1"/>
    </xf>
    <xf numFmtId="168" fontId="50" fillId="0" borderId="1" xfId="5" applyNumberFormat="1" applyFont="1" applyFill="1" applyBorder="1" applyAlignment="1">
      <alignment horizontal="right" vertical="center" wrapText="1"/>
    </xf>
    <xf numFmtId="168" fontId="50" fillId="0" borderId="9" xfId="5" applyNumberFormat="1" applyFont="1" applyFill="1" applyBorder="1" applyAlignment="1">
      <alignment horizontal="right" vertical="center" wrapText="1"/>
    </xf>
    <xf numFmtId="0" fontId="70" fillId="0" borderId="7" xfId="3" applyFont="1" applyFill="1" applyBorder="1" applyAlignment="1">
      <alignment horizontal="left" vertical="center" wrapText="1"/>
    </xf>
    <xf numFmtId="168" fontId="49" fillId="0" borderId="9" xfId="5" applyNumberFormat="1" applyFont="1" applyFill="1" applyBorder="1" applyAlignment="1">
      <alignment horizontal="right" vertical="center" wrapText="1"/>
    </xf>
    <xf numFmtId="0" fontId="79" fillId="0" borderId="7" xfId="3" applyFont="1" applyFill="1" applyBorder="1" applyAlignment="1">
      <alignment horizontal="left" vertical="center" wrapText="1"/>
    </xf>
    <xf numFmtId="172" fontId="49" fillId="0" borderId="1" xfId="5" applyNumberFormat="1" applyFont="1" applyFill="1" applyBorder="1" applyAlignment="1">
      <alignment horizontal="left" vertical="top" wrapText="1"/>
    </xf>
    <xf numFmtId="0" fontId="80" fillId="0" borderId="7" xfId="3" applyFont="1" applyFill="1" applyBorder="1" applyAlignment="1">
      <alignment horizontal="left" vertical="center" wrapText="1"/>
    </xf>
    <xf numFmtId="49" fontId="50" fillId="0" borderId="1" xfId="14" applyNumberFormat="1" applyFont="1" applyFill="1" applyBorder="1" applyAlignment="1">
      <alignment horizontal="center" vertical="top" wrapText="1"/>
    </xf>
    <xf numFmtId="173" fontId="11" fillId="0" borderId="1" xfId="11" applyNumberFormat="1" applyFont="1" applyFill="1" applyBorder="1" applyAlignment="1" applyProtection="1">
      <alignment horizontal="left" vertical="top" wrapText="1"/>
    </xf>
    <xf numFmtId="0" fontId="77" fillId="0" borderId="7" xfId="9" applyFont="1" applyFill="1" applyBorder="1" applyAlignment="1">
      <alignment horizontal="left" vertical="center" wrapText="1"/>
    </xf>
    <xf numFmtId="172" fontId="49" fillId="0" borderId="1" xfId="12" applyNumberFormat="1" applyFont="1" applyFill="1" applyBorder="1" applyAlignment="1" applyProtection="1">
      <alignment horizontal="left" vertical="center" wrapText="1"/>
    </xf>
    <xf numFmtId="168" fontId="79" fillId="0" borderId="1" xfId="14" applyNumberFormat="1" applyFont="1" applyFill="1" applyBorder="1" applyAlignment="1">
      <alignment horizontal="right" vertical="center"/>
    </xf>
    <xf numFmtId="168" fontId="79" fillId="0" borderId="9" xfId="14" applyNumberFormat="1" applyFont="1" applyFill="1" applyBorder="1" applyAlignment="1">
      <alignment horizontal="right" vertical="center"/>
    </xf>
    <xf numFmtId="0" fontId="70" fillId="0" borderId="8" xfId="14" applyFont="1" applyFill="1" applyBorder="1" applyAlignment="1">
      <alignment horizontal="center" vertical="center"/>
    </xf>
    <xf numFmtId="0" fontId="70" fillId="0" borderId="8" xfId="14" applyFont="1" applyFill="1" applyBorder="1" applyAlignment="1">
      <alignment vertical="center"/>
    </xf>
    <xf numFmtId="0" fontId="70" fillId="0" borderId="15" xfId="3" applyFont="1" applyFill="1" applyBorder="1" applyAlignment="1">
      <alignment vertical="top" wrapText="1"/>
    </xf>
    <xf numFmtId="0" fontId="70" fillId="0" borderId="18" xfId="3" applyFont="1" applyFill="1" applyBorder="1" applyAlignment="1">
      <alignment vertical="top" wrapText="1"/>
    </xf>
    <xf numFmtId="0" fontId="70" fillId="0" borderId="7" xfId="3" applyFont="1" applyFill="1" applyBorder="1" applyAlignment="1">
      <alignment vertical="top" wrapText="1"/>
    </xf>
    <xf numFmtId="168" fontId="70" fillId="0" borderId="1" xfId="14" applyNumberFormat="1" applyFont="1" applyFill="1" applyBorder="1" applyAlignment="1">
      <alignment horizontal="right" vertical="center"/>
    </xf>
    <xf numFmtId="168" fontId="70" fillId="0" borderId="9" xfId="14" applyNumberFormat="1" applyFont="1" applyFill="1" applyBorder="1" applyAlignment="1">
      <alignment horizontal="right" vertical="center"/>
    </xf>
    <xf numFmtId="172" fontId="50" fillId="0" borderId="2" xfId="5" applyNumberFormat="1" applyFont="1" applyFill="1" applyBorder="1" applyAlignment="1">
      <alignment horizontal="left" vertical="center" wrapText="1" indent="2"/>
    </xf>
    <xf numFmtId="166" fontId="50" fillId="0" borderId="2" xfId="5" applyNumberFormat="1" applyFont="1" applyFill="1" applyBorder="1" applyAlignment="1">
      <alignment horizontal="left" vertical="center" wrapText="1" indent="2"/>
    </xf>
    <xf numFmtId="49" fontId="50" fillId="0" borderId="2" xfId="5" applyNumberFormat="1" applyFont="1" applyFill="1" applyBorder="1" applyAlignment="1">
      <alignment horizontal="center" vertical="center" wrapText="1"/>
    </xf>
    <xf numFmtId="168" fontId="50" fillId="0" borderId="2" xfId="5" applyNumberFormat="1" applyFont="1" applyFill="1" applyBorder="1" applyAlignment="1">
      <alignment horizontal="right" vertical="center" wrapText="1"/>
    </xf>
    <xf numFmtId="168" fontId="50" fillId="0" borderId="20" xfId="5" applyNumberFormat="1" applyFont="1" applyFill="1" applyBorder="1" applyAlignment="1">
      <alignment horizontal="right" vertical="center" wrapText="1"/>
    </xf>
    <xf numFmtId="0" fontId="50" fillId="0" borderId="5" xfId="5" applyFont="1" applyFill="1" applyBorder="1" applyAlignment="1">
      <alignment vertical="center"/>
    </xf>
    <xf numFmtId="168" fontId="50" fillId="0" borderId="4" xfId="5" applyNumberFormat="1" applyFont="1" applyFill="1" applyBorder="1" applyAlignment="1">
      <alignment horizontal="right" vertical="center" wrapText="1"/>
    </xf>
    <xf numFmtId="168" fontId="81" fillId="0" borderId="4" xfId="5" applyNumberFormat="1" applyFont="1" applyFill="1" applyBorder="1" applyAlignment="1">
      <alignment horizontal="right" vertical="center" wrapText="1"/>
    </xf>
    <xf numFmtId="168" fontId="50" fillId="0" borderId="3" xfId="5" applyNumberFormat="1" applyFont="1" applyFill="1" applyBorder="1" applyAlignment="1">
      <alignment horizontal="right" vertical="center" wrapText="1"/>
    </xf>
    <xf numFmtId="172" fontId="50" fillId="0" borderId="2" xfId="5" applyNumberFormat="1" applyFont="1" applyFill="1" applyBorder="1" applyAlignment="1">
      <alignment horizontal="left" vertical="center" wrapText="1"/>
    </xf>
    <xf numFmtId="166" fontId="50" fillId="0" borderId="2" xfId="5" applyNumberFormat="1" applyFont="1" applyFill="1" applyBorder="1" applyAlignment="1">
      <alignment horizontal="left" vertical="center" wrapText="1"/>
    </xf>
    <xf numFmtId="0" fontId="50" fillId="0" borderId="24" xfId="5" applyFont="1" applyFill="1" applyBorder="1" applyAlignment="1">
      <alignment vertical="center"/>
    </xf>
    <xf numFmtId="168" fontId="50" fillId="0" borderId="23" xfId="5" applyNumberFormat="1" applyFont="1" applyFill="1" applyBorder="1" applyAlignment="1">
      <alignment horizontal="right" vertical="center" wrapText="1"/>
    </xf>
    <xf numFmtId="168" fontId="50" fillId="0" borderId="34" xfId="5" applyNumberFormat="1" applyFont="1" applyFill="1" applyBorder="1" applyAlignment="1">
      <alignment horizontal="right" vertical="center" wrapText="1"/>
    </xf>
    <xf numFmtId="49" fontId="50" fillId="0" borderId="32" xfId="5" applyNumberFormat="1" applyFont="1" applyFill="1" applyBorder="1" applyAlignment="1">
      <alignment horizontal="center" vertical="center" wrapText="1"/>
    </xf>
    <xf numFmtId="168" fontId="50" fillId="0" borderId="32" xfId="5" applyNumberFormat="1" applyFont="1" applyFill="1" applyBorder="1" applyAlignment="1">
      <alignment horizontal="right" vertical="center" wrapText="1"/>
    </xf>
    <xf numFmtId="0" fontId="50" fillId="0" borderId="5" xfId="5" applyFont="1" applyFill="1" applyBorder="1" applyAlignment="1">
      <alignment horizontal="center" vertical="center"/>
    </xf>
    <xf numFmtId="0" fontId="11" fillId="0" borderId="0" xfId="3" applyFont="1" applyFill="1"/>
    <xf numFmtId="0" fontId="11" fillId="0" borderId="0" xfId="3" applyFont="1" applyFill="1" applyAlignment="1">
      <alignment horizontal="left" vertical="center"/>
    </xf>
    <xf numFmtId="0" fontId="11" fillId="0" borderId="0" xfId="3" applyFont="1" applyFill="1" applyAlignment="1">
      <alignment horizontal="center"/>
    </xf>
    <xf numFmtId="0" fontId="11" fillId="0" borderId="0" xfId="3" applyFont="1" applyFill="1" applyAlignment="1">
      <alignment horizontal="center" vertical="center"/>
    </xf>
    <xf numFmtId="166" fontId="11" fillId="0" borderId="0" xfId="24" applyNumberFormat="1" applyFont="1" applyFill="1" applyAlignment="1">
      <alignment horizontal="right"/>
    </xf>
    <xf numFmtId="0" fontId="6" fillId="0" borderId="0" xfId="39" applyFill="1"/>
    <xf numFmtId="168" fontId="14" fillId="0" borderId="7" xfId="3" applyNumberFormat="1" applyFont="1" applyFill="1" applyBorder="1" applyAlignment="1">
      <alignment horizontal="center" vertical="center" wrapText="1"/>
    </xf>
    <xf numFmtId="166" fontId="15" fillId="0" borderId="13" xfId="34" applyNumberFormat="1" applyFont="1" applyFill="1" applyBorder="1" applyAlignment="1">
      <alignment horizontal="right" vertical="center" wrapText="1"/>
    </xf>
    <xf numFmtId="166" fontId="10" fillId="0" borderId="13" xfId="34" applyNumberFormat="1" applyFont="1" applyFill="1" applyBorder="1" applyAlignment="1">
      <alignment horizontal="right" vertical="center" wrapText="1"/>
    </xf>
    <xf numFmtId="166" fontId="10" fillId="0" borderId="23" xfId="24" applyNumberFormat="1" applyFont="1" applyFill="1" applyBorder="1" applyAlignment="1">
      <alignment horizontal="right" vertical="center" wrapText="1"/>
    </xf>
    <xf numFmtId="4" fontId="8" fillId="0" borderId="0" xfId="3" applyNumberFormat="1" applyFont="1" applyFill="1"/>
    <xf numFmtId="0" fontId="85" fillId="0" borderId="0" xfId="3" applyFont="1" applyFill="1"/>
    <xf numFmtId="4" fontId="85" fillId="0" borderId="0" xfId="3" applyNumberFormat="1" applyFont="1" applyFill="1"/>
    <xf numFmtId="0" fontId="8" fillId="0" borderId="0" xfId="3" applyNumberFormat="1" applyFont="1" applyFill="1"/>
    <xf numFmtId="0" fontId="86" fillId="0" borderId="0" xfId="3" applyFont="1" applyFill="1"/>
    <xf numFmtId="166" fontId="11" fillId="0" borderId="1" xfId="3" applyNumberFormat="1" applyFont="1" applyFill="1" applyBorder="1" applyAlignment="1">
      <alignment horizontal="right" vertical="center" wrapText="1"/>
    </xf>
    <xf numFmtId="166" fontId="11" fillId="0" borderId="0" xfId="24" applyNumberFormat="1" applyFont="1" applyAlignment="1">
      <alignment horizontal="right" vertical="center"/>
    </xf>
    <xf numFmtId="0" fontId="11" fillId="0" borderId="1" xfId="3" applyFont="1" applyFill="1" applyBorder="1" applyAlignment="1">
      <alignment horizontal="center" vertical="top" wrapText="1"/>
    </xf>
    <xf numFmtId="0" fontId="11" fillId="0" borderId="13" xfId="3" applyFont="1" applyFill="1" applyBorder="1" applyAlignment="1">
      <alignment horizontal="center" vertical="center" wrapText="1"/>
    </xf>
    <xf numFmtId="166" fontId="11" fillId="0" borderId="16" xfId="24" applyNumberFormat="1" applyFont="1" applyBorder="1" applyAlignment="1">
      <alignment horizontal="right" vertical="center"/>
    </xf>
    <xf numFmtId="166" fontId="11" fillId="0" borderId="0" xfId="24" applyNumberFormat="1" applyFont="1" applyBorder="1" applyAlignment="1">
      <alignment horizontal="right"/>
    </xf>
    <xf numFmtId="166" fontId="11" fillId="0" borderId="10" xfId="24" applyNumberFormat="1" applyFont="1" applyBorder="1" applyAlignment="1">
      <alignment horizontal="right"/>
    </xf>
    <xf numFmtId="0" fontId="88" fillId="0" borderId="0" xfId="7" applyFont="1" applyFill="1" applyAlignment="1"/>
    <xf numFmtId="0" fontId="89" fillId="0" borderId="0" xfId="9" applyFont="1" applyFill="1" applyAlignment="1">
      <alignment vertical="center"/>
    </xf>
    <xf numFmtId="0" fontId="88" fillId="0" borderId="0" xfId="7" applyFont="1" applyFill="1" applyAlignment="1">
      <alignment horizontal="right" vertical="center"/>
    </xf>
    <xf numFmtId="0" fontId="13" fillId="0" borderId="0" xfId="3" applyFont="1" applyFill="1" applyAlignment="1">
      <alignment horizontal="center" vertical="center"/>
    </xf>
    <xf numFmtId="0" fontId="88" fillId="0" borderId="0" xfId="7" applyFont="1" applyFill="1" applyAlignment="1">
      <alignment horizontal="right"/>
    </xf>
    <xf numFmtId="0" fontId="24" fillId="0" borderId="0" xfId="8" applyFont="1" applyFill="1" applyAlignment="1">
      <alignment horizontal="right"/>
    </xf>
    <xf numFmtId="0" fontId="24" fillId="0" borderId="0" xfId="9" applyFont="1" applyFill="1" applyAlignment="1">
      <alignment horizontal="right" vertical="center"/>
    </xf>
    <xf numFmtId="0" fontId="12" fillId="0" borderId="0" xfId="9" applyFont="1" applyFill="1" applyAlignment="1">
      <alignment vertical="center"/>
    </xf>
    <xf numFmtId="0" fontId="90" fillId="0" borderId="0" xfId="3" applyFont="1" applyFill="1"/>
    <xf numFmtId="168" fontId="90" fillId="0" borderId="0" xfId="3" applyNumberFormat="1" applyFont="1" applyFill="1"/>
    <xf numFmtId="0" fontId="13" fillId="0" borderId="0" xfId="3" applyFont="1" applyFill="1" applyAlignment="1">
      <alignment horizontal="center"/>
    </xf>
    <xf numFmtId="0" fontId="92" fillId="0" borderId="0" xfId="3" applyFont="1" applyFill="1"/>
    <xf numFmtId="0" fontId="87" fillId="0" borderId="0" xfId="39" applyFont="1" applyFill="1"/>
    <xf numFmtId="179" fontId="76" fillId="0" borderId="9" xfId="5" applyNumberFormat="1" applyFont="1" applyFill="1" applyBorder="1" applyAlignment="1">
      <alignment horizontal="right" vertical="center"/>
    </xf>
    <xf numFmtId="0" fontId="35" fillId="0" borderId="0" xfId="7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168" fontId="13" fillId="0" borderId="0" xfId="3" applyNumberFormat="1" applyFont="1" applyFill="1"/>
    <xf numFmtId="165" fontId="49" fillId="0" borderId="1" xfId="1" applyFont="1" applyFill="1" applyBorder="1" applyAlignment="1">
      <alignment horizontal="right"/>
    </xf>
    <xf numFmtId="0" fontId="0" fillId="0" borderId="0" xfId="0" applyFill="1"/>
    <xf numFmtId="0" fontId="91" fillId="0" borderId="0" xfId="39" applyFont="1" applyFill="1"/>
    <xf numFmtId="0" fontId="93" fillId="0" borderId="0" xfId="39" applyFont="1" applyFill="1"/>
    <xf numFmtId="168" fontId="94" fillId="0" borderId="1" xfId="39" applyNumberFormat="1" applyFont="1" applyFill="1" applyBorder="1"/>
    <xf numFmtId="168" fontId="50" fillId="0" borderId="1" xfId="0" applyNumberFormat="1" applyFont="1" applyFill="1" applyBorder="1"/>
    <xf numFmtId="0" fontId="13" fillId="0" borderId="0" xfId="0" applyFont="1" applyFill="1"/>
    <xf numFmtId="0" fontId="92" fillId="0" borderId="0" xfId="0" applyFont="1" applyFill="1"/>
    <xf numFmtId="0" fontId="85" fillId="0" borderId="0" xfId="0" applyFont="1" applyFill="1"/>
    <xf numFmtId="0" fontId="75" fillId="0" borderId="2" xfId="0" applyFont="1" applyFill="1" applyBorder="1" applyAlignment="1">
      <alignment horizontal="left" vertical="center" wrapText="1"/>
    </xf>
    <xf numFmtId="166" fontId="10" fillId="0" borderId="2" xfId="24" applyNumberFormat="1" applyFont="1" applyFill="1" applyBorder="1" applyAlignment="1">
      <alignment horizontal="right" vertical="center" wrapText="1"/>
    </xf>
    <xf numFmtId="0" fontId="8" fillId="0" borderId="24" xfId="3" applyFont="1" applyFill="1" applyBorder="1"/>
    <xf numFmtId="166" fontId="8" fillId="0" borderId="23" xfId="24" applyNumberFormat="1" applyFont="1" applyFill="1" applyBorder="1" applyAlignment="1">
      <alignment horizontal="right"/>
    </xf>
    <xf numFmtId="166" fontId="10" fillId="0" borderId="16" xfId="24" applyNumberFormat="1" applyFont="1" applyFill="1" applyBorder="1" applyAlignment="1">
      <alignment horizontal="right" vertical="center" wrapText="1"/>
    </xf>
    <xf numFmtId="0" fontId="50" fillId="0" borderId="18" xfId="37" applyFont="1" applyFill="1" applyBorder="1" applyAlignment="1">
      <alignment horizontal="left" vertical="center" wrapText="1"/>
    </xf>
    <xf numFmtId="166" fontId="15" fillId="0" borderId="7" xfId="24" applyNumberFormat="1" applyFont="1" applyFill="1" applyBorder="1" applyAlignment="1">
      <alignment horizontal="right" vertical="center" wrapText="1"/>
    </xf>
    <xf numFmtId="168" fontId="15" fillId="0" borderId="6" xfId="24" applyNumberFormat="1" applyFont="1" applyFill="1" applyBorder="1" applyAlignment="1">
      <alignment horizontal="right" vertical="center" wrapText="1"/>
    </xf>
    <xf numFmtId="168" fontId="11" fillId="0" borderId="1" xfId="24" applyNumberFormat="1" applyFont="1" applyFill="1" applyBorder="1" applyAlignment="1">
      <alignment horizontal="right"/>
    </xf>
    <xf numFmtId="168" fontId="12" fillId="0" borderId="1" xfId="24" applyNumberFormat="1" applyFont="1" applyFill="1" applyBorder="1" applyAlignment="1">
      <alignment horizontal="right"/>
    </xf>
    <xf numFmtId="167" fontId="15" fillId="0" borderId="6" xfId="24" applyNumberFormat="1" applyFont="1" applyFill="1" applyBorder="1" applyAlignment="1">
      <alignment horizontal="center" vertical="center"/>
    </xf>
    <xf numFmtId="0" fontId="11" fillId="0" borderId="5" xfId="3" applyFont="1" applyFill="1" applyBorder="1"/>
    <xf numFmtId="0" fontId="11" fillId="0" borderId="4" xfId="9" applyFont="1" applyFill="1" applyBorder="1"/>
    <xf numFmtId="0" fontId="11" fillId="0" borderId="4" xfId="3" applyFont="1" applyFill="1" applyBorder="1" applyAlignment="1">
      <alignment horizontal="center"/>
    </xf>
    <xf numFmtId="0" fontId="11" fillId="0" borderId="4" xfId="3" applyFont="1" applyFill="1" applyBorder="1" applyAlignment="1">
      <alignment horizontal="center" vertical="center"/>
    </xf>
    <xf numFmtId="168" fontId="14" fillId="0" borderId="59" xfId="3" applyNumberFormat="1" applyFont="1" applyFill="1" applyBorder="1" applyAlignment="1">
      <alignment horizontal="center" vertical="center" wrapText="1"/>
    </xf>
    <xf numFmtId="168" fontId="11" fillId="0" borderId="4" xfId="3" applyNumberFormat="1" applyFont="1" applyFill="1" applyBorder="1"/>
    <xf numFmtId="168" fontId="11" fillId="0" borderId="59" xfId="3" applyNumberFormat="1" applyFont="1" applyFill="1" applyBorder="1" applyAlignment="1">
      <alignment horizontal="right" vertical="center" wrapText="1"/>
    </xf>
    <xf numFmtId="174" fontId="10" fillId="0" borderId="59" xfId="24" applyNumberFormat="1" applyFont="1" applyFill="1" applyBorder="1" applyAlignment="1">
      <alignment horizontal="right" vertical="center" wrapText="1"/>
    </xf>
    <xf numFmtId="166" fontId="10" fillId="0" borderId="51" xfId="34" applyNumberFormat="1" applyFont="1" applyFill="1" applyBorder="1" applyAlignment="1">
      <alignment horizontal="right" vertical="center" wrapText="1"/>
    </xf>
    <xf numFmtId="168" fontId="11" fillId="0" borderId="4" xfId="24" applyNumberFormat="1" applyFont="1" applyFill="1" applyBorder="1" applyAlignment="1">
      <alignment horizontal="right"/>
    </xf>
    <xf numFmtId="168" fontId="11" fillId="0" borderId="3" xfId="24" applyNumberFormat="1" applyFont="1" applyFill="1" applyBorder="1" applyAlignment="1">
      <alignment horizontal="right"/>
    </xf>
    <xf numFmtId="172" fontId="50" fillId="0" borderId="66" xfId="5" applyNumberFormat="1" applyFont="1" applyFill="1" applyBorder="1" applyAlignment="1">
      <alignment horizontal="left" vertical="center" wrapText="1" indent="2"/>
    </xf>
    <xf numFmtId="49" fontId="50" fillId="0" borderId="66" xfId="0" applyNumberFormat="1" applyFont="1" applyFill="1" applyBorder="1" applyAlignment="1">
      <alignment horizontal="center" vertical="center" wrapText="1"/>
    </xf>
    <xf numFmtId="49" fontId="14" fillId="0" borderId="7" xfId="3" applyNumberFormat="1" applyFont="1" applyFill="1" applyBorder="1" applyAlignment="1">
      <alignment horizontal="center" vertical="center" wrapText="1"/>
    </xf>
    <xf numFmtId="0" fontId="11" fillId="0" borderId="1" xfId="9" applyFont="1" applyFill="1" applyBorder="1" applyAlignment="1">
      <alignment horizontal="left" vertical="center" wrapText="1"/>
    </xf>
    <xf numFmtId="0" fontId="11" fillId="0" borderId="1" xfId="9" applyNumberFormat="1" applyFont="1" applyFill="1" applyBorder="1" applyAlignment="1" applyProtection="1">
      <alignment horizontal="left" vertical="center" wrapText="1"/>
    </xf>
    <xf numFmtId="0" fontId="11" fillId="0" borderId="2" xfId="3" applyFont="1" applyFill="1" applyBorder="1" applyAlignment="1">
      <alignment horizontal="center" vertical="center"/>
    </xf>
    <xf numFmtId="0" fontId="13" fillId="0" borderId="57" xfId="3" applyFont="1" applyFill="1" applyBorder="1" applyAlignment="1">
      <alignment horizontal="center" vertical="center"/>
    </xf>
    <xf numFmtId="0" fontId="8" fillId="0" borderId="57" xfId="3" applyFont="1" applyFill="1" applyBorder="1"/>
    <xf numFmtId="168" fontId="15" fillId="0" borderId="7" xfId="24" applyNumberFormat="1" applyFont="1" applyFill="1" applyBorder="1" applyAlignment="1" applyProtection="1">
      <alignment horizontal="right" vertical="center" wrapText="1"/>
      <protection locked="0"/>
    </xf>
    <xf numFmtId="0" fontId="11" fillId="0" borderId="23" xfId="40" applyFont="1" applyFill="1" applyBorder="1"/>
    <xf numFmtId="49" fontId="10" fillId="0" borderId="23" xfId="3" applyNumberFormat="1" applyFont="1" applyFill="1" applyBorder="1" applyAlignment="1">
      <alignment horizontal="center" vertical="center" wrapText="1"/>
    </xf>
    <xf numFmtId="0" fontId="10" fillId="0" borderId="23" xfId="3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left" vertical="center" wrapText="1"/>
    </xf>
    <xf numFmtId="49" fontId="13" fillId="0" borderId="1" xfId="5" applyNumberFormat="1" applyFont="1" applyFill="1" applyBorder="1" applyAlignment="1">
      <alignment horizontal="center" vertical="center" wrapText="1"/>
    </xf>
    <xf numFmtId="0" fontId="83" fillId="0" borderId="1" xfId="0" applyFont="1" applyFill="1" applyBorder="1" applyAlignment="1">
      <alignment horizontal="left" vertical="center" wrapText="1"/>
    </xf>
    <xf numFmtId="49" fontId="84" fillId="0" borderId="1" xfId="5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172" fontId="57" fillId="0" borderId="1" xfId="5" applyNumberFormat="1" applyFont="1" applyFill="1" applyBorder="1" applyAlignment="1">
      <alignment horizontal="left" vertical="center" wrapText="1"/>
    </xf>
    <xf numFmtId="172" fontId="57" fillId="0" borderId="1" xfId="5" applyNumberFormat="1" applyFont="1" applyFill="1" applyBorder="1" applyAlignment="1">
      <alignment horizontal="left" vertical="center" wrapText="1" indent="2"/>
    </xf>
    <xf numFmtId="49" fontId="8" fillId="0" borderId="1" xfId="5" applyNumberFormat="1" applyFont="1" applyFill="1" applyBorder="1" applyAlignment="1">
      <alignment horizontal="center" vertical="center" wrapText="1"/>
    </xf>
    <xf numFmtId="0" fontId="21" fillId="0" borderId="1" xfId="40" applyFont="1" applyFill="1" applyBorder="1" applyAlignment="1">
      <alignment horizontal="left" vertical="center"/>
    </xf>
    <xf numFmtId="0" fontId="8" fillId="0" borderId="35" xfId="3" applyFont="1" applyFill="1" applyBorder="1"/>
    <xf numFmtId="49" fontId="10" fillId="9" borderId="1" xfId="3" applyNumberFormat="1" applyFont="1" applyFill="1" applyBorder="1" applyAlignment="1">
      <alignment horizontal="center" vertical="center" wrapText="1"/>
    </xf>
    <xf numFmtId="49" fontId="15" fillId="9" borderId="1" xfId="3" applyNumberFormat="1" applyFont="1" applyFill="1" applyBorder="1" applyAlignment="1">
      <alignment horizontal="center" vertical="center" wrapText="1"/>
    </xf>
    <xf numFmtId="49" fontId="15" fillId="9" borderId="2" xfId="3" applyNumberFormat="1" applyFont="1" applyFill="1" applyBorder="1" applyAlignment="1">
      <alignment horizontal="center" vertical="center" wrapText="1"/>
    </xf>
    <xf numFmtId="49" fontId="10" fillId="9" borderId="2" xfId="3" applyNumberFormat="1" applyFont="1" applyFill="1" applyBorder="1" applyAlignment="1">
      <alignment horizontal="center" vertical="center" wrapText="1"/>
    </xf>
    <xf numFmtId="49" fontId="50" fillId="9" borderId="1" xfId="5" applyNumberFormat="1" applyFont="1" applyFill="1" applyBorder="1" applyAlignment="1">
      <alignment horizontal="center" vertical="center" wrapText="1"/>
    </xf>
    <xf numFmtId="0" fontId="35" fillId="0" borderId="0" xfId="7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49" fontId="10" fillId="0" borderId="23" xfId="0" applyNumberFormat="1" applyFont="1" applyFill="1" applyBorder="1" applyAlignment="1">
      <alignment horizontal="center" vertical="center" wrapText="1"/>
    </xf>
    <xf numFmtId="49" fontId="70" fillId="0" borderId="23" xfId="0" applyNumberFormat="1" applyFont="1" applyFill="1" applyBorder="1" applyAlignment="1">
      <alignment horizontal="center" vertical="center" wrapText="1"/>
    </xf>
    <xf numFmtId="0" fontId="11" fillId="0" borderId="18" xfId="0" applyFont="1" applyFill="1" applyBorder="1"/>
    <xf numFmtId="168" fontId="17" fillId="0" borderId="6" xfId="5" applyNumberFormat="1" applyFont="1" applyFill="1" applyBorder="1" applyAlignment="1">
      <alignment horizontal="right" vertical="center" wrapText="1"/>
    </xf>
    <xf numFmtId="49" fontId="50" fillId="0" borderId="23" xfId="14" applyNumberFormat="1" applyFont="1" applyFill="1" applyBorder="1" applyAlignment="1">
      <alignment horizontal="center" vertical="center" wrapText="1"/>
    </xf>
    <xf numFmtId="0" fontId="79" fillId="0" borderId="1" xfId="0" applyFont="1" applyFill="1" applyBorder="1" applyAlignment="1">
      <alignment horizontal="left" vertical="center" wrapText="1"/>
    </xf>
    <xf numFmtId="0" fontId="80" fillId="0" borderId="1" xfId="0" applyFont="1" applyFill="1" applyBorder="1" applyAlignment="1">
      <alignment horizontal="left" vertical="center" wrapText="1"/>
    </xf>
    <xf numFmtId="49" fontId="77" fillId="0" borderId="1" xfId="5" applyNumberFormat="1" applyFont="1" applyFill="1" applyBorder="1" applyAlignment="1">
      <alignment horizontal="center" vertical="center" wrapText="1"/>
    </xf>
    <xf numFmtId="0" fontId="70" fillId="0" borderId="1" xfId="0" applyFont="1" applyFill="1" applyBorder="1" applyAlignment="1">
      <alignment vertical="center" wrapText="1"/>
    </xf>
    <xf numFmtId="166" fontId="50" fillId="0" borderId="57" xfId="5" applyNumberFormat="1" applyFont="1" applyFill="1" applyBorder="1" applyAlignment="1">
      <alignment vertical="center" wrapText="1"/>
    </xf>
    <xf numFmtId="0" fontId="70" fillId="0" borderId="57" xfId="14" applyFont="1" applyFill="1" applyBorder="1" applyAlignment="1">
      <alignment horizontal="center" vertical="center"/>
    </xf>
    <xf numFmtId="166" fontId="50" fillId="0" borderId="57" xfId="5" applyNumberFormat="1" applyFont="1" applyFill="1" applyBorder="1" applyAlignment="1">
      <alignment horizontal="left" vertical="center" wrapText="1"/>
    </xf>
    <xf numFmtId="0" fontId="35" fillId="0" borderId="0" xfId="7" applyFont="1" applyFill="1" applyAlignment="1">
      <alignment horizontal="left"/>
    </xf>
    <xf numFmtId="168" fontId="11" fillId="0" borderId="1" xfId="3" applyNumberFormat="1" applyFont="1" applyBorder="1" applyAlignment="1">
      <alignment horizontal="center" vertical="center"/>
    </xf>
    <xf numFmtId="168" fontId="11" fillId="0" borderId="2" xfId="3" applyNumberFormat="1" applyFont="1" applyBorder="1"/>
    <xf numFmtId="0" fontId="10" fillId="0" borderId="1" xfId="0" applyFont="1" applyFill="1" applyBorder="1" applyAlignment="1">
      <alignment horizontal="left" vertical="center" wrapText="1"/>
    </xf>
    <xf numFmtId="0" fontId="31" fillId="0" borderId="52" xfId="0" applyFont="1" applyFill="1" applyBorder="1" applyAlignment="1">
      <alignment horizontal="right" vertical="distributed"/>
    </xf>
    <xf numFmtId="172" fontId="11" fillId="0" borderId="1" xfId="5" applyNumberFormat="1" applyFont="1" applyFill="1" applyBorder="1" applyAlignment="1">
      <alignment horizontal="left" vertical="center" wrapText="1" indent="2"/>
    </xf>
    <xf numFmtId="167" fontId="95" fillId="0" borderId="7" xfId="34" applyNumberFormat="1" applyFont="1" applyFill="1" applyBorder="1" applyAlignment="1">
      <alignment horizontal="right" vertical="center" wrapText="1"/>
    </xf>
    <xf numFmtId="167" fontId="95" fillId="0" borderId="1" xfId="34" applyNumberFormat="1" applyFont="1" applyFill="1" applyBorder="1" applyAlignment="1">
      <alignment horizontal="right" vertical="center" wrapText="1"/>
    </xf>
    <xf numFmtId="169" fontId="25" fillId="0" borderId="68" xfId="0" applyNumberFormat="1" applyFont="1" applyFill="1" applyBorder="1" applyAlignment="1">
      <alignment horizontal="center" vertical="top" wrapText="1"/>
    </xf>
    <xf numFmtId="167" fontId="15" fillId="0" borderId="13" xfId="34" applyNumberFormat="1" applyFont="1" applyFill="1" applyBorder="1" applyAlignment="1">
      <alignment horizontal="center" vertical="center"/>
    </xf>
    <xf numFmtId="167" fontId="10" fillId="0" borderId="13" xfId="34" applyNumberFormat="1" applyFont="1" applyFill="1" applyBorder="1" applyAlignment="1">
      <alignment vertical="center" wrapText="1"/>
    </xf>
    <xf numFmtId="167" fontId="10" fillId="0" borderId="14" xfId="34" applyNumberFormat="1" applyFont="1" applyFill="1" applyBorder="1" applyAlignment="1">
      <alignment horizontal="right" vertical="center" wrapText="1"/>
    </xf>
    <xf numFmtId="167" fontId="12" fillId="0" borderId="14" xfId="34" applyNumberFormat="1" applyFont="1" applyFill="1" applyBorder="1" applyAlignment="1">
      <alignment horizontal="right" vertical="center" wrapText="1"/>
    </xf>
    <xf numFmtId="166" fontId="15" fillId="0" borderId="14" xfId="34" applyNumberFormat="1" applyFont="1" applyFill="1" applyBorder="1" applyAlignment="1">
      <alignment horizontal="right" vertical="center" wrapText="1"/>
    </xf>
    <xf numFmtId="168" fontId="15" fillId="0" borderId="14" xfId="3" applyNumberFormat="1" applyFont="1" applyFill="1" applyBorder="1" applyAlignment="1">
      <alignment vertical="center" wrapText="1"/>
    </xf>
    <xf numFmtId="0" fontId="8" fillId="0" borderId="14" xfId="3" applyFont="1" applyFill="1" applyBorder="1"/>
    <xf numFmtId="166" fontId="12" fillId="0" borderId="14" xfId="34" applyNumberFormat="1" applyFont="1" applyFill="1" applyBorder="1" applyAlignment="1">
      <alignment horizontal="right" vertical="center" wrapText="1"/>
    </xf>
    <xf numFmtId="166" fontId="11" fillId="0" borderId="14" xfId="34" applyNumberFormat="1" applyFont="1" applyFill="1" applyBorder="1" applyAlignment="1">
      <alignment horizontal="right" vertical="center" wrapText="1"/>
    </xf>
    <xf numFmtId="167" fontId="11" fillId="0" borderId="14" xfId="34" applyNumberFormat="1" applyFont="1" applyFill="1" applyBorder="1" applyAlignment="1">
      <alignment horizontal="right" vertical="center" wrapText="1"/>
    </xf>
    <xf numFmtId="174" fontId="10" fillId="0" borderId="13" xfId="24" applyNumberFormat="1" applyFont="1" applyFill="1" applyBorder="1" applyAlignment="1">
      <alignment horizontal="right" vertical="center" wrapText="1"/>
    </xf>
    <xf numFmtId="168" fontId="15" fillId="0" borderId="16" xfId="3" applyNumberFormat="1" applyFont="1" applyFill="1" applyBorder="1" applyAlignment="1">
      <alignment vertical="center" wrapText="1"/>
    </xf>
    <xf numFmtId="0" fontId="19" fillId="0" borderId="14" xfId="37" applyFont="1" applyFill="1" applyBorder="1" applyAlignment="1">
      <alignment horizontal="left" vertical="center" wrapText="1"/>
    </xf>
    <xf numFmtId="166" fontId="15" fillId="0" borderId="30" xfId="34" applyNumberFormat="1" applyFont="1" applyFill="1" applyBorder="1" applyAlignment="1">
      <alignment horizontal="right" vertical="center" wrapText="1"/>
    </xf>
    <xf numFmtId="167" fontId="15" fillId="0" borderId="14" xfId="34" applyNumberFormat="1" applyFont="1" applyFill="1" applyBorder="1" applyAlignment="1">
      <alignment vertical="center" wrapText="1"/>
    </xf>
    <xf numFmtId="167" fontId="15" fillId="0" borderId="14" xfId="34" applyNumberFormat="1" applyFont="1" applyFill="1" applyBorder="1" applyAlignment="1">
      <alignment horizontal="right" vertical="center" wrapText="1"/>
    </xf>
    <xf numFmtId="0" fontId="8" fillId="0" borderId="30" xfId="3" applyFont="1" applyFill="1" applyBorder="1"/>
    <xf numFmtId="166" fontId="20" fillId="0" borderId="14" xfId="3" applyNumberFormat="1" applyFont="1" applyFill="1" applyBorder="1" applyAlignment="1">
      <alignment vertical="center"/>
    </xf>
    <xf numFmtId="167" fontId="8" fillId="0" borderId="14" xfId="34" applyNumberFormat="1" applyFont="1" applyFill="1" applyBorder="1" applyAlignment="1">
      <alignment vertical="center"/>
    </xf>
    <xf numFmtId="166" fontId="11" fillId="0" borderId="14" xfId="34" applyNumberFormat="1" applyFont="1" applyFill="1" applyBorder="1" applyAlignment="1">
      <alignment vertical="center"/>
    </xf>
    <xf numFmtId="166" fontId="11" fillId="0" borderId="14" xfId="34" applyNumberFormat="1" applyFont="1" applyFill="1" applyBorder="1" applyAlignment="1">
      <alignment horizontal="left" vertical="center" wrapText="1"/>
    </xf>
    <xf numFmtId="168" fontId="11" fillId="0" borderId="13" xfId="3" applyNumberFormat="1" applyFont="1" applyFill="1" applyBorder="1" applyAlignment="1">
      <alignment horizontal="right" vertical="center" wrapText="1"/>
    </xf>
    <xf numFmtId="168" fontId="11" fillId="0" borderId="10" xfId="3" applyNumberFormat="1" applyFont="1" applyFill="1" applyBorder="1" applyAlignment="1">
      <alignment horizontal="right" vertical="center" wrapText="1"/>
    </xf>
    <xf numFmtId="168" fontId="8" fillId="0" borderId="13" xfId="3" applyNumberFormat="1" applyFont="1" applyFill="1" applyBorder="1"/>
    <xf numFmtId="168" fontId="10" fillId="0" borderId="10" xfId="3" applyNumberFormat="1" applyFont="1" applyFill="1" applyBorder="1" applyAlignment="1">
      <alignment horizontal="right" vertical="center" wrapText="1"/>
    </xf>
    <xf numFmtId="168" fontId="11" fillId="0" borderId="14" xfId="3" applyNumberFormat="1" applyFont="1" applyFill="1" applyBorder="1" applyAlignment="1">
      <alignment horizontal="right" vertical="center"/>
    </xf>
    <xf numFmtId="166" fontId="13" fillId="0" borderId="30" xfId="34" applyNumberFormat="1" applyFont="1" applyFill="1" applyBorder="1" applyAlignment="1">
      <alignment horizontal="right"/>
    </xf>
    <xf numFmtId="166" fontId="8" fillId="0" borderId="14" xfId="34" applyNumberFormat="1" applyFont="1" applyFill="1" applyBorder="1" applyAlignment="1">
      <alignment horizontal="right"/>
    </xf>
    <xf numFmtId="174" fontId="10" fillId="0" borderId="14" xfId="24" applyNumberFormat="1" applyFont="1" applyFill="1" applyBorder="1" applyAlignment="1">
      <alignment horizontal="right" vertical="center" wrapText="1"/>
    </xf>
    <xf numFmtId="174" fontId="10" fillId="0" borderId="10" xfId="24" applyNumberFormat="1" applyFont="1" applyFill="1" applyBorder="1" applyAlignment="1">
      <alignment horizontal="right" vertical="center" wrapText="1"/>
    </xf>
    <xf numFmtId="166" fontId="15" fillId="0" borderId="69" xfId="34" applyNumberFormat="1" applyFont="1" applyFill="1" applyBorder="1" applyAlignment="1">
      <alignment horizontal="center" vertical="center"/>
    </xf>
    <xf numFmtId="168" fontId="15" fillId="0" borderId="19" xfId="34" applyNumberFormat="1" applyFont="1" applyFill="1" applyBorder="1" applyAlignment="1">
      <alignment horizontal="right" vertical="center"/>
    </xf>
    <xf numFmtId="167" fontId="15" fillId="0" borderId="19" xfId="34" applyNumberFormat="1" applyFont="1" applyFill="1" applyBorder="1" applyAlignment="1">
      <alignment horizontal="center" vertical="center"/>
    </xf>
    <xf numFmtId="167" fontId="15" fillId="0" borderId="19" xfId="34" applyNumberFormat="1" applyFont="1" applyFill="1" applyBorder="1" applyAlignment="1">
      <alignment vertical="center" wrapText="1"/>
    </xf>
    <xf numFmtId="167" fontId="10" fillId="0" borderId="19" xfId="34" applyNumberFormat="1" applyFont="1" applyFill="1" applyBorder="1" applyAlignment="1">
      <alignment horizontal="right" vertical="center" wrapText="1"/>
    </xf>
    <xf numFmtId="167" fontId="12" fillId="0" borderId="19" xfId="34" applyNumberFormat="1" applyFont="1" applyFill="1" applyBorder="1" applyAlignment="1">
      <alignment horizontal="right" vertical="center" wrapText="1"/>
    </xf>
    <xf numFmtId="166" fontId="10" fillId="0" borderId="19" xfId="34" applyNumberFormat="1" applyFont="1" applyFill="1" applyBorder="1" applyAlignment="1">
      <alignment horizontal="right" vertical="center" wrapText="1"/>
    </xf>
    <xf numFmtId="166" fontId="15" fillId="0" borderId="19" xfId="34" applyNumberFormat="1" applyFont="1" applyFill="1" applyBorder="1" applyAlignment="1">
      <alignment horizontal="right" vertical="center" wrapText="1"/>
    </xf>
    <xf numFmtId="168" fontId="15" fillId="0" borderId="19" xfId="3" applyNumberFormat="1" applyFont="1" applyFill="1" applyBorder="1" applyAlignment="1">
      <alignment vertical="center" wrapText="1"/>
    </xf>
    <xf numFmtId="49" fontId="15" fillId="0" borderId="19" xfId="3" applyNumberFormat="1" applyFont="1" applyFill="1" applyBorder="1" applyAlignment="1">
      <alignment vertical="center" wrapText="1"/>
    </xf>
    <xf numFmtId="166" fontId="12" fillId="0" borderId="19" xfId="34" applyNumberFormat="1" applyFont="1" applyFill="1" applyBorder="1" applyAlignment="1">
      <alignment horizontal="right" vertical="center" wrapText="1"/>
    </xf>
    <xf numFmtId="166" fontId="11" fillId="0" borderId="19" xfId="34" applyNumberFormat="1" applyFont="1" applyFill="1" applyBorder="1" applyAlignment="1">
      <alignment horizontal="right" vertical="center" wrapText="1"/>
    </xf>
    <xf numFmtId="167" fontId="11" fillId="0" borderId="19" xfId="34" applyNumberFormat="1" applyFont="1" applyFill="1" applyBorder="1" applyAlignment="1">
      <alignment horizontal="right" vertical="center" wrapText="1"/>
    </xf>
    <xf numFmtId="167" fontId="95" fillId="0" borderId="19" xfId="34" applyNumberFormat="1" applyFont="1" applyFill="1" applyBorder="1" applyAlignment="1">
      <alignment horizontal="right" vertical="center" wrapText="1"/>
    </xf>
    <xf numFmtId="168" fontId="15" fillId="0" borderId="70" xfId="3" applyNumberFormat="1" applyFont="1" applyFill="1" applyBorder="1" applyAlignment="1">
      <alignment vertical="center" wrapText="1"/>
    </xf>
    <xf numFmtId="167" fontId="11" fillId="0" borderId="19" xfId="37" applyNumberFormat="1" applyFont="1" applyFill="1" applyBorder="1" applyAlignment="1">
      <alignment horizontal="left" vertical="center" wrapText="1"/>
    </xf>
    <xf numFmtId="167" fontId="10" fillId="0" borderId="71" xfId="34" applyNumberFormat="1" applyFont="1" applyFill="1" applyBorder="1" applyAlignment="1">
      <alignment horizontal="right" vertical="center" wrapText="1"/>
    </xf>
    <xf numFmtId="168" fontId="10" fillId="0" borderId="19" xfId="3" applyNumberFormat="1" applyFont="1" applyFill="1" applyBorder="1" applyAlignment="1">
      <alignment vertical="center" wrapText="1"/>
    </xf>
    <xf numFmtId="168" fontId="10" fillId="0" borderId="19" xfId="38" applyNumberFormat="1" applyFont="1" applyFill="1" applyBorder="1" applyAlignment="1">
      <alignment horizontal="right" vertical="center" wrapText="1"/>
    </xf>
    <xf numFmtId="167" fontId="15" fillId="0" borderId="19" xfId="34" applyNumberFormat="1" applyFont="1" applyFill="1" applyBorder="1" applyAlignment="1">
      <alignment horizontal="right" vertical="center" wrapText="1"/>
    </xf>
    <xf numFmtId="168" fontId="15" fillId="0" borderId="19" xfId="0" applyNumberFormat="1" applyFont="1" applyFill="1" applyBorder="1" applyAlignment="1">
      <alignment horizontal="right" vertical="center" wrapText="1"/>
    </xf>
    <xf numFmtId="168" fontId="10" fillId="0" borderId="19" xfId="0" applyNumberFormat="1" applyFont="1" applyFill="1" applyBorder="1" applyAlignment="1">
      <alignment horizontal="right" vertical="center" wrapText="1"/>
    </xf>
    <xf numFmtId="49" fontId="10" fillId="0" borderId="19" xfId="3" applyNumberFormat="1" applyFont="1" applyFill="1" applyBorder="1" applyAlignment="1">
      <alignment vertical="center" wrapText="1"/>
    </xf>
    <xf numFmtId="168" fontId="15" fillId="0" borderId="19" xfId="34" applyNumberFormat="1" applyFont="1" applyFill="1" applyBorder="1" applyAlignment="1" applyProtection="1">
      <alignment horizontal="right" vertical="center" wrapText="1"/>
      <protection locked="0"/>
    </xf>
    <xf numFmtId="168" fontId="12" fillId="0" borderId="19" xfId="34" applyNumberFormat="1" applyFont="1" applyFill="1" applyBorder="1" applyAlignment="1">
      <alignment horizontal="right" vertical="center" wrapText="1"/>
    </xf>
    <xf numFmtId="168" fontId="11" fillId="0" borderId="19" xfId="34" applyNumberFormat="1" applyFont="1" applyFill="1" applyBorder="1" applyAlignment="1">
      <alignment horizontal="right" vertical="center" wrapText="1"/>
    </xf>
    <xf numFmtId="167" fontId="11" fillId="0" borderId="19" xfId="1" applyNumberFormat="1" applyFont="1" applyFill="1" applyBorder="1" applyAlignment="1">
      <alignment horizontal="right" vertical="center" wrapText="1"/>
    </xf>
    <xf numFmtId="166" fontId="11" fillId="0" borderId="19" xfId="3" applyNumberFormat="1" applyFont="1" applyFill="1" applyBorder="1"/>
    <xf numFmtId="168" fontId="15" fillId="0" borderId="19" xfId="34" applyNumberFormat="1" applyFont="1" applyFill="1" applyBorder="1" applyAlignment="1">
      <alignment horizontal="right" vertical="center" wrapText="1"/>
    </xf>
    <xf numFmtId="168" fontId="10" fillId="0" borderId="71" xfId="3" applyNumberFormat="1" applyFont="1" applyFill="1" applyBorder="1" applyAlignment="1">
      <alignment horizontal="right" vertical="center" wrapText="1"/>
    </xf>
    <xf numFmtId="166" fontId="11" fillId="0" borderId="19" xfId="24" applyNumberFormat="1" applyFont="1" applyFill="1" applyBorder="1" applyAlignment="1">
      <alignment horizontal="right"/>
    </xf>
    <xf numFmtId="0" fontId="18" fillId="0" borderId="72" xfId="3" applyFont="1" applyFill="1" applyBorder="1"/>
    <xf numFmtId="0" fontId="8" fillId="0" borderId="72" xfId="3" applyFont="1" applyFill="1" applyBorder="1"/>
    <xf numFmtId="168" fontId="11" fillId="0" borderId="19" xfId="3" applyNumberFormat="1" applyFont="1" applyFill="1" applyBorder="1" applyAlignment="1">
      <alignment horizontal="right" vertical="center" wrapText="1"/>
    </xf>
    <xf numFmtId="168" fontId="12" fillId="0" borderId="19" xfId="3" applyNumberFormat="1" applyFont="1" applyFill="1" applyBorder="1" applyAlignment="1">
      <alignment horizontal="right" vertical="center" wrapText="1"/>
    </xf>
    <xf numFmtId="167" fontId="10" fillId="0" borderId="19" xfId="34" applyNumberFormat="1" applyFont="1" applyFill="1" applyBorder="1" applyAlignment="1">
      <alignment vertical="center" wrapText="1"/>
    </xf>
    <xf numFmtId="167" fontId="15" fillId="0" borderId="71" xfId="34" applyNumberFormat="1" applyFont="1" applyFill="1" applyBorder="1" applyAlignment="1">
      <alignment vertical="center" wrapText="1"/>
    </xf>
    <xf numFmtId="167" fontId="10" fillId="0" borderId="71" xfId="34" applyNumberFormat="1" applyFont="1" applyFill="1" applyBorder="1" applyAlignment="1">
      <alignment vertical="center" wrapText="1"/>
    </xf>
    <xf numFmtId="168" fontId="12" fillId="0" borderId="71" xfId="3" applyNumberFormat="1" applyFont="1" applyFill="1" applyBorder="1" applyAlignment="1">
      <alignment horizontal="right" vertical="center" wrapText="1"/>
    </xf>
    <xf numFmtId="166" fontId="12" fillId="0" borderId="19" xfId="34" applyNumberFormat="1" applyFont="1" applyFill="1" applyBorder="1" applyAlignment="1">
      <alignment horizontal="right"/>
    </xf>
    <xf numFmtId="166" fontId="11" fillId="0" borderId="19" xfId="34" applyNumberFormat="1" applyFont="1" applyFill="1" applyBorder="1" applyAlignment="1">
      <alignment horizontal="right"/>
    </xf>
    <xf numFmtId="166" fontId="15" fillId="0" borderId="71" xfId="34" applyNumberFormat="1" applyFont="1" applyFill="1" applyBorder="1" applyAlignment="1">
      <alignment horizontal="right" vertical="center" wrapText="1"/>
    </xf>
    <xf numFmtId="166" fontId="10" fillId="0" borderId="71" xfId="34" applyNumberFormat="1" applyFont="1" applyFill="1" applyBorder="1" applyAlignment="1">
      <alignment horizontal="right" vertical="center" wrapText="1"/>
    </xf>
    <xf numFmtId="166" fontId="12" fillId="0" borderId="71" xfId="34" applyNumberFormat="1" applyFont="1" applyFill="1" applyBorder="1" applyAlignment="1">
      <alignment horizontal="right"/>
    </xf>
    <xf numFmtId="167" fontId="15" fillId="0" borderId="71" xfId="34" applyNumberFormat="1" applyFont="1" applyFill="1" applyBorder="1" applyAlignment="1">
      <alignment horizontal="right" vertical="center" wrapText="1"/>
    </xf>
    <xf numFmtId="167" fontId="10" fillId="0" borderId="66" xfId="34" applyNumberFormat="1" applyFont="1" applyFill="1" applyBorder="1" applyAlignment="1">
      <alignment horizontal="right" vertical="center" wrapText="1"/>
    </xf>
    <xf numFmtId="166" fontId="15" fillId="0" borderId="68" xfId="34" applyNumberFormat="1" applyFont="1" applyFill="1" applyBorder="1" applyAlignment="1">
      <alignment horizontal="center" vertical="center"/>
    </xf>
    <xf numFmtId="168" fontId="15" fillId="0" borderId="13" xfId="34" applyNumberFormat="1" applyFont="1" applyFill="1" applyBorder="1" applyAlignment="1">
      <alignment horizontal="right" vertical="center"/>
    </xf>
    <xf numFmtId="167" fontId="15" fillId="0" borderId="13" xfId="34" applyNumberFormat="1" applyFont="1" applyFill="1" applyBorder="1" applyAlignment="1">
      <alignment vertical="center" wrapText="1"/>
    </xf>
    <xf numFmtId="49" fontId="15" fillId="0" borderId="14" xfId="3" applyNumberFormat="1" applyFont="1" applyFill="1" applyBorder="1" applyAlignment="1">
      <alignment vertical="center" wrapText="1"/>
    </xf>
    <xf numFmtId="167" fontId="95" fillId="0" borderId="14" xfId="34" applyNumberFormat="1" applyFont="1" applyFill="1" applyBorder="1" applyAlignment="1">
      <alignment horizontal="right" vertical="center" wrapText="1"/>
    </xf>
    <xf numFmtId="167" fontId="11" fillId="0" borderId="14" xfId="37" applyNumberFormat="1" applyFont="1" applyFill="1" applyBorder="1" applyAlignment="1">
      <alignment horizontal="left" vertical="center" wrapText="1"/>
    </xf>
    <xf numFmtId="167" fontId="10" fillId="0" borderId="30" xfId="34" applyNumberFormat="1" applyFont="1" applyFill="1" applyBorder="1" applyAlignment="1">
      <alignment horizontal="right" vertical="center" wrapText="1"/>
    </xf>
    <xf numFmtId="168" fontId="10" fillId="0" borderId="14" xfId="38" applyNumberFormat="1" applyFont="1" applyFill="1" applyBorder="1" applyAlignment="1">
      <alignment horizontal="right" vertical="center" wrapText="1"/>
    </xf>
    <xf numFmtId="168" fontId="15" fillId="0" borderId="14" xfId="0" applyNumberFormat="1" applyFont="1" applyFill="1" applyBorder="1" applyAlignment="1">
      <alignment horizontal="right" vertical="center" wrapText="1"/>
    </xf>
    <xf numFmtId="168" fontId="10" fillId="0" borderId="14" xfId="0" applyNumberFormat="1" applyFont="1" applyFill="1" applyBorder="1" applyAlignment="1">
      <alignment horizontal="right" vertical="center" wrapText="1"/>
    </xf>
    <xf numFmtId="49" fontId="10" fillId="0" borderId="14" xfId="3" applyNumberFormat="1" applyFont="1" applyFill="1" applyBorder="1" applyAlignment="1">
      <alignment vertical="center" wrapText="1"/>
    </xf>
    <xf numFmtId="168" fontId="15" fillId="0" borderId="14" xfId="34" applyNumberFormat="1" applyFont="1" applyFill="1" applyBorder="1" applyAlignment="1" applyProtection="1">
      <alignment horizontal="right" vertical="center" wrapText="1"/>
      <protection locked="0"/>
    </xf>
    <xf numFmtId="168" fontId="12" fillId="0" borderId="14" xfId="34" applyNumberFormat="1" applyFont="1" applyFill="1" applyBorder="1" applyAlignment="1">
      <alignment horizontal="right" vertical="center" wrapText="1"/>
    </xf>
    <xf numFmtId="168" fontId="11" fillId="0" borderId="14" xfId="34" applyNumberFormat="1" applyFont="1" applyFill="1" applyBorder="1" applyAlignment="1">
      <alignment horizontal="right" vertical="center" wrapText="1"/>
    </xf>
    <xf numFmtId="167" fontId="11" fillId="0" borderId="14" xfId="1" applyNumberFormat="1" applyFont="1" applyFill="1" applyBorder="1" applyAlignment="1">
      <alignment horizontal="right" vertical="center" wrapText="1"/>
    </xf>
    <xf numFmtId="168" fontId="95" fillId="0" borderId="14" xfId="34" applyNumberFormat="1" applyFont="1" applyFill="1" applyBorder="1" applyAlignment="1">
      <alignment horizontal="right" vertical="center" wrapText="1"/>
    </xf>
    <xf numFmtId="166" fontId="11" fillId="0" borderId="14" xfId="3" applyNumberFormat="1" applyFont="1" applyFill="1" applyBorder="1"/>
    <xf numFmtId="168" fontId="15" fillId="0" borderId="14" xfId="34" applyNumberFormat="1" applyFont="1" applyFill="1" applyBorder="1" applyAlignment="1">
      <alignment horizontal="right" vertical="center" wrapText="1"/>
    </xf>
    <xf numFmtId="166" fontId="11" fillId="0" borderId="14" xfId="24" applyNumberFormat="1" applyFont="1" applyFill="1" applyBorder="1" applyAlignment="1">
      <alignment horizontal="right"/>
    </xf>
    <xf numFmtId="168" fontId="12" fillId="0" borderId="13" xfId="3" applyNumberFormat="1" applyFont="1" applyFill="1" applyBorder="1" applyAlignment="1">
      <alignment horizontal="right" vertical="center" wrapText="1"/>
    </xf>
    <xf numFmtId="167" fontId="10" fillId="0" borderId="14" xfId="34" applyNumberFormat="1" applyFont="1" applyFill="1" applyBorder="1" applyAlignment="1">
      <alignment vertical="center" wrapText="1"/>
    </xf>
    <xf numFmtId="167" fontId="15" fillId="0" borderId="10" xfId="34" applyNumberFormat="1" applyFont="1" applyFill="1" applyBorder="1" applyAlignment="1">
      <alignment vertical="center" wrapText="1"/>
    </xf>
    <xf numFmtId="167" fontId="10" fillId="0" borderId="10" xfId="34" applyNumberFormat="1" applyFont="1" applyFill="1" applyBorder="1" applyAlignment="1">
      <alignment vertical="center" wrapText="1"/>
    </xf>
    <xf numFmtId="168" fontId="12" fillId="0" borderId="10" xfId="3" applyNumberFormat="1" applyFont="1" applyFill="1" applyBorder="1" applyAlignment="1">
      <alignment horizontal="right" vertical="center" wrapText="1"/>
    </xf>
    <xf numFmtId="166" fontId="12" fillId="0" borderId="14" xfId="34" applyNumberFormat="1" applyFont="1" applyFill="1" applyBorder="1" applyAlignment="1">
      <alignment horizontal="right"/>
    </xf>
    <xf numFmtId="166" fontId="11" fillId="0" borderId="14" xfId="34" applyNumberFormat="1" applyFont="1" applyFill="1" applyBorder="1" applyAlignment="1">
      <alignment horizontal="right"/>
    </xf>
    <xf numFmtId="166" fontId="10" fillId="0" borderId="30" xfId="34" applyNumberFormat="1" applyFont="1" applyFill="1" applyBorder="1" applyAlignment="1">
      <alignment horizontal="right" vertical="center" wrapText="1"/>
    </xf>
    <xf numFmtId="166" fontId="12" fillId="0" borderId="30" xfId="34" applyNumberFormat="1" applyFont="1" applyFill="1" applyBorder="1" applyAlignment="1">
      <alignment horizontal="right"/>
    </xf>
    <xf numFmtId="167" fontId="15" fillId="0" borderId="30" xfId="34" applyNumberFormat="1" applyFont="1" applyFill="1" applyBorder="1" applyAlignment="1">
      <alignment horizontal="right" vertical="center" wrapText="1"/>
    </xf>
    <xf numFmtId="168" fontId="95" fillId="0" borderId="19" xfId="34" applyNumberFormat="1" applyFont="1" applyFill="1" applyBorder="1" applyAlignment="1">
      <alignment horizontal="right" vertical="center" wrapText="1"/>
    </xf>
    <xf numFmtId="168" fontId="97" fillId="0" borderId="9" xfId="5" applyNumberFormat="1" applyFont="1" applyFill="1" applyBorder="1" applyAlignment="1">
      <alignment horizontal="right" vertical="center" wrapText="1"/>
    </xf>
    <xf numFmtId="168" fontId="98" fillId="0" borderId="7" xfId="5" applyNumberFormat="1" applyFont="1" applyFill="1" applyBorder="1" applyAlignment="1">
      <alignment horizontal="right" vertical="center" wrapText="1"/>
    </xf>
    <xf numFmtId="168" fontId="98" fillId="0" borderId="9" xfId="5" applyNumberFormat="1" applyFont="1" applyFill="1" applyBorder="1" applyAlignment="1">
      <alignment horizontal="right" vertical="center" wrapText="1"/>
    </xf>
    <xf numFmtId="0" fontId="99" fillId="0" borderId="0" xfId="3" applyFont="1" applyFill="1"/>
    <xf numFmtId="49" fontId="49" fillId="0" borderId="73" xfId="5" applyNumberFormat="1" applyFont="1" applyFill="1" applyBorder="1" applyAlignment="1">
      <alignment horizontal="center" vertical="center" wrapText="1"/>
    </xf>
    <xf numFmtId="49" fontId="12" fillId="0" borderId="58" xfId="5" applyNumberFormat="1" applyFont="1" applyFill="1" applyBorder="1" applyAlignment="1">
      <alignment horizontal="center" vertical="center" wrapText="1"/>
    </xf>
    <xf numFmtId="49" fontId="49" fillId="0" borderId="30" xfId="5" applyNumberFormat="1" applyFont="1" applyFill="1" applyBorder="1" applyAlignment="1">
      <alignment horizontal="center" vertical="center" wrapText="1"/>
    </xf>
    <xf numFmtId="49" fontId="49" fillId="0" borderId="14" xfId="5" applyNumberFormat="1" applyFont="1" applyFill="1" applyBorder="1" applyAlignment="1">
      <alignment horizontal="center" vertical="center" wrapText="1"/>
    </xf>
    <xf numFmtId="49" fontId="50" fillId="0" borderId="14" xfId="5" applyNumberFormat="1" applyFont="1" applyFill="1" applyBorder="1" applyAlignment="1">
      <alignment horizontal="center" vertical="center" wrapText="1"/>
    </xf>
    <xf numFmtId="49" fontId="50" fillId="0" borderId="65" xfId="5" applyNumberFormat="1" applyFont="1" applyFill="1" applyBorder="1" applyAlignment="1">
      <alignment horizontal="center" vertical="center" wrapText="1"/>
    </xf>
    <xf numFmtId="49" fontId="50" fillId="0" borderId="14" xfId="14" applyNumberFormat="1" applyFont="1" applyFill="1" applyBorder="1" applyAlignment="1">
      <alignment horizontal="center" vertical="center" wrapText="1"/>
    </xf>
    <xf numFmtId="49" fontId="49" fillId="0" borderId="14" xfId="12" applyNumberFormat="1" applyFont="1" applyFill="1" applyBorder="1" applyAlignment="1" applyProtection="1">
      <alignment horizontal="center" vertical="center" wrapText="1"/>
    </xf>
    <xf numFmtId="49" fontId="50" fillId="0" borderId="14" xfId="12" applyNumberFormat="1" applyFont="1" applyFill="1" applyBorder="1" applyAlignment="1" applyProtection="1">
      <alignment horizontal="center" vertical="center" wrapText="1"/>
    </xf>
    <xf numFmtId="49" fontId="13" fillId="0" borderId="14" xfId="5" applyNumberFormat="1" applyFont="1" applyFill="1" applyBorder="1" applyAlignment="1">
      <alignment horizontal="center" vertical="center" wrapText="1"/>
    </xf>
    <xf numFmtId="49" fontId="84" fillId="0" borderId="14" xfId="5" applyNumberFormat="1" applyFont="1" applyFill="1" applyBorder="1" applyAlignment="1">
      <alignment horizontal="center" vertical="center" wrapText="1"/>
    </xf>
    <xf numFmtId="49" fontId="8" fillId="0" borderId="14" xfId="0" applyNumberFormat="1" applyFont="1" applyFill="1" applyBorder="1" applyAlignment="1">
      <alignment horizontal="center" vertical="center" wrapText="1"/>
    </xf>
    <xf numFmtId="49" fontId="50" fillId="0" borderId="14" xfId="0" applyNumberFormat="1" applyFont="1" applyFill="1" applyBorder="1" applyAlignment="1">
      <alignment horizontal="center" vertical="center" wrapText="1"/>
    </xf>
    <xf numFmtId="49" fontId="50" fillId="0" borderId="50" xfId="5" applyNumberFormat="1" applyFont="1" applyFill="1" applyBorder="1" applyAlignment="1">
      <alignment horizontal="center" vertical="center" wrapText="1"/>
    </xf>
    <xf numFmtId="49" fontId="50" fillId="0" borderId="74" xfId="5" applyNumberFormat="1" applyFont="1" applyFill="1" applyBorder="1" applyAlignment="1">
      <alignment horizontal="center" vertical="center" wrapText="1"/>
    </xf>
    <xf numFmtId="168" fontId="49" fillId="0" borderId="67" xfId="5" applyNumberFormat="1" applyFont="1" applyFill="1" applyBorder="1" applyAlignment="1">
      <alignment horizontal="center" vertical="center" wrapText="1"/>
    </xf>
    <xf numFmtId="168" fontId="76" fillId="0" borderId="72" xfId="5" applyNumberFormat="1" applyFont="1" applyFill="1" applyBorder="1" applyAlignment="1">
      <alignment horizontal="right" vertical="center" wrapText="1"/>
    </xf>
    <xf numFmtId="168" fontId="76" fillId="0" borderId="67" xfId="5" applyNumberFormat="1" applyFont="1" applyFill="1" applyBorder="1" applyAlignment="1">
      <alignment horizontal="right" vertical="center" wrapText="1"/>
    </xf>
    <xf numFmtId="168" fontId="76" fillId="0" borderId="71" xfId="5" applyNumberFormat="1" applyFont="1" applyFill="1" applyBorder="1" applyAlignment="1">
      <alignment horizontal="right" vertical="center" wrapText="1"/>
    </xf>
    <xf numFmtId="168" fontId="76" fillId="0" borderId="19" xfId="5" applyNumberFormat="1" applyFont="1" applyFill="1" applyBorder="1" applyAlignment="1">
      <alignment horizontal="right" vertical="center"/>
    </xf>
    <xf numFmtId="168" fontId="17" fillId="0" borderId="19" xfId="5" applyNumberFormat="1" applyFont="1" applyFill="1" applyBorder="1" applyAlignment="1">
      <alignment horizontal="right" vertical="center"/>
    </xf>
    <xf numFmtId="179" fontId="76" fillId="0" borderId="19" xfId="5" applyNumberFormat="1" applyFont="1" applyFill="1" applyBorder="1" applyAlignment="1">
      <alignment horizontal="right" vertical="center"/>
    </xf>
    <xf numFmtId="167" fontId="17" fillId="0" borderId="19" xfId="34" applyNumberFormat="1" applyFont="1" applyFill="1" applyBorder="1" applyAlignment="1">
      <alignment horizontal="right" vertical="center" wrapText="1"/>
    </xf>
    <xf numFmtId="168" fontId="17" fillId="0" borderId="70" xfId="5" applyNumberFormat="1" applyFont="1" applyFill="1" applyBorder="1" applyAlignment="1">
      <alignment horizontal="right" vertical="center"/>
    </xf>
    <xf numFmtId="168" fontId="17" fillId="0" borderId="19" xfId="5" applyNumberFormat="1" applyFont="1" applyFill="1" applyBorder="1" applyAlignment="1">
      <alignment horizontal="right" vertical="center" wrapText="1"/>
    </xf>
    <xf numFmtId="168" fontId="76" fillId="0" borderId="19" xfId="5" applyNumberFormat="1" applyFont="1" applyFill="1" applyBorder="1" applyAlignment="1">
      <alignment horizontal="right" vertical="center" wrapText="1"/>
    </xf>
    <xf numFmtId="168" fontId="76" fillId="0" borderId="19" xfId="14" applyNumberFormat="1" applyFont="1" applyFill="1" applyBorder="1" applyAlignment="1">
      <alignment horizontal="right" vertical="center"/>
    </xf>
    <xf numFmtId="168" fontId="75" fillId="0" borderId="19" xfId="0" applyNumberFormat="1" applyFont="1" applyFill="1" applyBorder="1" applyAlignment="1">
      <alignment horizontal="right" vertical="center" wrapText="1"/>
    </xf>
    <xf numFmtId="168" fontId="17" fillId="0" borderId="19" xfId="14" applyNumberFormat="1" applyFont="1" applyFill="1" applyBorder="1" applyAlignment="1">
      <alignment horizontal="right" vertical="center"/>
    </xf>
    <xf numFmtId="168" fontId="97" fillId="0" borderId="19" xfId="5" applyNumberFormat="1" applyFont="1" applyFill="1" applyBorder="1" applyAlignment="1">
      <alignment horizontal="right" vertical="center" wrapText="1"/>
    </xf>
    <xf numFmtId="168" fontId="17" fillId="0" borderId="70" xfId="5" applyNumberFormat="1" applyFont="1" applyFill="1" applyBorder="1" applyAlignment="1">
      <alignment horizontal="right" vertical="center" wrapText="1"/>
    </xf>
    <xf numFmtId="168" fontId="17" fillId="0" borderId="66" xfId="5" applyNumberFormat="1" applyFont="1" applyFill="1" applyBorder="1" applyAlignment="1">
      <alignment horizontal="right" vertical="center" wrapText="1"/>
    </xf>
    <xf numFmtId="0" fontId="35" fillId="0" borderId="0" xfId="7" applyFont="1" applyFill="1" applyAlignment="1">
      <alignment horizontal="right"/>
    </xf>
    <xf numFmtId="168" fontId="52" fillId="8" borderId="1" xfId="25" applyNumberFormat="1" applyFont="1" applyFill="1" applyBorder="1" applyAlignment="1"/>
    <xf numFmtId="168" fontId="52" fillId="8" borderId="1" xfId="7" applyNumberFormat="1" applyFont="1" applyFill="1" applyBorder="1" applyAlignment="1"/>
    <xf numFmtId="168" fontId="31" fillId="8" borderId="47" xfId="7" applyNumberFormat="1" applyFont="1" applyFill="1" applyBorder="1" applyAlignment="1">
      <alignment horizontal="right" vertical="distributed"/>
    </xf>
    <xf numFmtId="43" fontId="54" fillId="8" borderId="45" xfId="26" applyFont="1" applyFill="1" applyBorder="1" applyAlignment="1">
      <alignment horizontal="right"/>
    </xf>
    <xf numFmtId="168" fontId="52" fillId="8" borderId="47" xfId="7" applyNumberFormat="1" applyFont="1" applyFill="1" applyBorder="1" applyAlignment="1">
      <alignment horizontal="center"/>
    </xf>
    <xf numFmtId="176" fontId="31" fillId="8" borderId="47" xfId="26" applyNumberFormat="1" applyFont="1" applyFill="1" applyBorder="1" applyAlignment="1">
      <alignment horizontal="right" vertical="distributed"/>
    </xf>
    <xf numFmtId="167" fontId="8" fillId="0" borderId="0" xfId="1" applyNumberFormat="1" applyFont="1" applyFill="1" applyBorder="1"/>
    <xf numFmtId="0" fontId="8" fillId="8" borderId="0" xfId="3" applyFont="1" applyFill="1" applyBorder="1"/>
    <xf numFmtId="176" fontId="31" fillId="8" borderId="46" xfId="26" applyNumberFormat="1" applyFont="1" applyFill="1" applyBorder="1" applyAlignment="1">
      <alignment horizontal="right" vertical="distributed"/>
    </xf>
    <xf numFmtId="168" fontId="31" fillId="0" borderId="46" xfId="7" applyNumberFormat="1" applyFont="1" applyFill="1" applyBorder="1" applyAlignment="1">
      <alignment horizontal="right" vertical="distributed"/>
    </xf>
    <xf numFmtId="168" fontId="31" fillId="8" borderId="46" xfId="7" applyNumberFormat="1" applyFont="1" applyFill="1" applyBorder="1" applyAlignment="1">
      <alignment horizontal="right" vertical="distributed"/>
    </xf>
    <xf numFmtId="166" fontId="7" fillId="8" borderId="1" xfId="7" applyNumberFormat="1" applyFill="1" applyBorder="1" applyAlignment="1">
      <alignment horizontal="center" vertical="center"/>
    </xf>
    <xf numFmtId="178" fontId="7" fillId="10" borderId="1" xfId="7" applyNumberFormat="1" applyFill="1" applyBorder="1"/>
    <xf numFmtId="178" fontId="7" fillId="0" borderId="1" xfId="7" applyNumberFormat="1" applyFill="1" applyBorder="1"/>
    <xf numFmtId="49" fontId="49" fillId="8" borderId="1" xfId="5" applyNumberFormat="1" applyFont="1" applyFill="1" applyBorder="1" applyAlignment="1">
      <alignment horizontal="center" vertical="center" wrapText="1"/>
    </xf>
    <xf numFmtId="49" fontId="50" fillId="8" borderId="1" xfId="5" applyNumberFormat="1" applyFont="1" applyFill="1" applyBorder="1" applyAlignment="1">
      <alignment horizontal="center" vertical="center" wrapText="1"/>
    </xf>
    <xf numFmtId="49" fontId="50" fillId="8" borderId="14" xfId="5" applyNumberFormat="1" applyFont="1" applyFill="1" applyBorder="1" applyAlignment="1">
      <alignment horizontal="center" vertical="center" wrapText="1"/>
    </xf>
    <xf numFmtId="168" fontId="76" fillId="8" borderId="19" xfId="5" applyNumberFormat="1" applyFont="1" applyFill="1" applyBorder="1" applyAlignment="1">
      <alignment horizontal="right" vertical="center" wrapText="1"/>
    </xf>
    <xf numFmtId="168" fontId="41" fillId="8" borderId="7" xfId="5" applyNumberFormat="1" applyFont="1" applyFill="1" applyBorder="1" applyAlignment="1">
      <alignment horizontal="right" vertical="center" wrapText="1"/>
    </xf>
    <xf numFmtId="168" fontId="41" fillId="8" borderId="9" xfId="5" applyNumberFormat="1" applyFont="1" applyFill="1" applyBorder="1" applyAlignment="1">
      <alignment horizontal="right" vertical="center" wrapText="1"/>
    </xf>
    <xf numFmtId="0" fontId="8" fillId="8" borderId="0" xfId="3" applyFont="1" applyFill="1"/>
    <xf numFmtId="168" fontId="76" fillId="8" borderId="9" xfId="5" applyNumberFormat="1" applyFont="1" applyFill="1" applyBorder="1" applyAlignment="1">
      <alignment horizontal="right" vertical="center" wrapText="1"/>
    </xf>
    <xf numFmtId="0" fontId="85" fillId="8" borderId="0" xfId="3" applyFont="1" applyFill="1"/>
    <xf numFmtId="168" fontId="17" fillId="8" borderId="19" xfId="5" applyNumberFormat="1" applyFont="1" applyFill="1" applyBorder="1" applyAlignment="1">
      <alignment horizontal="right" vertical="center" wrapText="1"/>
    </xf>
    <xf numFmtId="168" fontId="39" fillId="8" borderId="7" xfId="5" applyNumberFormat="1" applyFont="1" applyFill="1" applyBorder="1" applyAlignment="1">
      <alignment horizontal="right" vertical="center" wrapText="1"/>
    </xf>
    <xf numFmtId="168" fontId="39" fillId="8" borderId="9" xfId="5" applyNumberFormat="1" applyFont="1" applyFill="1" applyBorder="1" applyAlignment="1">
      <alignment horizontal="right" vertical="center" wrapText="1"/>
    </xf>
    <xf numFmtId="168" fontId="17" fillId="8" borderId="9" xfId="5" applyNumberFormat="1" applyFont="1" applyFill="1" applyBorder="1" applyAlignment="1">
      <alignment horizontal="right" vertical="center" wrapText="1"/>
    </xf>
    <xf numFmtId="49" fontId="49" fillId="8" borderId="1" xfId="14" applyNumberFormat="1" applyFont="1" applyFill="1" applyBorder="1" applyAlignment="1">
      <alignment horizontal="center" vertical="center" wrapText="1"/>
    </xf>
    <xf numFmtId="49" fontId="49" fillId="8" borderId="14" xfId="14" applyNumberFormat="1" applyFont="1" applyFill="1" applyBorder="1" applyAlignment="1">
      <alignment horizontal="center" vertical="center" wrapText="1"/>
    </xf>
    <xf numFmtId="49" fontId="50" fillId="8" borderId="1" xfId="14" applyNumberFormat="1" applyFont="1" applyFill="1" applyBorder="1" applyAlignment="1">
      <alignment horizontal="center" vertical="center" wrapText="1"/>
    </xf>
    <xf numFmtId="49" fontId="50" fillId="8" borderId="14" xfId="14" applyNumberFormat="1" applyFont="1" applyFill="1" applyBorder="1" applyAlignment="1">
      <alignment horizontal="center" vertical="center" wrapText="1"/>
    </xf>
    <xf numFmtId="167" fontId="8" fillId="8" borderId="0" xfId="1" applyNumberFormat="1" applyFont="1" applyFill="1"/>
    <xf numFmtId="167" fontId="8" fillId="10" borderId="0" xfId="1" applyNumberFormat="1" applyFont="1" applyFill="1"/>
    <xf numFmtId="0" fontId="35" fillId="0" borderId="0" xfId="7" applyFont="1" applyFill="1" applyAlignment="1">
      <alignment horizontal="right"/>
    </xf>
    <xf numFmtId="0" fontId="31" fillId="0" borderId="0" xfId="0" applyFont="1" applyFill="1" applyAlignment="1">
      <alignment horizontal="right" vertical="center"/>
    </xf>
    <xf numFmtId="0" fontId="31" fillId="0" borderId="47" xfId="7" applyFont="1" applyFill="1" applyBorder="1" applyAlignment="1">
      <alignment horizontal="center"/>
    </xf>
    <xf numFmtId="175" fontId="24" fillId="0" borderId="43" xfId="26" applyNumberFormat="1" applyFont="1" applyFill="1" applyBorder="1" applyAlignment="1">
      <alignment horizontal="right" vertical="distributed"/>
    </xf>
    <xf numFmtId="168" fontId="52" fillId="0" borderId="1" xfId="25" applyNumberFormat="1" applyFont="1" applyFill="1" applyBorder="1" applyAlignment="1"/>
    <xf numFmtId="175" fontId="54" fillId="0" borderId="43" xfId="26" applyNumberFormat="1" applyFont="1" applyFill="1" applyBorder="1" applyAlignment="1">
      <alignment horizontal="center"/>
    </xf>
    <xf numFmtId="168" fontId="52" fillId="0" borderId="1" xfId="7" applyNumberFormat="1" applyFont="1" applyFill="1" applyBorder="1" applyAlignment="1"/>
    <xf numFmtId="175" fontId="31" fillId="0" borderId="47" xfId="26" applyNumberFormat="1" applyFont="1" applyFill="1" applyBorder="1" applyAlignment="1">
      <alignment horizontal="right" vertical="distributed"/>
    </xf>
    <xf numFmtId="174" fontId="52" fillId="0" borderId="1" xfId="7" applyNumberFormat="1" applyFont="1" applyFill="1" applyBorder="1" applyAlignment="1"/>
    <xf numFmtId="0" fontId="31" fillId="0" borderId="46" xfId="7" applyFont="1" applyFill="1" applyBorder="1" applyAlignment="1">
      <alignment horizontal="center"/>
    </xf>
    <xf numFmtId="174" fontId="52" fillId="0" borderId="1" xfId="25" applyNumberFormat="1" applyFont="1" applyFill="1" applyBorder="1" applyAlignment="1"/>
    <xf numFmtId="168" fontId="52" fillId="0" borderId="2" xfId="25" applyNumberFormat="1" applyFont="1" applyFill="1" applyBorder="1" applyAlignment="1"/>
    <xf numFmtId="176" fontId="31" fillId="0" borderId="55" xfId="26" applyNumberFormat="1" applyFont="1" applyFill="1" applyBorder="1" applyAlignment="1">
      <alignment horizontal="distributed" vertical="distributed"/>
    </xf>
    <xf numFmtId="176" fontId="31" fillId="0" borderId="47" xfId="26" applyNumberFormat="1" applyFont="1" applyFill="1" applyBorder="1" applyAlignment="1">
      <alignment horizontal="right" vertical="distributed"/>
    </xf>
    <xf numFmtId="168" fontId="31" fillId="0" borderId="47" xfId="7" applyNumberFormat="1" applyFont="1" applyFill="1" applyBorder="1" applyAlignment="1">
      <alignment horizontal="right" vertical="distributed"/>
    </xf>
    <xf numFmtId="168" fontId="52" fillId="0" borderId="47" xfId="7" applyNumberFormat="1" applyFont="1" applyFill="1" applyBorder="1" applyAlignment="1">
      <alignment horizontal="center"/>
    </xf>
    <xf numFmtId="174" fontId="31" fillId="0" borderId="47" xfId="7" applyNumberFormat="1" applyFont="1" applyFill="1" applyBorder="1" applyAlignment="1">
      <alignment horizontal="right" vertical="distributed"/>
    </xf>
    <xf numFmtId="176" fontId="31" fillId="0" borderId="47" xfId="26" applyNumberFormat="1" applyFont="1" applyFill="1" applyBorder="1" applyAlignment="1">
      <alignment horizontal="center" vertical="distributed"/>
    </xf>
    <xf numFmtId="43" fontId="52" fillId="0" borderId="45" xfId="26" applyFont="1" applyFill="1" applyBorder="1" applyAlignment="1">
      <alignment horizontal="center"/>
    </xf>
    <xf numFmtId="43" fontId="52" fillId="0" borderId="47" xfId="26" applyFont="1" applyFill="1" applyBorder="1" applyAlignment="1">
      <alignment horizontal="center"/>
    </xf>
    <xf numFmtId="0" fontId="31" fillId="0" borderId="0" xfId="9" applyFont="1" applyFill="1" applyAlignment="1">
      <alignment horizontal="right" vertical="center"/>
    </xf>
    <xf numFmtId="49" fontId="14" fillId="0" borderId="7" xfId="3" applyNumberFormat="1" applyFont="1" applyFill="1" applyBorder="1" applyAlignment="1">
      <alignment horizontal="center" vertical="center" wrapText="1"/>
    </xf>
    <xf numFmtId="172" fontId="11" fillId="0" borderId="1" xfId="11" applyNumberFormat="1" applyFont="1" applyFill="1" applyBorder="1" applyAlignment="1" applyProtection="1">
      <alignment horizontal="left" vertical="center" wrapText="1"/>
    </xf>
    <xf numFmtId="166" fontId="31" fillId="0" borderId="0" xfId="24" applyNumberFormat="1" applyFont="1" applyFill="1" applyAlignment="1">
      <alignment horizontal="right"/>
    </xf>
    <xf numFmtId="0" fontId="11" fillId="0" borderId="2" xfId="3" applyFont="1" applyFill="1" applyBorder="1" applyAlignment="1">
      <alignment horizontal="center" vertical="center"/>
    </xf>
    <xf numFmtId="174" fontId="52" fillId="8" borderId="1" xfId="7" applyNumberFormat="1" applyFont="1" applyFill="1" applyBorder="1" applyAlignment="1"/>
    <xf numFmtId="175" fontId="31" fillId="8" borderId="47" xfId="26" applyNumberFormat="1" applyFont="1" applyFill="1" applyBorder="1" applyAlignment="1">
      <alignment horizontal="right" vertical="distributed"/>
    </xf>
    <xf numFmtId="0" fontId="7" fillId="0" borderId="0" xfId="41"/>
    <xf numFmtId="49" fontId="8" fillId="0" borderId="0" xfId="5" applyNumberFormat="1" applyFont="1" applyFill="1" applyAlignment="1">
      <alignment horizontal="left" vertical="center"/>
    </xf>
    <xf numFmtId="49" fontId="39" fillId="0" borderId="0" xfId="5" applyNumberFormat="1" applyFont="1" applyFill="1" applyAlignment="1">
      <alignment vertical="center"/>
    </xf>
    <xf numFmtId="0" fontId="7" fillId="0" borderId="0" xfId="41" applyAlignment="1">
      <alignment horizontal="left"/>
    </xf>
    <xf numFmtId="0" fontId="39" fillId="0" borderId="0" xfId="5" applyFont="1" applyFill="1"/>
    <xf numFmtId="49" fontId="8" fillId="0" borderId="0" xfId="5" applyNumberFormat="1" applyFont="1" applyFill="1" applyBorder="1" applyAlignment="1">
      <alignment horizontal="left" indent="20"/>
    </xf>
    <xf numFmtId="0" fontId="39" fillId="0" borderId="0" xfId="5" applyFont="1" applyFill="1" applyAlignment="1">
      <alignment horizontal="center" vertical="center"/>
    </xf>
    <xf numFmtId="166" fontId="39" fillId="0" borderId="0" xfId="5" applyNumberFormat="1" applyFont="1" applyFill="1"/>
    <xf numFmtId="0" fontId="48" fillId="0" borderId="0" xfId="5" applyFont="1" applyFill="1" applyBorder="1"/>
    <xf numFmtId="0" fontId="39" fillId="0" borderId="0" xfId="42" applyFont="1" applyFill="1" applyAlignment="1">
      <alignment horizontal="left" vertical="top"/>
    </xf>
    <xf numFmtId="168" fontId="39" fillId="0" borderId="0" xfId="5" applyNumberFormat="1" applyFont="1" applyFill="1" applyBorder="1" applyAlignment="1">
      <alignment horizontal="right"/>
    </xf>
    <xf numFmtId="168" fontId="8" fillId="0" borderId="0" xfId="5" applyNumberFormat="1" applyFont="1" applyFill="1" applyBorder="1" applyAlignment="1">
      <alignment horizontal="right"/>
    </xf>
    <xf numFmtId="0" fontId="103" fillId="0" borderId="0" xfId="41" applyFont="1"/>
    <xf numFmtId="49" fontId="101" fillId="7" borderId="1" xfId="42" applyNumberFormat="1" applyFont="1" applyFill="1" applyBorder="1" applyAlignment="1">
      <alignment horizontal="center" vertical="center" wrapText="1"/>
    </xf>
    <xf numFmtId="168" fontId="101" fillId="7" borderId="1" xfId="43" applyNumberFormat="1" applyFont="1" applyFill="1" applyBorder="1" applyAlignment="1">
      <alignment horizontal="right" vertical="center" wrapText="1"/>
    </xf>
    <xf numFmtId="168" fontId="101" fillId="7" borderId="9" xfId="43" applyNumberFormat="1" applyFont="1" applyFill="1" applyBorder="1" applyAlignment="1">
      <alignment horizontal="right" vertical="center" wrapText="1"/>
    </xf>
    <xf numFmtId="174" fontId="7" fillId="0" borderId="0" xfId="41" applyNumberFormat="1"/>
    <xf numFmtId="49" fontId="8" fillId="0" borderId="0" xfId="5" applyNumberFormat="1" applyFont="1" applyFill="1" applyAlignment="1">
      <alignment horizontal="right" vertical="center"/>
    </xf>
    <xf numFmtId="49" fontId="49" fillId="0" borderId="14" xfId="14" applyNumberFormat="1" applyFont="1" applyFill="1" applyBorder="1" applyAlignment="1">
      <alignment horizontal="center" vertical="center" wrapText="1"/>
    </xf>
    <xf numFmtId="0" fontId="31" fillId="0" borderId="0" xfId="9" applyFont="1" applyAlignment="1"/>
    <xf numFmtId="0" fontId="31" fillId="0" borderId="0" xfId="9" applyFont="1" applyAlignment="1">
      <alignment vertical="center"/>
    </xf>
    <xf numFmtId="0" fontId="53" fillId="0" borderId="0" xfId="7" applyFont="1" applyFill="1" applyAlignment="1"/>
    <xf numFmtId="0" fontId="53" fillId="0" borderId="0" xfId="32" applyFont="1" applyAlignment="1"/>
    <xf numFmtId="166" fontId="11" fillId="0" borderId="7" xfId="34" applyNumberFormat="1" applyFont="1" applyFill="1" applyBorder="1" applyAlignment="1">
      <alignment horizontal="left" vertical="center" wrapText="1"/>
    </xf>
    <xf numFmtId="166" fontId="12" fillId="0" borderId="18" xfId="34" applyNumberFormat="1" applyFont="1" applyFill="1" applyBorder="1" applyAlignment="1">
      <alignment horizontal="right"/>
    </xf>
    <xf numFmtId="166" fontId="15" fillId="0" borderId="28" xfId="34" applyNumberFormat="1" applyFont="1" applyFill="1" applyBorder="1" applyAlignment="1">
      <alignment horizontal="center" vertical="center"/>
    </xf>
    <xf numFmtId="0" fontId="11" fillId="0" borderId="4" xfId="0" applyFont="1" applyFill="1" applyBorder="1"/>
    <xf numFmtId="49" fontId="14" fillId="0" borderId="4" xfId="3" applyNumberFormat="1" applyFont="1" applyFill="1" applyBorder="1" applyAlignment="1">
      <alignment horizontal="center" vertical="center" wrapText="1"/>
    </xf>
    <xf numFmtId="167" fontId="10" fillId="0" borderId="4" xfId="34" applyNumberFormat="1" applyFont="1" applyFill="1" applyBorder="1" applyAlignment="1">
      <alignment horizontal="right" vertical="center" wrapText="1"/>
    </xf>
    <xf numFmtId="168" fontId="14" fillId="0" borderId="4" xfId="3" applyNumberFormat="1" applyFont="1" applyFill="1" applyBorder="1" applyAlignment="1">
      <alignment horizontal="center" vertical="center" wrapText="1"/>
    </xf>
    <xf numFmtId="168" fontId="11" fillId="0" borderId="74" xfId="3" applyNumberFormat="1" applyFont="1" applyFill="1" applyBorder="1" applyAlignment="1">
      <alignment horizontal="right" vertical="center" wrapText="1"/>
    </xf>
    <xf numFmtId="167" fontId="10" fillId="0" borderId="59" xfId="34" applyNumberFormat="1" applyFont="1" applyFill="1" applyBorder="1" applyAlignment="1">
      <alignment horizontal="right" vertical="center" wrapText="1"/>
    </xf>
    <xf numFmtId="167" fontId="10" fillId="0" borderId="74" xfId="34" applyNumberFormat="1" applyFont="1" applyFill="1" applyBorder="1" applyAlignment="1">
      <alignment horizontal="right" vertical="center" wrapText="1"/>
    </xf>
    <xf numFmtId="167" fontId="8" fillId="0" borderId="0" xfId="1" applyNumberFormat="1" applyFont="1" applyFill="1"/>
    <xf numFmtId="166" fontId="96" fillId="0" borderId="19" xfId="34" applyNumberFormat="1" applyFont="1" applyFill="1" applyBorder="1" applyAlignment="1">
      <alignment horizontal="right" vertical="center" wrapText="1"/>
    </xf>
    <xf numFmtId="166" fontId="96" fillId="0" borderId="7" xfId="34" applyNumberFormat="1" applyFont="1" applyFill="1" applyBorder="1" applyAlignment="1">
      <alignment horizontal="right" vertical="center" wrapText="1"/>
    </xf>
    <xf numFmtId="166" fontId="96" fillId="0" borderId="1" xfId="34" applyNumberFormat="1" applyFont="1" applyFill="1" applyBorder="1" applyAlignment="1">
      <alignment horizontal="right" vertical="center" wrapText="1"/>
    </xf>
    <xf numFmtId="166" fontId="96" fillId="0" borderId="14" xfId="34" applyNumberFormat="1" applyFont="1" applyFill="1" applyBorder="1" applyAlignment="1">
      <alignment horizontal="right" vertical="center" wrapText="1"/>
    </xf>
    <xf numFmtId="43" fontId="54" fillId="0" borderId="45" xfId="26" applyFont="1" applyFill="1" applyBorder="1" applyAlignment="1">
      <alignment horizontal="right"/>
    </xf>
    <xf numFmtId="166" fontId="7" fillId="0" borderId="1" xfId="7" applyNumberFormat="1" applyFill="1" applyBorder="1" applyAlignment="1">
      <alignment horizontal="center" vertical="center"/>
    </xf>
    <xf numFmtId="166" fontId="7" fillId="0" borderId="7" xfId="7" applyNumberFormat="1" applyFill="1" applyBorder="1" applyAlignment="1">
      <alignment horizontal="center" vertical="center"/>
    </xf>
    <xf numFmtId="168" fontId="52" fillId="0" borderId="0" xfId="25" applyNumberFormat="1" applyFont="1" applyFill="1" applyBorder="1" applyAlignment="1"/>
    <xf numFmtId="168" fontId="52" fillId="0" borderId="0" xfId="7" applyNumberFormat="1" applyFont="1" applyFill="1" applyBorder="1" applyAlignment="1"/>
    <xf numFmtId="0" fontId="101" fillId="0" borderId="1" xfId="42" applyFont="1" applyFill="1" applyBorder="1" applyAlignment="1">
      <alignment horizontal="left" vertical="center" wrapText="1"/>
    </xf>
    <xf numFmtId="0" fontId="102" fillId="0" borderId="1" xfId="42" applyFont="1" applyFill="1" applyBorder="1" applyAlignment="1">
      <alignment horizontal="left" vertical="center" wrapText="1"/>
    </xf>
    <xf numFmtId="49" fontId="102" fillId="7" borderId="1" xfId="42" applyNumberFormat="1" applyFont="1" applyFill="1" applyBorder="1" applyAlignment="1">
      <alignment horizontal="center" vertical="center" wrapText="1"/>
    </xf>
    <xf numFmtId="168" fontId="102" fillId="7" borderId="1" xfId="43" applyNumberFormat="1" applyFont="1" applyFill="1" applyBorder="1" applyAlignment="1">
      <alignment horizontal="right" vertical="center" wrapText="1"/>
    </xf>
    <xf numFmtId="49" fontId="104" fillId="7" borderId="1" xfId="42" applyNumberFormat="1" applyFont="1" applyFill="1" applyBorder="1" applyAlignment="1">
      <alignment horizontal="center" vertical="center" wrapText="1"/>
    </xf>
    <xf numFmtId="0" fontId="100" fillId="0" borderId="29" xfId="42" applyFont="1" applyFill="1" applyBorder="1" applyAlignment="1">
      <alignment horizontal="center" vertical="center" wrapText="1"/>
    </xf>
    <xf numFmtId="0" fontId="100" fillId="0" borderId="26" xfId="42" applyFont="1" applyFill="1" applyBorder="1" applyAlignment="1">
      <alignment horizontal="center" vertical="center" wrapText="1"/>
    </xf>
    <xf numFmtId="0" fontId="100" fillId="0" borderId="25" xfId="42" applyFont="1" applyFill="1" applyBorder="1" applyAlignment="1">
      <alignment horizontal="center" vertical="center" wrapText="1"/>
    </xf>
    <xf numFmtId="0" fontId="101" fillId="0" borderId="8" xfId="42" applyFont="1" applyFill="1" applyBorder="1" applyAlignment="1">
      <alignment horizontal="center" vertical="center" wrapText="1"/>
    </xf>
    <xf numFmtId="0" fontId="102" fillId="0" borderId="8" xfId="42" applyFont="1" applyFill="1" applyBorder="1" applyAlignment="1">
      <alignment horizontal="center" vertical="center" wrapText="1"/>
    </xf>
    <xf numFmtId="168" fontId="102" fillId="7" borderId="9" xfId="43" applyNumberFormat="1" applyFont="1" applyFill="1" applyBorder="1" applyAlignment="1">
      <alignment horizontal="right" vertical="center" wrapText="1"/>
    </xf>
    <xf numFmtId="166" fontId="100" fillId="7" borderId="5" xfId="5" applyNumberFormat="1" applyFont="1" applyFill="1" applyBorder="1" applyAlignment="1">
      <alignment horizontal="left" vertical="center" wrapText="1"/>
    </xf>
    <xf numFmtId="166" fontId="100" fillId="7" borderId="4" xfId="5" applyNumberFormat="1" applyFont="1" applyFill="1" applyBorder="1" applyAlignment="1">
      <alignment horizontal="left" vertical="center" wrapText="1"/>
    </xf>
    <xf numFmtId="49" fontId="101" fillId="7" borderId="4" xfId="5" applyNumberFormat="1" applyFont="1" applyFill="1" applyBorder="1" applyAlignment="1">
      <alignment horizontal="center" vertical="center" wrapText="1"/>
    </xf>
    <xf numFmtId="174" fontId="100" fillId="7" borderId="4" xfId="5" applyNumberFormat="1" applyFont="1" applyFill="1" applyBorder="1" applyAlignment="1">
      <alignment horizontal="right" vertical="center"/>
    </xf>
    <xf numFmtId="168" fontId="101" fillId="7" borderId="4" xfId="43" applyNumberFormat="1" applyFont="1" applyFill="1" applyBorder="1" applyAlignment="1">
      <alignment horizontal="right" vertical="center" wrapText="1"/>
    </xf>
    <xf numFmtId="168" fontId="101" fillId="7" borderId="3" xfId="43" applyNumberFormat="1" applyFont="1" applyFill="1" applyBorder="1" applyAlignment="1">
      <alignment horizontal="right" vertical="center" wrapText="1"/>
    </xf>
    <xf numFmtId="0" fontId="35" fillId="0" borderId="0" xfId="7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49" fontId="14" fillId="0" borderId="7" xfId="3" applyNumberFormat="1" applyFont="1" applyFill="1" applyBorder="1" applyAlignment="1">
      <alignment horizontal="center" vertical="center" wrapText="1"/>
    </xf>
    <xf numFmtId="172" fontId="11" fillId="0" borderId="1" xfId="11" applyNumberFormat="1" applyFont="1" applyFill="1" applyBorder="1" applyAlignment="1" applyProtection="1">
      <alignment horizontal="left" vertical="center" wrapText="1"/>
    </xf>
    <xf numFmtId="0" fontId="11" fillId="0" borderId="2" xfId="3" applyFont="1" applyFill="1" applyBorder="1" applyAlignment="1">
      <alignment horizontal="center" vertical="center"/>
    </xf>
    <xf numFmtId="166" fontId="31" fillId="0" borderId="0" xfId="24" applyNumberFormat="1" applyFont="1" applyFill="1" applyAlignment="1">
      <alignment horizontal="right"/>
    </xf>
    <xf numFmtId="166" fontId="31" fillId="0" borderId="52" xfId="0" applyNumberFormat="1" applyFont="1" applyFill="1" applyBorder="1" applyAlignment="1">
      <alignment horizontal="right" vertical="distributed"/>
    </xf>
    <xf numFmtId="175" fontId="52" fillId="0" borderId="1" xfId="34" applyNumberFormat="1" applyFont="1" applyFill="1" applyBorder="1" applyAlignment="1"/>
    <xf numFmtId="175" fontId="52" fillId="0" borderId="1" xfId="7" applyNumberFormat="1" applyFont="1" applyFill="1" applyBorder="1" applyAlignment="1"/>
    <xf numFmtId="175" fontId="52" fillId="0" borderId="45" xfId="26" applyNumberFormat="1" applyFont="1" applyFill="1" applyBorder="1" applyAlignment="1"/>
    <xf numFmtId="175" fontId="52" fillId="0" borderId="47" xfId="26" applyNumberFormat="1" applyFont="1" applyFill="1" applyBorder="1" applyAlignment="1"/>
    <xf numFmtId="175" fontId="31" fillId="0" borderId="47" xfId="26" applyNumberFormat="1" applyFont="1" applyFill="1" applyBorder="1" applyAlignment="1">
      <alignment vertical="distributed"/>
    </xf>
    <xf numFmtId="176" fontId="31" fillId="0" borderId="43" xfId="26" applyNumberFormat="1" applyFont="1" applyFill="1" applyBorder="1" applyAlignment="1">
      <alignment horizontal="right" vertical="distributed"/>
    </xf>
    <xf numFmtId="0" fontId="31" fillId="0" borderId="0" xfId="9" applyFont="1" applyFill="1" applyAlignment="1">
      <alignment vertical="center"/>
    </xf>
    <xf numFmtId="168" fontId="35" fillId="0" borderId="0" xfId="7" applyNumberFormat="1" applyFont="1" applyFill="1" applyAlignment="1"/>
    <xf numFmtId="168" fontId="31" fillId="0" borderId="0" xfId="9" applyNumberFormat="1" applyFont="1" applyFill="1" applyAlignment="1">
      <alignment horizontal="right" vertical="center"/>
    </xf>
    <xf numFmtId="168" fontId="11" fillId="0" borderId="0" xfId="9" applyNumberFormat="1" applyFont="1" applyFill="1" applyAlignment="1">
      <alignment vertical="center"/>
    </xf>
    <xf numFmtId="168" fontId="13" fillId="0" borderId="0" xfId="24" applyNumberFormat="1" applyFont="1" applyFill="1" applyAlignment="1">
      <alignment horizontal="center" vertical="center"/>
    </xf>
    <xf numFmtId="168" fontId="13" fillId="0" borderId="0" xfId="24" applyNumberFormat="1" applyFont="1" applyFill="1"/>
    <xf numFmtId="168" fontId="13" fillId="0" borderId="0" xfId="3" applyNumberFormat="1" applyFont="1" applyFill="1" applyBorder="1" applyAlignment="1">
      <alignment horizontal="center"/>
    </xf>
    <xf numFmtId="177" fontId="8" fillId="0" borderId="0" xfId="46" applyNumberFormat="1" applyFont="1" applyFill="1" applyAlignment="1">
      <alignment horizontal="right"/>
    </xf>
    <xf numFmtId="176" fontId="8" fillId="0" borderId="0" xfId="46" applyNumberFormat="1" applyFont="1" applyFill="1"/>
    <xf numFmtId="177" fontId="8" fillId="0" borderId="0" xfId="46" applyNumberFormat="1" applyFont="1" applyFill="1"/>
    <xf numFmtId="168" fontId="50" fillId="0" borderId="0" xfId="24" applyNumberFormat="1" applyFont="1" applyFill="1" applyAlignment="1">
      <alignment horizontal="right"/>
    </xf>
    <xf numFmtId="168" fontId="31" fillId="0" borderId="0" xfId="24" applyNumberFormat="1" applyFont="1" applyFill="1" applyAlignment="1">
      <alignment horizontal="right"/>
    </xf>
    <xf numFmtId="180" fontId="8" fillId="0" borderId="0" xfId="3" applyNumberFormat="1" applyFont="1" applyFill="1"/>
    <xf numFmtId="168" fontId="85" fillId="0" borderId="0" xfId="3" applyNumberFormat="1" applyFont="1" applyFill="1"/>
    <xf numFmtId="168" fontId="17" fillId="0" borderId="19" xfId="34" applyNumberFormat="1" applyFont="1" applyFill="1" applyBorder="1" applyAlignment="1">
      <alignment horizontal="right" vertical="center" wrapText="1"/>
    </xf>
    <xf numFmtId="168" fontId="47" fillId="0" borderId="0" xfId="3" applyNumberFormat="1" applyFont="1" applyFill="1"/>
    <xf numFmtId="168" fontId="17" fillId="0" borderId="9" xfId="34" applyNumberFormat="1" applyFont="1" applyFill="1" applyBorder="1" applyAlignment="1">
      <alignment horizontal="right" vertical="center" wrapText="1"/>
    </xf>
    <xf numFmtId="0" fontId="50" fillId="0" borderId="35" xfId="5" applyFont="1" applyFill="1" applyBorder="1" applyAlignment="1">
      <alignment horizontal="center" vertical="center"/>
    </xf>
    <xf numFmtId="172" fontId="76" fillId="0" borderId="36" xfId="5" applyNumberFormat="1" applyFont="1" applyFill="1" applyBorder="1" applyAlignment="1">
      <alignment horizontal="left" vertical="center" wrapText="1"/>
    </xf>
    <xf numFmtId="166" fontId="49" fillId="0" borderId="36" xfId="5" applyNumberFormat="1" applyFont="1" applyFill="1" applyBorder="1" applyAlignment="1">
      <alignment horizontal="left" vertical="center" wrapText="1"/>
    </xf>
    <xf numFmtId="49" fontId="49" fillId="0" borderId="36" xfId="5" applyNumberFormat="1" applyFont="1" applyFill="1" applyBorder="1" applyAlignment="1">
      <alignment horizontal="center" vertical="center" wrapText="1"/>
    </xf>
    <xf numFmtId="49" fontId="49" fillId="0" borderId="58" xfId="5" applyNumberFormat="1" applyFont="1" applyFill="1" applyBorder="1" applyAlignment="1">
      <alignment horizontal="center" vertical="center" wrapText="1"/>
    </xf>
    <xf numFmtId="168" fontId="41" fillId="0" borderId="12" xfId="5" applyNumberFormat="1" applyFont="1" applyFill="1" applyBorder="1" applyAlignment="1">
      <alignment horizontal="right" vertical="center" wrapText="1"/>
    </xf>
    <xf numFmtId="168" fontId="41" fillId="0" borderId="36" xfId="5" applyNumberFormat="1" applyFont="1" applyFill="1" applyBorder="1" applyAlignment="1">
      <alignment horizontal="right" vertical="center" wrapText="1"/>
    </xf>
    <xf numFmtId="0" fontId="49" fillId="0" borderId="29" xfId="5" applyFont="1" applyFill="1" applyBorder="1" applyAlignment="1">
      <alignment horizontal="center" vertical="center"/>
    </xf>
    <xf numFmtId="0" fontId="76" fillId="0" borderId="27" xfId="9" applyFont="1" applyFill="1" applyBorder="1" applyAlignment="1">
      <alignment wrapText="1"/>
    </xf>
    <xf numFmtId="166" fontId="49" fillId="0" borderId="26" xfId="11" applyNumberFormat="1" applyFont="1" applyFill="1" applyBorder="1" applyAlignment="1" applyProtection="1">
      <alignment horizontal="left" vertical="center" wrapText="1"/>
    </xf>
    <xf numFmtId="49" fontId="49" fillId="0" borderId="68" xfId="5" applyNumberFormat="1" applyFont="1" applyFill="1" applyBorder="1" applyAlignment="1">
      <alignment horizontal="center" vertical="center" wrapText="1"/>
    </xf>
    <xf numFmtId="168" fontId="76" fillId="0" borderId="69" xfId="5" applyNumberFormat="1" applyFont="1" applyFill="1" applyBorder="1" applyAlignment="1">
      <alignment horizontal="right" vertical="center"/>
    </xf>
    <xf numFmtId="168" fontId="41" fillId="0" borderId="28" xfId="5" applyNumberFormat="1" applyFont="1" applyFill="1" applyBorder="1" applyAlignment="1">
      <alignment horizontal="right" vertical="center"/>
    </xf>
    <xf numFmtId="168" fontId="41" fillId="0" borderId="26" xfId="5" applyNumberFormat="1" applyFont="1" applyFill="1" applyBorder="1" applyAlignment="1">
      <alignment horizontal="right" vertical="center"/>
    </xf>
    <xf numFmtId="168" fontId="8" fillId="0" borderId="27" xfId="3" applyNumberFormat="1" applyFont="1" applyFill="1" applyBorder="1"/>
    <xf numFmtId="168" fontId="76" fillId="0" borderId="25" xfId="5" applyNumberFormat="1" applyFont="1" applyFill="1" applyBorder="1" applyAlignment="1">
      <alignment horizontal="right" vertical="center"/>
    </xf>
    <xf numFmtId="181" fontId="8" fillId="0" borderId="0" xfId="3" applyNumberFormat="1" applyFont="1" applyFill="1"/>
    <xf numFmtId="168" fontId="8" fillId="0" borderId="0" xfId="3" applyNumberFormat="1" applyFont="1" applyFill="1" applyBorder="1"/>
    <xf numFmtId="168" fontId="47" fillId="0" borderId="0" xfId="3" applyNumberFormat="1" applyFont="1" applyFill="1" applyBorder="1"/>
    <xf numFmtId="168" fontId="13" fillId="0" borderId="0" xfId="3" applyNumberFormat="1" applyFont="1" applyFill="1" applyBorder="1"/>
    <xf numFmtId="167" fontId="8" fillId="0" borderId="0" xfId="24" applyNumberFormat="1" applyFont="1" applyFill="1"/>
    <xf numFmtId="168" fontId="85" fillId="0" borderId="0" xfId="3" applyNumberFormat="1" applyFont="1" applyFill="1" applyBorder="1"/>
    <xf numFmtId="0" fontId="17" fillId="0" borderId="7" xfId="9" applyFont="1" applyFill="1" applyBorder="1" applyAlignment="1">
      <alignment horizontal="left" vertical="center" wrapText="1"/>
    </xf>
    <xf numFmtId="49" fontId="50" fillId="0" borderId="1" xfId="9" applyNumberFormat="1" applyFont="1" applyFill="1" applyBorder="1" applyAlignment="1">
      <alignment horizontal="center" vertical="center" wrapText="1"/>
    </xf>
    <xf numFmtId="168" fontId="75" fillId="0" borderId="19" xfId="9" applyNumberFormat="1" applyFont="1" applyFill="1" applyBorder="1" applyAlignment="1">
      <alignment horizontal="right" vertical="center" wrapText="1"/>
    </xf>
    <xf numFmtId="168" fontId="75" fillId="0" borderId="64" xfId="9" applyNumberFormat="1" applyFont="1" applyFill="1" applyBorder="1" applyAlignment="1">
      <alignment horizontal="right" vertical="center" wrapText="1"/>
    </xf>
    <xf numFmtId="171" fontId="105" fillId="0" borderId="19" xfId="5" applyNumberFormat="1" applyFont="1" applyFill="1" applyBorder="1" applyAlignment="1">
      <alignment horizontal="right" vertical="center" wrapText="1"/>
    </xf>
    <xf numFmtId="0" fontId="50" fillId="0" borderId="7" xfId="37" applyFont="1" applyFill="1" applyBorder="1" applyAlignment="1">
      <alignment vertical="top" wrapText="1"/>
    </xf>
    <xf numFmtId="0" fontId="79" fillId="0" borderId="1" xfId="9" applyFont="1" applyFill="1" applyBorder="1" applyAlignment="1">
      <alignment horizontal="left" vertical="center" wrapText="1"/>
    </xf>
    <xf numFmtId="172" fontId="77" fillId="0" borderId="23" xfId="5" applyNumberFormat="1" applyFont="1" applyFill="1" applyBorder="1" applyAlignment="1">
      <alignment vertical="center" wrapText="1"/>
    </xf>
    <xf numFmtId="172" fontId="50" fillId="0" borderId="23" xfId="5" applyNumberFormat="1" applyFont="1" applyFill="1" applyBorder="1" applyAlignment="1">
      <alignment vertical="center" wrapText="1"/>
    </xf>
    <xf numFmtId="0" fontId="70" fillId="0" borderId="1" xfId="9" applyFont="1" applyFill="1" applyBorder="1" applyAlignment="1">
      <alignment horizontal="left" vertical="center" wrapText="1"/>
    </xf>
    <xf numFmtId="0" fontId="80" fillId="0" borderId="1" xfId="9" applyFont="1" applyFill="1" applyBorder="1" applyAlignment="1">
      <alignment horizontal="left" vertical="center" wrapText="1"/>
    </xf>
    <xf numFmtId="0" fontId="70" fillId="0" borderId="1" xfId="9" applyFont="1" applyFill="1" applyBorder="1" applyAlignment="1">
      <alignment vertical="center" wrapText="1"/>
    </xf>
    <xf numFmtId="49" fontId="8" fillId="0" borderId="14" xfId="9" applyNumberFormat="1" applyFont="1" applyFill="1" applyBorder="1" applyAlignment="1">
      <alignment horizontal="center" vertical="center" wrapText="1"/>
    </xf>
    <xf numFmtId="49" fontId="50" fillId="0" borderId="14" xfId="9" applyNumberFormat="1" applyFont="1" applyFill="1" applyBorder="1" applyAlignment="1">
      <alignment horizontal="center" vertical="center" wrapText="1"/>
    </xf>
    <xf numFmtId="49" fontId="49" fillId="0" borderId="23" xfId="14" applyNumberFormat="1" applyFont="1" applyFill="1" applyBorder="1" applyAlignment="1">
      <alignment horizontal="center" vertical="center" wrapText="1"/>
    </xf>
    <xf numFmtId="168" fontId="17" fillId="0" borderId="1" xfId="5" applyNumberFormat="1" applyFont="1" applyFill="1" applyBorder="1" applyAlignment="1">
      <alignment horizontal="right" vertical="center" wrapText="1"/>
    </xf>
    <xf numFmtId="0" fontId="70" fillId="0" borderId="23" xfId="9" applyFont="1" applyFill="1" applyBorder="1" applyAlignment="1">
      <alignment horizontal="left" vertical="center" wrapText="1"/>
    </xf>
    <xf numFmtId="49" fontId="50" fillId="0" borderId="7" xfId="5" applyNumberFormat="1" applyFont="1" applyFill="1" applyBorder="1" applyAlignment="1">
      <alignment horizontal="center" vertical="center" wrapText="1"/>
    </xf>
    <xf numFmtId="49" fontId="50" fillId="0" borderId="9" xfId="5" applyNumberFormat="1" applyFont="1" applyFill="1" applyBorder="1" applyAlignment="1">
      <alignment horizontal="center" vertical="center" wrapText="1"/>
    </xf>
    <xf numFmtId="172" fontId="50" fillId="0" borderId="0" xfId="5" applyNumberFormat="1" applyFont="1" applyFill="1" applyBorder="1" applyAlignment="1">
      <alignment horizontal="left" vertical="center" wrapText="1" indent="2"/>
    </xf>
    <xf numFmtId="49" fontId="50" fillId="0" borderId="0" xfId="5" applyNumberFormat="1" applyFont="1" applyFill="1" applyBorder="1" applyAlignment="1">
      <alignment horizontal="center" vertical="center" wrapText="1"/>
    </xf>
    <xf numFmtId="172" fontId="50" fillId="0" borderId="16" xfId="5" applyNumberFormat="1" applyFont="1" applyFill="1" applyBorder="1" applyAlignment="1">
      <alignment horizontal="left" vertical="center" wrapText="1" indent="2"/>
    </xf>
    <xf numFmtId="49" fontId="50" fillId="0" borderId="16" xfId="5" applyNumberFormat="1" applyFont="1" applyFill="1" applyBorder="1" applyAlignment="1">
      <alignment horizontal="center" vertical="center" wrapText="1"/>
    </xf>
    <xf numFmtId="168" fontId="99" fillId="0" borderId="0" xfId="3" applyNumberFormat="1" applyFont="1" applyFill="1" applyBorder="1"/>
    <xf numFmtId="168" fontId="78" fillId="0" borderId="20" xfId="5" applyNumberFormat="1" applyFont="1" applyFill="1" applyBorder="1" applyAlignment="1">
      <alignment horizontal="right" vertical="center" wrapText="1"/>
    </xf>
    <xf numFmtId="168" fontId="57" fillId="0" borderId="9" xfId="5" applyNumberFormat="1" applyFont="1" applyFill="1" applyBorder="1" applyAlignment="1">
      <alignment horizontal="right" vertical="center" wrapText="1"/>
    </xf>
    <xf numFmtId="168" fontId="57" fillId="0" borderId="34" xfId="5" applyNumberFormat="1" applyFont="1" applyFill="1" applyBorder="1" applyAlignment="1">
      <alignment horizontal="right" vertical="center" wrapText="1"/>
    </xf>
    <xf numFmtId="168" fontId="57" fillId="0" borderId="37" xfId="5" applyNumberFormat="1" applyFont="1" applyFill="1" applyBorder="1" applyAlignment="1">
      <alignment horizontal="right" vertical="center" wrapText="1"/>
    </xf>
    <xf numFmtId="168" fontId="78" fillId="0" borderId="31" xfId="5" applyNumberFormat="1" applyFont="1" applyFill="1" applyBorder="1" applyAlignment="1">
      <alignment horizontal="right" vertical="center" wrapText="1"/>
    </xf>
    <xf numFmtId="168" fontId="78" fillId="0" borderId="9" xfId="5" applyNumberFormat="1" applyFont="1" applyFill="1" applyBorder="1" applyAlignment="1">
      <alignment horizontal="right" vertical="center" wrapText="1"/>
    </xf>
    <xf numFmtId="168" fontId="76" fillId="0" borderId="1" xfId="5" applyNumberFormat="1" applyFont="1" applyFill="1" applyBorder="1" applyAlignment="1">
      <alignment horizontal="right" vertical="center" wrapText="1"/>
    </xf>
    <xf numFmtId="0" fontId="75" fillId="0" borderId="1" xfId="9" applyFont="1" applyFill="1" applyBorder="1" applyAlignment="1">
      <alignment horizontal="left" vertical="center" wrapText="1"/>
    </xf>
    <xf numFmtId="168" fontId="57" fillId="0" borderId="3" xfId="5" applyNumberFormat="1" applyFont="1" applyFill="1" applyBorder="1" applyAlignment="1">
      <alignment horizontal="right" vertical="center" wrapText="1"/>
    </xf>
    <xf numFmtId="168" fontId="17" fillId="0" borderId="70" xfId="34" applyNumberFormat="1" applyFont="1" applyFill="1" applyBorder="1" applyAlignment="1">
      <alignment horizontal="right" vertical="center" wrapText="1"/>
    </xf>
    <xf numFmtId="168" fontId="39" fillId="0" borderId="65" xfId="5" applyNumberFormat="1" applyFont="1" applyFill="1" applyBorder="1" applyAlignment="1">
      <alignment horizontal="right" vertical="center"/>
    </xf>
    <xf numFmtId="168" fontId="17" fillId="0" borderId="34" xfId="34" applyNumberFormat="1" applyFont="1" applyFill="1" applyBorder="1" applyAlignment="1">
      <alignment horizontal="right" vertical="center" wrapText="1"/>
    </xf>
    <xf numFmtId="168" fontId="17" fillId="0" borderId="66" xfId="34" applyNumberFormat="1" applyFont="1" applyFill="1" applyBorder="1" applyAlignment="1">
      <alignment horizontal="right" vertical="center" wrapText="1"/>
    </xf>
    <xf numFmtId="168" fontId="39" fillId="0" borderId="59" xfId="5" applyNumberFormat="1" applyFont="1" applyFill="1" applyBorder="1" applyAlignment="1">
      <alignment horizontal="right" vertical="center"/>
    </xf>
    <xf numFmtId="168" fontId="39" fillId="0" borderId="74" xfId="5" applyNumberFormat="1" applyFont="1" applyFill="1" applyBorder="1" applyAlignment="1">
      <alignment horizontal="right" vertical="center"/>
    </xf>
    <xf numFmtId="168" fontId="47" fillId="0" borderId="38" xfId="3" applyNumberFormat="1" applyFont="1" applyFill="1" applyBorder="1"/>
    <xf numFmtId="168" fontId="8" fillId="0" borderId="38" xfId="3" applyNumberFormat="1" applyFont="1" applyFill="1" applyBorder="1"/>
    <xf numFmtId="168" fontId="17" fillId="0" borderId="3" xfId="34" applyNumberFormat="1" applyFont="1" applyFill="1" applyBorder="1" applyAlignment="1">
      <alignment horizontal="right" vertical="center" wrapText="1"/>
    </xf>
    <xf numFmtId="176" fontId="8" fillId="0" borderId="0" xfId="46" applyNumberFormat="1" applyFont="1" applyFill="1" applyAlignment="1"/>
    <xf numFmtId="176" fontId="8" fillId="0" borderId="0" xfId="34" applyNumberFormat="1" applyFont="1" applyFill="1" applyAlignment="1">
      <alignment horizontal="right"/>
    </xf>
    <xf numFmtId="176" fontId="35" fillId="0" borderId="0" xfId="46" applyNumberFormat="1" applyFont="1" applyFill="1" applyAlignment="1"/>
    <xf numFmtId="176" fontId="35" fillId="0" borderId="0" xfId="7" applyNumberFormat="1" applyFont="1" applyFill="1" applyAlignment="1">
      <alignment horizontal="right"/>
    </xf>
    <xf numFmtId="176" fontId="35" fillId="0" borderId="0" xfId="7" applyNumberFormat="1" applyFont="1" applyFill="1" applyAlignment="1"/>
    <xf numFmtId="176" fontId="8" fillId="0" borderId="0" xfId="3" applyNumberFormat="1" applyFont="1" applyFill="1" applyAlignment="1">
      <alignment horizontal="center"/>
    </xf>
    <xf numFmtId="176" fontId="31" fillId="0" borderId="0" xfId="46" applyNumberFormat="1" applyFont="1" applyFill="1" applyAlignment="1">
      <alignment vertical="center"/>
    </xf>
    <xf numFmtId="176" fontId="31" fillId="0" borderId="0" xfId="3" applyNumberFormat="1" applyFont="1" applyFill="1" applyAlignment="1">
      <alignment horizontal="right" vertical="center"/>
    </xf>
    <xf numFmtId="176" fontId="36" fillId="0" borderId="0" xfId="9" applyNumberFormat="1" applyFont="1" applyFill="1" applyAlignment="1">
      <alignment vertical="center"/>
    </xf>
    <xf numFmtId="176" fontId="8" fillId="0" borderId="0" xfId="46" applyNumberFormat="1" applyFont="1" applyFill="1" applyAlignment="1">
      <alignment vertical="center"/>
    </xf>
    <xf numFmtId="176" fontId="8" fillId="0" borderId="0" xfId="3" applyNumberFormat="1" applyFont="1" applyFill="1" applyAlignment="1">
      <alignment horizontal="left" vertical="center"/>
    </xf>
    <xf numFmtId="176" fontId="8" fillId="0" borderId="0" xfId="3" applyNumberFormat="1" applyFont="1" applyFill="1" applyAlignment="1">
      <alignment horizontal="right" vertical="center"/>
    </xf>
    <xf numFmtId="176" fontId="31" fillId="0" borderId="0" xfId="9" applyNumberFormat="1" applyFont="1" applyFill="1" applyAlignment="1">
      <alignment horizontal="right" vertical="center"/>
    </xf>
    <xf numFmtId="176" fontId="32" fillId="0" borderId="0" xfId="46" applyNumberFormat="1" applyFont="1" applyFill="1" applyAlignment="1"/>
    <xf numFmtId="176" fontId="32" fillId="0" borderId="0" xfId="34" applyNumberFormat="1" applyFont="1" applyFill="1" applyAlignment="1">
      <alignment horizontal="right"/>
    </xf>
    <xf numFmtId="171" fontId="8" fillId="0" borderId="0" xfId="3" applyNumberFormat="1" applyFont="1" applyFill="1" applyAlignment="1">
      <alignment horizontal="left" vertical="center"/>
    </xf>
    <xf numFmtId="176" fontId="8" fillId="0" borderId="0" xfId="3" applyNumberFormat="1" applyFont="1" applyFill="1"/>
    <xf numFmtId="176" fontId="8" fillId="0" borderId="0" xfId="3" applyNumberFormat="1" applyFont="1" applyFill="1" applyAlignment="1">
      <alignment horizontal="right"/>
    </xf>
    <xf numFmtId="176" fontId="31" fillId="0" borderId="0" xfId="46" applyNumberFormat="1" applyFont="1" applyFill="1" applyAlignment="1"/>
    <xf numFmtId="176" fontId="31" fillId="0" borderId="0" xfId="34" applyNumberFormat="1" applyFont="1" applyFill="1" applyAlignment="1">
      <alignment horizontal="right"/>
    </xf>
    <xf numFmtId="169" fontId="25" fillId="0" borderId="1" xfId="9" applyNumberFormat="1" applyFont="1" applyFill="1" applyBorder="1" applyAlignment="1">
      <alignment horizontal="center" vertical="top" wrapText="1"/>
    </xf>
    <xf numFmtId="176" fontId="15" fillId="0" borderId="1" xfId="46" applyNumberFormat="1" applyFont="1" applyFill="1" applyBorder="1" applyAlignment="1">
      <alignment vertical="center"/>
    </xf>
    <xf numFmtId="176" fontId="15" fillId="0" borderId="1" xfId="34" applyNumberFormat="1" applyFont="1" applyFill="1" applyBorder="1" applyAlignment="1">
      <alignment horizontal="center" vertical="center"/>
    </xf>
    <xf numFmtId="176" fontId="15" fillId="0" borderId="1" xfId="34" applyNumberFormat="1" applyFont="1" applyFill="1" applyBorder="1" applyAlignment="1">
      <alignment horizontal="right" vertical="center"/>
    </xf>
    <xf numFmtId="176" fontId="21" fillId="0" borderId="1" xfId="46" applyNumberFormat="1" applyFont="1" applyFill="1" applyBorder="1" applyAlignment="1">
      <alignment vertical="center" wrapText="1"/>
    </xf>
    <xf numFmtId="176" fontId="21" fillId="0" borderId="1" xfId="34" applyNumberFormat="1" applyFont="1" applyFill="1" applyBorder="1" applyAlignment="1">
      <alignment horizontal="right" vertical="center" wrapText="1"/>
    </xf>
    <xf numFmtId="176" fontId="27" fillId="0" borderId="1" xfId="46" applyNumberFormat="1" applyFont="1" applyFill="1" applyBorder="1" applyAlignment="1">
      <alignment vertical="center" wrapText="1"/>
    </xf>
    <xf numFmtId="176" fontId="27" fillId="0" borderId="1" xfId="34" applyNumberFormat="1" applyFont="1" applyFill="1" applyBorder="1" applyAlignment="1">
      <alignment horizontal="right" vertical="center" wrapText="1"/>
    </xf>
    <xf numFmtId="176" fontId="12" fillId="0" borderId="1" xfId="46" applyNumberFormat="1" applyFont="1" applyFill="1" applyBorder="1" applyAlignment="1">
      <alignment vertical="center" wrapText="1"/>
    </xf>
    <xf numFmtId="176" fontId="12" fillId="0" borderId="1" xfId="34" applyNumberFormat="1" applyFont="1" applyFill="1" applyBorder="1" applyAlignment="1">
      <alignment horizontal="right" vertical="center" wrapText="1"/>
    </xf>
    <xf numFmtId="0" fontId="11" fillId="0" borderId="0" xfId="9" applyFont="1" applyFill="1"/>
    <xf numFmtId="176" fontId="11" fillId="0" borderId="1" xfId="46" applyNumberFormat="1" applyFont="1" applyFill="1" applyBorder="1" applyAlignment="1">
      <alignment vertical="center" wrapText="1"/>
    </xf>
    <xf numFmtId="176" fontId="11" fillId="0" borderId="1" xfId="34" applyNumberFormat="1" applyFont="1" applyFill="1" applyBorder="1" applyAlignment="1">
      <alignment horizontal="right" vertical="center" wrapText="1"/>
    </xf>
    <xf numFmtId="176" fontId="15" fillId="0" borderId="1" xfId="46" applyNumberFormat="1" applyFont="1" applyFill="1" applyBorder="1" applyAlignment="1">
      <alignment vertical="center" wrapText="1"/>
    </xf>
    <xf numFmtId="176" fontId="15" fillId="0" borderId="1" xfId="34" applyNumberFormat="1" applyFont="1" applyFill="1" applyBorder="1" applyAlignment="1">
      <alignment horizontal="right" vertical="center" wrapText="1"/>
    </xf>
    <xf numFmtId="176" fontId="10" fillId="0" borderId="1" xfId="46" applyNumberFormat="1" applyFont="1" applyFill="1" applyBorder="1" applyAlignment="1">
      <alignment vertical="center" wrapText="1"/>
    </xf>
    <xf numFmtId="176" fontId="10" fillId="0" borderId="1" xfId="34" applyNumberFormat="1" applyFont="1" applyFill="1" applyBorder="1" applyAlignment="1">
      <alignment horizontal="right" vertical="center" wrapText="1"/>
    </xf>
    <xf numFmtId="176" fontId="26" fillId="0" borderId="1" xfId="46" applyNumberFormat="1" applyFont="1" applyFill="1" applyBorder="1" applyAlignment="1">
      <alignment vertical="center" wrapText="1"/>
    </xf>
    <xf numFmtId="176" fontId="26" fillId="0" borderId="1" xfId="34" applyNumberFormat="1" applyFont="1" applyFill="1" applyBorder="1" applyAlignment="1">
      <alignment horizontal="right" vertical="center" wrapText="1"/>
    </xf>
    <xf numFmtId="176" fontId="15" fillId="0" borderId="1" xfId="3" applyNumberFormat="1" applyFont="1" applyFill="1" applyBorder="1" applyAlignment="1">
      <alignment vertical="center" wrapText="1"/>
    </xf>
    <xf numFmtId="176" fontId="15" fillId="0" borderId="1" xfId="3" applyNumberFormat="1" applyFont="1" applyFill="1" applyBorder="1" applyAlignment="1">
      <alignment horizontal="right" vertical="center" wrapText="1"/>
    </xf>
    <xf numFmtId="176" fontId="10" fillId="0" borderId="7" xfId="46" applyNumberFormat="1" applyFont="1" applyFill="1" applyBorder="1" applyAlignment="1">
      <alignment vertical="center" wrapText="1"/>
    </xf>
    <xf numFmtId="176" fontId="10" fillId="0" borderId="7" xfId="34" applyNumberFormat="1" applyFont="1" applyFill="1" applyBorder="1" applyAlignment="1">
      <alignment horizontal="right" vertical="center" wrapText="1"/>
    </xf>
    <xf numFmtId="176" fontId="29" fillId="0" borderId="1" xfId="46" applyNumberFormat="1" applyFont="1" applyFill="1" applyBorder="1" applyAlignment="1">
      <alignment vertical="center" wrapText="1"/>
    </xf>
    <xf numFmtId="176" fontId="29" fillId="0" borderId="1" xfId="34" applyNumberFormat="1" applyFont="1" applyFill="1" applyBorder="1" applyAlignment="1">
      <alignment horizontal="right" vertical="center" wrapText="1"/>
    </xf>
    <xf numFmtId="176" fontId="10" fillId="0" borderId="1" xfId="3" applyNumberFormat="1" applyFont="1" applyFill="1" applyBorder="1" applyAlignment="1">
      <alignment vertical="center" wrapText="1"/>
    </xf>
    <xf numFmtId="176" fontId="10" fillId="0" borderId="1" xfId="3" applyNumberFormat="1" applyFont="1" applyFill="1" applyBorder="1" applyAlignment="1">
      <alignment horizontal="right" vertical="center" wrapText="1"/>
    </xf>
    <xf numFmtId="176" fontId="10" fillId="0" borderId="18" xfId="46" applyNumberFormat="1" applyFont="1" applyFill="1" applyBorder="1" applyAlignment="1">
      <alignment vertical="center" wrapText="1"/>
    </xf>
    <xf numFmtId="176" fontId="10" fillId="0" borderId="18" xfId="3" applyNumberFormat="1" applyFont="1" applyFill="1" applyBorder="1" applyAlignment="1">
      <alignment horizontal="right" vertical="center" wrapText="1"/>
    </xf>
    <xf numFmtId="0" fontId="11" fillId="0" borderId="0" xfId="9" applyFont="1" applyFill="1" applyAlignment="1">
      <alignment wrapText="1"/>
    </xf>
    <xf numFmtId="176" fontId="10" fillId="0" borderId="15" xfId="46" applyNumberFormat="1" applyFont="1" applyFill="1" applyBorder="1" applyAlignment="1">
      <alignment vertical="center" wrapText="1"/>
    </xf>
    <xf numFmtId="176" fontId="10" fillId="0" borderId="15" xfId="34" applyNumberFormat="1" applyFont="1" applyFill="1" applyBorder="1" applyAlignment="1">
      <alignment horizontal="right" vertical="center" wrapText="1"/>
    </xf>
    <xf numFmtId="176" fontId="15" fillId="0" borderId="7" xfId="46" applyNumberFormat="1" applyFont="1" applyFill="1" applyBorder="1" applyAlignment="1">
      <alignment vertical="center" wrapText="1"/>
    </xf>
    <xf numFmtId="176" fontId="15" fillId="0" borderId="7" xfId="3" applyNumberFormat="1" applyFont="1" applyFill="1" applyBorder="1" applyAlignment="1">
      <alignment vertical="center" wrapText="1"/>
    </xf>
    <xf numFmtId="176" fontId="15" fillId="0" borderId="7" xfId="3" applyNumberFormat="1" applyFont="1" applyFill="1" applyBorder="1" applyAlignment="1">
      <alignment horizontal="right" vertical="center" wrapText="1"/>
    </xf>
    <xf numFmtId="176" fontId="11" fillId="0" borderId="7" xfId="46" applyNumberFormat="1" applyFont="1" applyFill="1" applyBorder="1" applyAlignment="1">
      <alignment vertical="center" wrapText="1"/>
    </xf>
    <xf numFmtId="176" fontId="11" fillId="0" borderId="7" xfId="3" applyNumberFormat="1" applyFont="1" applyFill="1" applyBorder="1" applyAlignment="1">
      <alignment horizontal="right" vertical="center" wrapText="1"/>
    </xf>
    <xf numFmtId="176" fontId="15" fillId="0" borderId="1" xfId="34" applyNumberFormat="1" applyFont="1" applyFill="1" applyBorder="1" applyAlignment="1">
      <alignment vertical="center" wrapText="1"/>
    </xf>
    <xf numFmtId="176" fontId="10" fillId="0" borderId="1" xfId="34" applyNumberFormat="1" applyFont="1" applyFill="1" applyBorder="1" applyAlignment="1">
      <alignment vertical="center" wrapText="1"/>
    </xf>
    <xf numFmtId="176" fontId="10" fillId="0" borderId="7" xfId="34" applyNumberFormat="1" applyFont="1" applyFill="1" applyBorder="1" applyAlignment="1">
      <alignment vertical="center" wrapText="1"/>
    </xf>
    <xf numFmtId="169" fontId="25" fillId="0" borderId="26" xfId="9" applyNumberFormat="1" applyFont="1" applyFill="1" applyBorder="1" applyAlignment="1">
      <alignment horizontal="center" vertical="top" wrapText="1"/>
    </xf>
    <xf numFmtId="169" fontId="25" fillId="0" borderId="68" xfId="9" applyNumberFormat="1" applyFont="1" applyFill="1" applyBorder="1" applyAlignment="1">
      <alignment horizontal="center" vertical="top" wrapText="1"/>
    </xf>
    <xf numFmtId="176" fontId="15" fillId="0" borderId="69" xfId="46" applyNumberFormat="1" applyFont="1" applyFill="1" applyBorder="1" applyAlignment="1">
      <alignment horizontal="center" vertical="center"/>
    </xf>
    <xf numFmtId="176" fontId="15" fillId="0" borderId="28" xfId="34" applyNumberFormat="1" applyFont="1" applyFill="1" applyBorder="1" applyAlignment="1">
      <alignment horizontal="center" vertical="center"/>
    </xf>
    <xf numFmtId="176" fontId="15" fillId="0" borderId="26" xfId="34" applyNumberFormat="1" applyFont="1" applyFill="1" applyBorder="1" applyAlignment="1">
      <alignment horizontal="center" vertical="center"/>
    </xf>
    <xf numFmtId="176" fontId="15" fillId="0" borderId="76" xfId="34" applyNumberFormat="1" applyFont="1" applyFill="1" applyBorder="1" applyAlignment="1">
      <alignment horizontal="right" vertical="center"/>
    </xf>
    <xf numFmtId="176" fontId="15" fillId="0" borderId="69" xfId="34" applyNumberFormat="1" applyFont="1" applyFill="1" applyBorder="1" applyAlignment="1">
      <alignment horizontal="right" vertical="center"/>
    </xf>
    <xf numFmtId="177" fontId="8" fillId="0" borderId="0" xfId="3" applyNumberFormat="1" applyFont="1" applyFill="1" applyBorder="1"/>
    <xf numFmtId="49" fontId="24" fillId="0" borderId="7" xfId="9" applyNumberFormat="1" applyFont="1" applyFill="1" applyBorder="1" applyAlignment="1">
      <alignment horizontal="left" vertical="top" wrapText="1"/>
    </xf>
    <xf numFmtId="176" fontId="15" fillId="0" borderId="19" xfId="46" applyNumberFormat="1" applyFont="1" applyFill="1" applyBorder="1" applyAlignment="1">
      <alignment vertical="center"/>
    </xf>
    <xf numFmtId="176" fontId="15" fillId="0" borderId="7" xfId="34" applyNumberFormat="1" applyFont="1" applyFill="1" applyBorder="1" applyAlignment="1">
      <alignment horizontal="right" vertical="center"/>
    </xf>
    <xf numFmtId="176" fontId="15" fillId="0" borderId="13" xfId="34" applyNumberFormat="1" applyFont="1" applyFill="1" applyBorder="1" applyAlignment="1">
      <alignment horizontal="right" vertical="center"/>
    </xf>
    <xf numFmtId="176" fontId="15" fillId="0" borderId="9" xfId="34" applyNumberFormat="1" applyFont="1" applyFill="1" applyBorder="1" applyAlignment="1">
      <alignment horizontal="right" vertical="center"/>
    </xf>
    <xf numFmtId="176" fontId="15" fillId="0" borderId="19" xfId="34" applyNumberFormat="1" applyFont="1" applyFill="1" applyBorder="1" applyAlignment="1">
      <alignment horizontal="right" vertical="center"/>
    </xf>
    <xf numFmtId="0" fontId="21" fillId="0" borderId="7" xfId="9" applyFont="1" applyFill="1" applyBorder="1" applyAlignment="1">
      <alignment horizontal="left" vertical="center"/>
    </xf>
    <xf numFmtId="176" fontId="15" fillId="0" borderId="7" xfId="34" applyNumberFormat="1" applyFont="1" applyFill="1" applyBorder="1" applyAlignment="1">
      <alignment horizontal="center" vertical="center"/>
    </xf>
    <xf numFmtId="176" fontId="15" fillId="0" borderId="10" xfId="34" applyNumberFormat="1" applyFont="1" applyFill="1" applyBorder="1" applyAlignment="1">
      <alignment horizontal="right" vertical="center"/>
    </xf>
    <xf numFmtId="176" fontId="15" fillId="0" borderId="19" xfId="46" applyNumberFormat="1" applyFont="1" applyFill="1" applyBorder="1" applyAlignment="1">
      <alignment vertical="center" wrapText="1"/>
    </xf>
    <xf numFmtId="176" fontId="15" fillId="0" borderId="7" xfId="34" applyNumberFormat="1" applyFont="1" applyFill="1" applyBorder="1" applyAlignment="1">
      <alignment vertical="center" wrapText="1"/>
    </xf>
    <xf numFmtId="176" fontId="15" fillId="0" borderId="13" xfId="34" applyNumberFormat="1" applyFont="1" applyFill="1" applyBorder="1" applyAlignment="1">
      <alignment horizontal="right" vertical="center" wrapText="1"/>
    </xf>
    <xf numFmtId="176" fontId="15" fillId="0" borderId="19" xfId="34" applyNumberFormat="1" applyFont="1" applyFill="1" applyBorder="1" applyAlignment="1">
      <alignment horizontal="right" vertical="center" wrapText="1"/>
    </xf>
    <xf numFmtId="176" fontId="10" fillId="0" borderId="19" xfId="46" applyNumberFormat="1" applyFont="1" applyFill="1" applyBorder="1" applyAlignment="1">
      <alignment vertical="center" wrapText="1"/>
    </xf>
    <xf numFmtId="176" fontId="10" fillId="0" borderId="14" xfId="34" applyNumberFormat="1" applyFont="1" applyFill="1" applyBorder="1" applyAlignment="1">
      <alignment horizontal="right" vertical="center" wrapText="1"/>
    </xf>
    <xf numFmtId="176" fontId="10" fillId="0" borderId="19" xfId="34" applyNumberFormat="1" applyFont="1" applyFill="1" applyBorder="1" applyAlignment="1">
      <alignment horizontal="right" vertical="center" wrapText="1"/>
    </xf>
    <xf numFmtId="176" fontId="12" fillId="0" borderId="19" xfId="46" applyNumberFormat="1" applyFont="1" applyFill="1" applyBorder="1" applyAlignment="1">
      <alignment vertical="center" wrapText="1"/>
    </xf>
    <xf numFmtId="176" fontId="12" fillId="0" borderId="7" xfId="34" applyNumberFormat="1" applyFont="1" applyFill="1" applyBorder="1" applyAlignment="1">
      <alignment horizontal="right" vertical="center" wrapText="1"/>
    </xf>
    <xf numFmtId="176" fontId="12" fillId="0" borderId="14" xfId="34" applyNumberFormat="1" applyFont="1" applyFill="1" applyBorder="1" applyAlignment="1">
      <alignment horizontal="right" vertical="center" wrapText="1"/>
    </xf>
    <xf numFmtId="176" fontId="12" fillId="0" borderId="19" xfId="34" applyNumberFormat="1" applyFont="1" applyFill="1" applyBorder="1" applyAlignment="1">
      <alignment horizontal="right" vertical="center" wrapText="1"/>
    </xf>
    <xf numFmtId="0" fontId="11" fillId="0" borderId="1" xfId="9" applyFont="1" applyFill="1" applyBorder="1" applyAlignment="1">
      <alignment horizontal="justify" vertical="top" wrapText="1"/>
    </xf>
    <xf numFmtId="176" fontId="15" fillId="0" borderId="7" xfId="34" applyNumberFormat="1" applyFont="1" applyFill="1" applyBorder="1" applyAlignment="1">
      <alignment horizontal="right" vertical="center" wrapText="1"/>
    </xf>
    <xf numFmtId="176" fontId="15" fillId="0" borderId="14" xfId="34" applyNumberFormat="1" applyFont="1" applyFill="1" applyBorder="1" applyAlignment="1">
      <alignment horizontal="right" vertical="center" wrapText="1"/>
    </xf>
    <xf numFmtId="176" fontId="15" fillId="0" borderId="14" xfId="3" applyNumberFormat="1" applyFont="1" applyFill="1" applyBorder="1" applyAlignment="1">
      <alignment horizontal="right" vertical="center" wrapText="1"/>
    </xf>
    <xf numFmtId="176" fontId="15" fillId="0" borderId="19" xfId="3" applyNumberFormat="1" applyFont="1" applyFill="1" applyBorder="1" applyAlignment="1">
      <alignment horizontal="right" vertical="center" wrapText="1"/>
    </xf>
    <xf numFmtId="176" fontId="11" fillId="0" borderId="19" xfId="46" applyNumberFormat="1" applyFont="1" applyFill="1" applyBorder="1" applyAlignment="1">
      <alignment vertical="center" wrapText="1"/>
    </xf>
    <xf numFmtId="176" fontId="11" fillId="0" borderId="7" xfId="34" applyNumberFormat="1" applyFont="1" applyFill="1" applyBorder="1" applyAlignment="1">
      <alignment horizontal="right" vertical="center" wrapText="1"/>
    </xf>
    <xf numFmtId="176" fontId="11" fillId="0" borderId="14" xfId="34" applyNumberFormat="1" applyFont="1" applyFill="1" applyBorder="1" applyAlignment="1">
      <alignment horizontal="right" vertical="center" wrapText="1"/>
    </xf>
    <xf numFmtId="176" fontId="11" fillId="0" borderId="19" xfId="34" applyNumberFormat="1" applyFont="1" applyFill="1" applyBorder="1" applyAlignment="1">
      <alignment horizontal="right" vertical="center" wrapText="1"/>
    </xf>
    <xf numFmtId="176" fontId="11" fillId="0" borderId="19" xfId="46" applyNumberFormat="1" applyFont="1" applyFill="1" applyBorder="1" applyAlignment="1">
      <alignment horizontal="right" vertical="center" wrapText="1"/>
    </xf>
    <xf numFmtId="0" fontId="11" fillId="0" borderId="0" xfId="9" applyFont="1" applyFill="1" applyBorder="1"/>
    <xf numFmtId="176" fontId="95" fillId="0" borderId="19" xfId="46" applyNumberFormat="1" applyFont="1" applyFill="1" applyBorder="1" applyAlignment="1">
      <alignment vertical="center" wrapText="1"/>
    </xf>
    <xf numFmtId="176" fontId="95" fillId="0" borderId="7" xfId="34" applyNumberFormat="1" applyFont="1" applyFill="1" applyBorder="1" applyAlignment="1">
      <alignment horizontal="right" vertical="center" wrapText="1"/>
    </xf>
    <xf numFmtId="176" fontId="95" fillId="0" borderId="1" xfId="34" applyNumberFormat="1" applyFont="1" applyFill="1" applyBorder="1" applyAlignment="1">
      <alignment horizontal="right" vertical="center" wrapText="1"/>
    </xf>
    <xf numFmtId="176" fontId="95" fillId="0" borderId="14" xfId="34" applyNumberFormat="1" applyFont="1" applyFill="1" applyBorder="1" applyAlignment="1">
      <alignment horizontal="right" vertical="center" wrapText="1"/>
    </xf>
    <xf numFmtId="176" fontId="95" fillId="0" borderId="19" xfId="34" applyNumberFormat="1" applyFont="1" applyFill="1" applyBorder="1" applyAlignment="1">
      <alignment horizontal="right" vertical="center" wrapText="1"/>
    </xf>
    <xf numFmtId="0" fontId="10" fillId="0" borderId="1" xfId="9" applyFont="1" applyFill="1" applyBorder="1" applyAlignment="1">
      <alignment horizontal="left" vertical="center" wrapText="1"/>
    </xf>
    <xf numFmtId="176" fontId="10" fillId="0" borderId="13" xfId="34" applyNumberFormat="1" applyFont="1" applyFill="1" applyBorder="1" applyAlignment="1">
      <alignment horizontal="right" vertical="center" wrapText="1"/>
    </xf>
    <xf numFmtId="167" fontId="8" fillId="0" borderId="0" xfId="24" applyNumberFormat="1" applyFont="1" applyFill="1" applyBorder="1"/>
    <xf numFmtId="0" fontId="11" fillId="0" borderId="1" xfId="9" applyFont="1" applyFill="1" applyBorder="1" applyAlignment="1">
      <alignment wrapText="1"/>
    </xf>
    <xf numFmtId="176" fontId="15" fillId="0" borderId="70" xfId="46" applyNumberFormat="1" applyFont="1" applyFill="1" applyBorder="1" applyAlignment="1">
      <alignment vertical="center" wrapText="1"/>
    </xf>
    <xf numFmtId="176" fontId="15" fillId="0" borderId="15" xfId="3" applyNumberFormat="1" applyFont="1" applyFill="1" applyBorder="1" applyAlignment="1">
      <alignment vertical="center" wrapText="1"/>
    </xf>
    <xf numFmtId="176" fontId="15" fillId="0" borderId="16" xfId="3" applyNumberFormat="1" applyFont="1" applyFill="1" applyBorder="1" applyAlignment="1">
      <alignment horizontal="right" vertical="center" wrapText="1"/>
    </xf>
    <xf numFmtId="176" fontId="15" fillId="0" borderId="70" xfId="3" applyNumberFormat="1" applyFont="1" applyFill="1" applyBorder="1" applyAlignment="1">
      <alignment horizontal="right" vertical="center" wrapText="1"/>
    </xf>
    <xf numFmtId="176" fontId="11" fillId="0" borderId="7" xfId="37" applyNumberFormat="1" applyFont="1" applyFill="1" applyBorder="1" applyAlignment="1">
      <alignment horizontal="left" vertical="center" wrapText="1"/>
    </xf>
    <xf numFmtId="176" fontId="11" fillId="0" borderId="1" xfId="37" applyNumberFormat="1" applyFont="1" applyFill="1" applyBorder="1" applyAlignment="1">
      <alignment horizontal="left" vertical="center" wrapText="1"/>
    </xf>
    <xf numFmtId="176" fontId="11" fillId="0" borderId="14" xfId="37" applyNumberFormat="1" applyFont="1" applyFill="1" applyBorder="1" applyAlignment="1">
      <alignment horizontal="right" vertical="center" wrapText="1"/>
    </xf>
    <xf numFmtId="176" fontId="11" fillId="0" borderId="19" xfId="37" applyNumberFormat="1" applyFont="1" applyFill="1" applyBorder="1" applyAlignment="1">
      <alignment horizontal="right" vertical="center" wrapText="1"/>
    </xf>
    <xf numFmtId="176" fontId="10" fillId="0" borderId="71" xfId="46" applyNumberFormat="1" applyFont="1" applyFill="1" applyBorder="1" applyAlignment="1">
      <alignment vertical="center" wrapText="1"/>
    </xf>
    <xf numFmtId="176" fontId="10" fillId="0" borderId="18" xfId="34" applyNumberFormat="1" applyFont="1" applyFill="1" applyBorder="1" applyAlignment="1">
      <alignment horizontal="right" vertical="center" wrapText="1"/>
    </xf>
    <xf numFmtId="176" fontId="10" fillId="0" borderId="2" xfId="34" applyNumberFormat="1" applyFont="1" applyFill="1" applyBorder="1" applyAlignment="1">
      <alignment horizontal="right" vertical="center" wrapText="1"/>
    </xf>
    <xf numFmtId="176" fontId="10" fillId="0" borderId="30" xfId="34" applyNumberFormat="1" applyFont="1" applyFill="1" applyBorder="1" applyAlignment="1">
      <alignment horizontal="right" vertical="center" wrapText="1"/>
    </xf>
    <xf numFmtId="176" fontId="10" fillId="0" borderId="71" xfId="34" applyNumberFormat="1" applyFont="1" applyFill="1" applyBorder="1" applyAlignment="1">
      <alignment horizontal="right" vertical="center" wrapText="1"/>
    </xf>
    <xf numFmtId="49" fontId="11" fillId="0" borderId="1" xfId="14" applyNumberFormat="1" applyFont="1" applyFill="1" applyBorder="1" applyAlignment="1">
      <alignment horizontal="center" vertical="center" wrapText="1"/>
    </xf>
    <xf numFmtId="176" fontId="10" fillId="0" borderId="7" xfId="3" applyNumberFormat="1" applyFont="1" applyFill="1" applyBorder="1" applyAlignment="1">
      <alignment vertical="center" wrapText="1"/>
    </xf>
    <xf numFmtId="176" fontId="10" fillId="0" borderId="14" xfId="3" applyNumberFormat="1" applyFont="1" applyFill="1" applyBorder="1" applyAlignment="1">
      <alignment horizontal="right" vertical="center" wrapText="1"/>
    </xf>
    <xf numFmtId="176" fontId="10" fillId="0" borderId="19" xfId="3" applyNumberFormat="1" applyFont="1" applyFill="1" applyBorder="1" applyAlignment="1">
      <alignment horizontal="right" vertical="center" wrapText="1"/>
    </xf>
    <xf numFmtId="176" fontId="10" fillId="0" borderId="14" xfId="38" applyNumberFormat="1" applyFont="1" applyFill="1" applyBorder="1" applyAlignment="1">
      <alignment horizontal="right" vertical="center" wrapText="1"/>
    </xf>
    <xf numFmtId="176" fontId="10" fillId="0" borderId="19" xfId="38" applyNumberFormat="1" applyFont="1" applyFill="1" applyBorder="1" applyAlignment="1">
      <alignment horizontal="right" vertical="center" wrapText="1"/>
    </xf>
    <xf numFmtId="0" fontId="11" fillId="0" borderId="0" xfId="9" applyFont="1" applyFill="1" applyBorder="1" applyAlignment="1">
      <alignment vertical="top" wrapText="1"/>
    </xf>
    <xf numFmtId="0" fontId="12" fillId="0" borderId="1" xfId="9" applyFont="1" applyFill="1" applyBorder="1" applyAlignment="1">
      <alignment horizontal="left" vertical="center" wrapText="1"/>
    </xf>
    <xf numFmtId="176" fontId="106" fillId="0" borderId="19" xfId="46" applyNumberFormat="1" applyFont="1" applyFill="1" applyBorder="1" applyAlignment="1">
      <alignment vertical="center" wrapText="1"/>
    </xf>
    <xf numFmtId="49" fontId="15" fillId="0" borderId="1" xfId="9" applyNumberFormat="1" applyFont="1" applyFill="1" applyBorder="1" applyAlignment="1">
      <alignment horizontal="center" vertical="center" wrapText="1"/>
    </xf>
    <xf numFmtId="176" fontId="15" fillId="0" borderId="14" xfId="9" applyNumberFormat="1" applyFont="1" applyFill="1" applyBorder="1" applyAlignment="1">
      <alignment horizontal="right" vertical="center" wrapText="1"/>
    </xf>
    <xf numFmtId="176" fontId="15" fillId="0" borderId="19" xfId="9" applyNumberFormat="1" applyFont="1" applyFill="1" applyBorder="1" applyAlignment="1">
      <alignment horizontal="right" vertical="center" wrapText="1"/>
    </xf>
    <xf numFmtId="49" fontId="11" fillId="0" borderId="1" xfId="9" applyNumberFormat="1" applyFont="1" applyFill="1" applyBorder="1" applyAlignment="1">
      <alignment horizontal="center" vertical="center" wrapText="1"/>
    </xf>
    <xf numFmtId="49" fontId="71" fillId="0" borderId="1" xfId="9" applyNumberFormat="1" applyFont="1" applyFill="1" applyBorder="1" applyAlignment="1">
      <alignment horizontal="center" vertical="center" wrapText="1"/>
    </xf>
    <xf numFmtId="176" fontId="10" fillId="0" borderId="14" xfId="9" applyNumberFormat="1" applyFont="1" applyFill="1" applyBorder="1" applyAlignment="1">
      <alignment horizontal="right" vertical="center" wrapText="1"/>
    </xf>
    <xf numFmtId="176" fontId="10" fillId="0" borderId="19" xfId="9" applyNumberFormat="1" applyFont="1" applyFill="1" applyBorder="1" applyAlignment="1">
      <alignment horizontal="right" vertical="center" wrapText="1"/>
    </xf>
    <xf numFmtId="49" fontId="23" fillId="0" borderId="1" xfId="9" applyNumberFormat="1" applyFont="1" applyFill="1" applyBorder="1" applyAlignment="1">
      <alignment horizontal="center" vertical="center" wrapText="1"/>
    </xf>
    <xf numFmtId="49" fontId="10" fillId="0" borderId="1" xfId="9" applyNumberFormat="1" applyFont="1" applyFill="1" applyBorder="1" applyAlignment="1">
      <alignment horizontal="center" vertical="center" wrapText="1"/>
    </xf>
    <xf numFmtId="49" fontId="70" fillId="0" borderId="1" xfId="9" applyNumberFormat="1" applyFont="1" applyFill="1" applyBorder="1" applyAlignment="1">
      <alignment horizontal="center" vertical="center" wrapText="1"/>
    </xf>
    <xf numFmtId="49" fontId="10" fillId="0" borderId="23" xfId="9" applyNumberFormat="1" applyFont="1" applyFill="1" applyBorder="1" applyAlignment="1">
      <alignment horizontal="center" vertical="center" wrapText="1"/>
    </xf>
    <xf numFmtId="49" fontId="70" fillId="0" borderId="23" xfId="9" applyNumberFormat="1" applyFont="1" applyFill="1" applyBorder="1" applyAlignment="1">
      <alignment horizontal="center" vertical="center" wrapText="1"/>
    </xf>
    <xf numFmtId="0" fontId="18" fillId="0" borderId="1" xfId="9" applyFont="1" applyFill="1" applyBorder="1" applyAlignment="1">
      <alignment horizontal="left" vertical="center" wrapText="1"/>
    </xf>
    <xf numFmtId="49" fontId="18" fillId="0" borderId="23" xfId="9" applyNumberFormat="1" applyFont="1" applyFill="1" applyBorder="1" applyAlignment="1">
      <alignment horizontal="center" vertical="center" wrapText="1"/>
    </xf>
    <xf numFmtId="172" fontId="84" fillId="0" borderId="23" xfId="5" applyNumberFormat="1" applyFont="1" applyFill="1" applyBorder="1" applyAlignment="1">
      <alignment vertical="center" wrapText="1"/>
    </xf>
    <xf numFmtId="172" fontId="57" fillId="0" borderId="23" xfId="5" applyNumberFormat="1" applyFont="1" applyFill="1" applyBorder="1" applyAlignment="1">
      <alignment vertical="center" wrapText="1"/>
    </xf>
    <xf numFmtId="0" fontId="12" fillId="0" borderId="1" xfId="9" applyFont="1" applyFill="1" applyBorder="1"/>
    <xf numFmtId="0" fontId="83" fillId="0" borderId="1" xfId="9" applyFont="1" applyFill="1" applyBorder="1" applyAlignment="1">
      <alignment horizontal="left" vertical="center" wrapText="1"/>
    </xf>
    <xf numFmtId="0" fontId="16" fillId="0" borderId="1" xfId="9" applyFont="1" applyFill="1" applyBorder="1" applyAlignment="1">
      <alignment vertical="center" wrapText="1"/>
    </xf>
    <xf numFmtId="49" fontId="8" fillId="0" borderId="1" xfId="9" applyNumberFormat="1" applyFont="1" applyFill="1" applyBorder="1" applyAlignment="1">
      <alignment horizontal="center" vertical="center" wrapText="1"/>
    </xf>
    <xf numFmtId="0" fontId="11" fillId="0" borderId="18" xfId="9" applyFont="1" applyFill="1" applyBorder="1"/>
    <xf numFmtId="0" fontId="11" fillId="0" borderId="7" xfId="9" applyFont="1" applyFill="1" applyBorder="1"/>
    <xf numFmtId="176" fontId="10" fillId="0" borderId="9" xfId="34" applyNumberFormat="1" applyFont="1" applyFill="1" applyBorder="1" applyAlignment="1">
      <alignment horizontal="right" vertical="center" wrapText="1"/>
    </xf>
    <xf numFmtId="0" fontId="23" fillId="0" borderId="23" xfId="9" applyFont="1" applyFill="1" applyBorder="1" applyAlignment="1">
      <alignment horizontal="left" vertical="center" wrapText="1"/>
    </xf>
    <xf numFmtId="176" fontId="15" fillId="0" borderId="19" xfId="46" applyNumberFormat="1" applyFont="1" applyFill="1" applyBorder="1" applyAlignment="1" applyProtection="1">
      <alignment vertical="center" wrapText="1"/>
      <protection locked="0"/>
    </xf>
    <xf numFmtId="176" fontId="15" fillId="0" borderId="7" xfId="34" applyNumberFormat="1" applyFont="1" applyFill="1" applyBorder="1" applyAlignment="1" applyProtection="1">
      <alignment horizontal="right" vertical="center" wrapText="1"/>
      <protection locked="0"/>
    </xf>
    <xf numFmtId="176" fontId="15" fillId="0" borderId="1" xfId="34" applyNumberFormat="1" applyFont="1" applyFill="1" applyBorder="1" applyAlignment="1" applyProtection="1">
      <alignment horizontal="right" vertical="center" wrapText="1"/>
      <protection locked="0"/>
    </xf>
    <xf numFmtId="176" fontId="15" fillId="0" borderId="9" xfId="34" applyNumberFormat="1" applyFont="1" applyFill="1" applyBorder="1" applyAlignment="1" applyProtection="1">
      <alignment horizontal="right" vertical="center" wrapText="1"/>
      <protection locked="0"/>
    </xf>
    <xf numFmtId="176" fontId="15" fillId="0" borderId="19" xfId="34" applyNumberFormat="1" applyFont="1" applyFill="1" applyBorder="1" applyAlignment="1" applyProtection="1">
      <alignment horizontal="right" vertical="center" wrapText="1"/>
      <protection locked="0"/>
    </xf>
    <xf numFmtId="176" fontId="11" fillId="0" borderId="14" xfId="24" applyNumberFormat="1" applyFont="1" applyFill="1" applyBorder="1" applyAlignment="1">
      <alignment horizontal="right" vertical="center" wrapText="1"/>
    </xf>
    <xf numFmtId="176" fontId="11" fillId="0" borderId="19" xfId="24" applyNumberFormat="1" applyFont="1" applyFill="1" applyBorder="1" applyAlignment="1">
      <alignment horizontal="right" vertical="center" wrapText="1"/>
    </xf>
    <xf numFmtId="0" fontId="11" fillId="0" borderId="0" xfId="9" applyFont="1" applyFill="1" applyBorder="1" applyAlignment="1">
      <alignment wrapText="1"/>
    </xf>
    <xf numFmtId="172" fontId="11" fillId="0" borderId="23" xfId="5" applyNumberFormat="1" applyFont="1" applyFill="1" applyBorder="1" applyAlignment="1">
      <alignment vertical="center" wrapText="1"/>
    </xf>
    <xf numFmtId="176" fontId="96" fillId="0" borderId="19" xfId="46" applyNumberFormat="1" applyFont="1" applyFill="1" applyBorder="1" applyAlignment="1">
      <alignment vertical="center" wrapText="1"/>
    </xf>
    <xf numFmtId="176" fontId="96" fillId="0" borderId="7" xfId="34" applyNumberFormat="1" applyFont="1" applyFill="1" applyBorder="1" applyAlignment="1">
      <alignment horizontal="right" vertical="center" wrapText="1"/>
    </xf>
    <xf numFmtId="176" fontId="96" fillId="0" borderId="1" xfId="34" applyNumberFormat="1" applyFont="1" applyFill="1" applyBorder="1" applyAlignment="1">
      <alignment horizontal="right" vertical="center" wrapText="1"/>
    </xf>
    <xf numFmtId="176" fontId="96" fillId="0" borderId="14" xfId="34" applyNumberFormat="1" applyFont="1" applyFill="1" applyBorder="1" applyAlignment="1">
      <alignment horizontal="right" vertical="center" wrapText="1"/>
    </xf>
    <xf numFmtId="176" fontId="96" fillId="0" borderId="19" xfId="34" applyNumberFormat="1" applyFont="1" applyFill="1" applyBorder="1" applyAlignment="1">
      <alignment horizontal="right" vertical="center" wrapText="1"/>
    </xf>
    <xf numFmtId="176" fontId="11" fillId="0" borderId="7" xfId="34" applyNumberFormat="1" applyFont="1" applyFill="1" applyBorder="1" applyAlignment="1">
      <alignment horizontal="left" vertical="center" wrapText="1"/>
    </xf>
    <xf numFmtId="176" fontId="11" fillId="0" borderId="1" xfId="34" applyNumberFormat="1" applyFont="1" applyFill="1" applyBorder="1" applyAlignment="1">
      <alignment horizontal="left" vertical="center" wrapText="1"/>
    </xf>
    <xf numFmtId="176" fontId="11" fillId="0" borderId="19" xfId="46" applyNumberFormat="1" applyFont="1" applyFill="1" applyBorder="1" applyAlignment="1"/>
    <xf numFmtId="176" fontId="11" fillId="0" borderId="14" xfId="3" applyNumberFormat="1" applyFont="1" applyFill="1" applyBorder="1" applyAlignment="1">
      <alignment horizontal="right"/>
    </xf>
    <xf numFmtId="176" fontId="11" fillId="0" borderId="19" xfId="3" applyNumberFormat="1" applyFont="1" applyFill="1" applyBorder="1" applyAlignment="1">
      <alignment horizontal="right"/>
    </xf>
    <xf numFmtId="176" fontId="10" fillId="0" borderId="10" xfId="3" applyNumberFormat="1" applyFont="1" applyFill="1" applyBorder="1" applyAlignment="1">
      <alignment horizontal="right" vertical="center" wrapText="1"/>
    </xf>
    <xf numFmtId="176" fontId="10" fillId="0" borderId="71" xfId="3" applyNumberFormat="1" applyFont="1" applyFill="1" applyBorder="1" applyAlignment="1">
      <alignment horizontal="right" vertical="center" wrapText="1"/>
    </xf>
    <xf numFmtId="0" fontId="10" fillId="0" borderId="1" xfId="9" applyFont="1" applyFill="1" applyBorder="1" applyAlignment="1">
      <alignment horizontal="justify" vertical="top" wrapText="1"/>
    </xf>
    <xf numFmtId="176" fontId="10" fillId="0" borderId="0" xfId="34" applyNumberFormat="1" applyFont="1" applyFill="1" applyBorder="1" applyAlignment="1">
      <alignment horizontal="right" vertical="center" wrapText="1"/>
    </xf>
    <xf numFmtId="176" fontId="8" fillId="0" borderId="0" xfId="3" applyNumberFormat="1" applyFont="1" applyFill="1" applyBorder="1"/>
    <xf numFmtId="176" fontId="11" fillId="0" borderId="14" xfId="24" applyNumberFormat="1" applyFont="1" applyFill="1" applyBorder="1" applyAlignment="1">
      <alignment horizontal="right"/>
    </xf>
    <xf numFmtId="176" fontId="11" fillId="0" borderId="19" xfId="24" applyNumberFormat="1" applyFont="1" applyFill="1" applyBorder="1" applyAlignment="1">
      <alignment horizontal="right"/>
    </xf>
    <xf numFmtId="0" fontId="75" fillId="0" borderId="7" xfId="3" applyFont="1" applyFill="1" applyBorder="1" applyAlignment="1">
      <alignment horizontal="left" vertical="center" wrapText="1"/>
    </xf>
    <xf numFmtId="176" fontId="18" fillId="0" borderId="72" xfId="46" applyNumberFormat="1" applyFont="1" applyFill="1" applyBorder="1" applyAlignment="1"/>
    <xf numFmtId="176" fontId="18" fillId="0" borderId="0" xfId="3" applyNumberFormat="1" applyFont="1" applyFill="1" applyBorder="1"/>
    <xf numFmtId="176" fontId="18" fillId="0" borderId="0" xfId="3" applyNumberFormat="1" applyFont="1" applyFill="1" applyBorder="1" applyAlignment="1">
      <alignment horizontal="right"/>
    </xf>
    <xf numFmtId="176" fontId="18" fillId="0" borderId="72" xfId="3" applyNumberFormat="1" applyFont="1" applyFill="1" applyBorder="1" applyAlignment="1">
      <alignment horizontal="right"/>
    </xf>
    <xf numFmtId="176" fontId="8" fillId="0" borderId="72" xfId="46" applyNumberFormat="1" applyFont="1" applyFill="1" applyBorder="1" applyAlignment="1"/>
    <xf numFmtId="176" fontId="8" fillId="0" borderId="0" xfId="3" applyNumberFormat="1" applyFont="1" applyFill="1" applyBorder="1" applyAlignment="1">
      <alignment horizontal="right"/>
    </xf>
    <xf numFmtId="176" fontId="8" fillId="0" borderId="72" xfId="3" applyNumberFormat="1" applyFont="1" applyFill="1" applyBorder="1" applyAlignment="1">
      <alignment horizontal="right"/>
    </xf>
    <xf numFmtId="176" fontId="11" fillId="0" borderId="13" xfId="3" applyNumberFormat="1" applyFont="1" applyFill="1" applyBorder="1" applyAlignment="1">
      <alignment horizontal="right" vertical="center" wrapText="1"/>
    </xf>
    <xf numFmtId="176" fontId="11" fillId="0" borderId="19" xfId="3" applyNumberFormat="1" applyFont="1" applyFill="1" applyBorder="1" applyAlignment="1">
      <alignment horizontal="right" vertical="center" wrapText="1"/>
    </xf>
    <xf numFmtId="172" fontId="11" fillId="0" borderId="16" xfId="5" applyNumberFormat="1" applyFont="1" applyFill="1" applyBorder="1" applyAlignment="1">
      <alignment vertical="center" wrapText="1"/>
    </xf>
    <xf numFmtId="176" fontId="12" fillId="0" borderId="7" xfId="3" applyNumberFormat="1" applyFont="1" applyFill="1" applyBorder="1" applyAlignment="1">
      <alignment horizontal="right" vertical="center" wrapText="1"/>
    </xf>
    <xf numFmtId="176" fontId="12" fillId="0" borderId="13" xfId="3" applyNumberFormat="1" applyFont="1" applyFill="1" applyBorder="1" applyAlignment="1">
      <alignment horizontal="right" vertical="center" wrapText="1"/>
    </xf>
    <xf numFmtId="176" fontId="12" fillId="0" borderId="19" xfId="3" applyNumberFormat="1" applyFont="1" applyFill="1" applyBorder="1" applyAlignment="1">
      <alignment horizontal="right" vertical="center" wrapText="1"/>
    </xf>
    <xf numFmtId="176" fontId="15" fillId="0" borderId="71" xfId="46" applyNumberFormat="1" applyFont="1" applyFill="1" applyBorder="1" applyAlignment="1">
      <alignment vertical="center" wrapText="1"/>
    </xf>
    <xf numFmtId="176" fontId="10" fillId="0" borderId="18" xfId="34" applyNumberFormat="1" applyFont="1" applyFill="1" applyBorder="1" applyAlignment="1">
      <alignment vertical="center" wrapText="1"/>
    </xf>
    <xf numFmtId="176" fontId="15" fillId="0" borderId="10" xfId="34" applyNumberFormat="1" applyFont="1" applyFill="1" applyBorder="1" applyAlignment="1">
      <alignment horizontal="right" vertical="center" wrapText="1"/>
    </xf>
    <xf numFmtId="176" fontId="15" fillId="0" borderId="71" xfId="34" applyNumberFormat="1" applyFont="1" applyFill="1" applyBorder="1" applyAlignment="1">
      <alignment horizontal="right" vertical="center" wrapText="1"/>
    </xf>
    <xf numFmtId="176" fontId="10" fillId="0" borderId="10" xfId="34" applyNumberFormat="1" applyFont="1" applyFill="1" applyBorder="1" applyAlignment="1">
      <alignment horizontal="right" vertical="center" wrapText="1"/>
    </xf>
    <xf numFmtId="176" fontId="12" fillId="0" borderId="71" xfId="46" applyNumberFormat="1" applyFont="1" applyFill="1" applyBorder="1" applyAlignment="1">
      <alignment vertical="center" wrapText="1"/>
    </xf>
    <xf numFmtId="176" fontId="12" fillId="0" borderId="18" xfId="3" applyNumberFormat="1" applyFont="1" applyFill="1" applyBorder="1" applyAlignment="1">
      <alignment horizontal="right" vertical="center" wrapText="1"/>
    </xf>
    <xf numFmtId="176" fontId="12" fillId="0" borderId="10" xfId="3" applyNumberFormat="1" applyFont="1" applyFill="1" applyBorder="1" applyAlignment="1">
      <alignment horizontal="right" vertical="center" wrapText="1"/>
    </xf>
    <xf numFmtId="176" fontId="12" fillId="0" borderId="71" xfId="3" applyNumberFormat="1" applyFont="1" applyFill="1" applyBorder="1" applyAlignment="1">
      <alignment horizontal="right" vertical="center" wrapText="1"/>
    </xf>
    <xf numFmtId="0" fontId="11" fillId="0" borderId="10" xfId="9" applyFont="1" applyFill="1" applyBorder="1"/>
    <xf numFmtId="176" fontId="12" fillId="0" borderId="19" xfId="46" applyNumberFormat="1" applyFont="1" applyFill="1" applyBorder="1" applyAlignment="1"/>
    <xf numFmtId="176" fontId="12" fillId="0" borderId="7" xfId="34" applyNumberFormat="1" applyFont="1" applyFill="1" applyBorder="1" applyAlignment="1">
      <alignment horizontal="right"/>
    </xf>
    <xf numFmtId="176" fontId="12" fillId="0" borderId="1" xfId="34" applyNumberFormat="1" applyFont="1" applyFill="1" applyBorder="1" applyAlignment="1">
      <alignment horizontal="right"/>
    </xf>
    <xf numFmtId="176" fontId="12" fillId="0" borderId="14" xfId="34" applyNumberFormat="1" applyFont="1" applyFill="1" applyBorder="1" applyAlignment="1">
      <alignment horizontal="right"/>
    </xf>
    <xf numFmtId="176" fontId="12" fillId="0" borderId="19" xfId="34" applyNumberFormat="1" applyFont="1" applyFill="1" applyBorder="1" applyAlignment="1">
      <alignment horizontal="right"/>
    </xf>
    <xf numFmtId="0" fontId="11" fillId="0" borderId="1" xfId="9" applyFont="1" applyFill="1" applyBorder="1" applyAlignment="1">
      <alignment vertical="justify" wrapText="1"/>
    </xf>
    <xf numFmtId="176" fontId="11" fillId="0" borderId="7" xfId="34" applyNumberFormat="1" applyFont="1" applyFill="1" applyBorder="1" applyAlignment="1">
      <alignment horizontal="right"/>
    </xf>
    <xf numFmtId="176" fontId="11" fillId="0" borderId="1" xfId="34" applyNumberFormat="1" applyFont="1" applyFill="1" applyBorder="1" applyAlignment="1">
      <alignment horizontal="right"/>
    </xf>
    <xf numFmtId="176" fontId="11" fillId="0" borderId="14" xfId="34" applyNumberFormat="1" applyFont="1" applyFill="1" applyBorder="1" applyAlignment="1">
      <alignment horizontal="right"/>
    </xf>
    <xf numFmtId="176" fontId="11" fillId="0" borderId="19" xfId="34" applyNumberFormat="1" applyFont="1" applyFill="1" applyBorder="1" applyAlignment="1">
      <alignment horizontal="right"/>
    </xf>
    <xf numFmtId="176" fontId="15" fillId="0" borderId="30" xfId="34" applyNumberFormat="1" applyFont="1" applyFill="1" applyBorder="1" applyAlignment="1">
      <alignment horizontal="right" vertical="center" wrapText="1"/>
    </xf>
    <xf numFmtId="172" fontId="11" fillId="7" borderId="1" xfId="5" applyNumberFormat="1" applyFont="1" applyFill="1" applyBorder="1" applyAlignment="1">
      <alignment horizontal="left" vertical="center" wrapText="1"/>
    </xf>
    <xf numFmtId="176" fontId="12" fillId="0" borderId="71" xfId="46" applyNumberFormat="1" applyFont="1" applyFill="1" applyBorder="1" applyAlignment="1"/>
    <xf numFmtId="176" fontId="12" fillId="0" borderId="30" xfId="34" applyNumberFormat="1" applyFont="1" applyFill="1" applyBorder="1" applyAlignment="1">
      <alignment horizontal="right"/>
    </xf>
    <xf numFmtId="176" fontId="12" fillId="0" borderId="71" xfId="34" applyNumberFormat="1" applyFont="1" applyFill="1" applyBorder="1" applyAlignment="1">
      <alignment horizontal="right"/>
    </xf>
    <xf numFmtId="0" fontId="75" fillId="0" borderId="1" xfId="9" applyFont="1" applyFill="1" applyBorder="1" applyAlignment="1">
      <alignment vertical="center" wrapText="1"/>
    </xf>
    <xf numFmtId="176" fontId="10" fillId="0" borderId="66" xfId="46" applyNumberFormat="1" applyFont="1" applyFill="1" applyBorder="1" applyAlignment="1">
      <alignment vertical="center" wrapText="1"/>
    </xf>
    <xf numFmtId="176" fontId="10" fillId="0" borderId="59" xfId="34" applyNumberFormat="1" applyFont="1" applyFill="1" applyBorder="1" applyAlignment="1">
      <alignment horizontal="right" vertical="center" wrapText="1"/>
    </xf>
    <xf numFmtId="176" fontId="10" fillId="0" borderId="4" xfId="34" applyNumberFormat="1" applyFont="1" applyFill="1" applyBorder="1" applyAlignment="1">
      <alignment horizontal="right" vertical="center" wrapText="1"/>
    </xf>
    <xf numFmtId="176" fontId="10" fillId="0" borderId="74" xfId="34" applyNumberFormat="1" applyFont="1" applyFill="1" applyBorder="1" applyAlignment="1">
      <alignment horizontal="right" vertical="center" wrapText="1"/>
    </xf>
    <xf numFmtId="176" fontId="10" fillId="0" borderId="66" xfId="34" applyNumberFormat="1" applyFont="1" applyFill="1" applyBorder="1" applyAlignment="1">
      <alignment horizontal="right" vertical="center" wrapText="1"/>
    </xf>
    <xf numFmtId="176" fontId="12" fillId="0" borderId="20" xfId="46" applyNumberFormat="1" applyFont="1" applyFill="1" applyBorder="1" applyAlignment="1"/>
    <xf numFmtId="176" fontId="12" fillId="0" borderId="18" xfId="34" applyNumberFormat="1" applyFont="1" applyFill="1" applyBorder="1" applyAlignment="1">
      <alignment horizontal="right"/>
    </xf>
    <xf numFmtId="176" fontId="12" fillId="0" borderId="2" xfId="34" applyNumberFormat="1" applyFont="1" applyFill="1" applyBorder="1" applyAlignment="1">
      <alignment horizontal="right"/>
    </xf>
    <xf numFmtId="176" fontId="12" fillId="0" borderId="20" xfId="34" applyNumberFormat="1" applyFont="1" applyFill="1" applyBorder="1" applyAlignment="1">
      <alignment horizontal="right"/>
    </xf>
    <xf numFmtId="176" fontId="10" fillId="0" borderId="9" xfId="46" applyNumberFormat="1" applyFont="1" applyFill="1" applyBorder="1" applyAlignment="1">
      <alignment vertical="center" wrapText="1"/>
    </xf>
    <xf numFmtId="176" fontId="11" fillId="0" borderId="9" xfId="46" applyNumberFormat="1" applyFont="1" applyFill="1" applyBorder="1" applyAlignment="1"/>
    <xf numFmtId="176" fontId="11" fillId="0" borderId="9" xfId="34" applyNumberFormat="1" applyFont="1" applyFill="1" applyBorder="1" applyAlignment="1">
      <alignment horizontal="right"/>
    </xf>
    <xf numFmtId="176" fontId="10" fillId="0" borderId="3" xfId="46" applyNumberFormat="1" applyFont="1" applyFill="1" applyBorder="1" applyAlignment="1">
      <alignment vertical="center" wrapText="1"/>
    </xf>
    <xf numFmtId="176" fontId="10" fillId="0" borderId="3" xfId="34" applyNumberFormat="1" applyFont="1" applyFill="1" applyBorder="1" applyAlignment="1">
      <alignment horizontal="right" vertical="center" wrapText="1"/>
    </xf>
    <xf numFmtId="166" fontId="15" fillId="0" borderId="9" xfId="34" applyNumberFormat="1" applyFont="1" applyFill="1" applyBorder="1" applyAlignment="1">
      <alignment horizontal="right" vertical="center" wrapText="1"/>
    </xf>
    <xf numFmtId="168" fontId="31" fillId="0" borderId="0" xfId="9" applyNumberFormat="1" applyFont="1" applyFill="1" applyAlignment="1">
      <alignment vertical="center"/>
    </xf>
    <xf numFmtId="168" fontId="18" fillId="0" borderId="0" xfId="3" applyNumberFormat="1" applyFont="1" applyFill="1"/>
    <xf numFmtId="168" fontId="21" fillId="0" borderId="0" xfId="3" applyNumberFormat="1" applyFont="1" applyFill="1"/>
    <xf numFmtId="168" fontId="8" fillId="0" borderId="0" xfId="3" applyNumberFormat="1" applyFont="1" applyFill="1" applyAlignment="1">
      <alignment horizontal="left" vertical="center"/>
    </xf>
    <xf numFmtId="0" fontId="31" fillId="0" borderId="0" xfId="0" applyFont="1" applyFill="1" applyAlignment="1">
      <alignment horizontal="right" vertical="center"/>
    </xf>
    <xf numFmtId="168" fontId="31" fillId="0" borderId="0" xfId="9" applyNumberFormat="1" applyFont="1" applyFill="1" applyAlignment="1">
      <alignment horizontal="right" vertical="center"/>
    </xf>
    <xf numFmtId="0" fontId="35" fillId="0" borderId="0" xfId="7" applyFont="1" applyAlignment="1">
      <alignment horizontal="right"/>
    </xf>
    <xf numFmtId="172" fontId="11" fillId="0" borderId="7" xfId="5" applyNumberFormat="1" applyFont="1" applyFill="1" applyBorder="1" applyAlignment="1">
      <alignment horizontal="left" vertical="center" wrapText="1"/>
    </xf>
    <xf numFmtId="49" fontId="11" fillId="0" borderId="14" xfId="3" applyNumberFormat="1" applyFont="1" applyFill="1" applyBorder="1" applyAlignment="1">
      <alignment horizontal="center" vertical="center" wrapText="1"/>
    </xf>
    <xf numFmtId="0" fontId="14" fillId="0" borderId="1" xfId="3" applyFont="1" applyFill="1" applyBorder="1" applyAlignment="1">
      <alignment horizontal="left" vertical="center" wrapText="1"/>
    </xf>
    <xf numFmtId="0" fontId="12" fillId="0" borderId="1" xfId="9" applyFont="1" applyFill="1" applyBorder="1" applyAlignment="1">
      <alignment wrapText="1"/>
    </xf>
    <xf numFmtId="0" fontId="15" fillId="0" borderId="1" xfId="9" applyFont="1" applyFill="1" applyBorder="1" applyAlignment="1">
      <alignment horizontal="left" vertical="center" wrapText="1"/>
    </xf>
    <xf numFmtId="172" fontId="11" fillId="0" borderId="16" xfId="5" applyNumberFormat="1" applyFont="1" applyFill="1" applyBorder="1" applyAlignment="1">
      <alignment horizontal="left" vertical="center" wrapText="1"/>
    </xf>
    <xf numFmtId="166" fontId="11" fillId="0" borderId="1" xfId="5" applyNumberFormat="1" applyFont="1" applyFill="1" applyBorder="1" applyAlignment="1">
      <alignment horizontal="left" vertical="center" wrapText="1"/>
    </xf>
    <xf numFmtId="49" fontId="50" fillId="0" borderId="75" xfId="5" applyNumberFormat="1" applyFont="1" applyFill="1" applyBorder="1" applyAlignment="1">
      <alignment horizontal="center" vertical="center" wrapText="1"/>
    </xf>
    <xf numFmtId="0" fontId="39" fillId="0" borderId="24" xfId="5" applyFont="1" applyFill="1" applyBorder="1" applyAlignment="1">
      <alignment horizontal="center" vertical="center"/>
    </xf>
    <xf numFmtId="168" fontId="8" fillId="0" borderId="46" xfId="3" applyNumberFormat="1" applyFont="1" applyFill="1" applyBorder="1"/>
    <xf numFmtId="176" fontId="75" fillId="0" borderId="19" xfId="46" applyNumberFormat="1" applyFont="1" applyFill="1" applyBorder="1" applyAlignment="1">
      <alignment horizontal="right" vertical="center" wrapText="1"/>
    </xf>
    <xf numFmtId="49" fontId="41" fillId="0" borderId="30" xfId="5" applyNumberFormat="1" applyFont="1" applyFill="1" applyBorder="1" applyAlignment="1">
      <alignment horizontal="center" vertical="center" wrapText="1"/>
    </xf>
    <xf numFmtId="49" fontId="39" fillId="0" borderId="14" xfId="5" applyNumberFormat="1" applyFont="1" applyFill="1" applyBorder="1" applyAlignment="1">
      <alignment horizontal="center" vertical="center" wrapText="1"/>
    </xf>
    <xf numFmtId="49" fontId="39" fillId="0" borderId="65" xfId="5" applyNumberFormat="1" applyFont="1" applyFill="1" applyBorder="1" applyAlignment="1">
      <alignment horizontal="center" vertical="center" wrapText="1"/>
    </xf>
    <xf numFmtId="49" fontId="39" fillId="0" borderId="58" xfId="5" applyNumberFormat="1" applyFont="1" applyFill="1" applyBorder="1" applyAlignment="1">
      <alignment horizontal="center" vertical="center" wrapText="1"/>
    </xf>
    <xf numFmtId="49" fontId="39" fillId="0" borderId="73" xfId="5" applyNumberFormat="1" applyFont="1" applyFill="1" applyBorder="1" applyAlignment="1">
      <alignment horizontal="center" vertical="center" wrapText="1"/>
    </xf>
    <xf numFmtId="49" fontId="41" fillId="0" borderId="14" xfId="5" applyNumberFormat="1" applyFont="1" applyFill="1" applyBorder="1" applyAlignment="1">
      <alignment horizontal="center" vertical="center" wrapText="1"/>
    </xf>
    <xf numFmtId="168" fontId="39" fillId="0" borderId="15" xfId="5" applyNumberFormat="1" applyFont="1" applyFill="1" applyBorder="1" applyAlignment="1">
      <alignment horizontal="right" vertical="center" wrapText="1"/>
    </xf>
    <xf numFmtId="168" fontId="39" fillId="0" borderId="12" xfId="5" applyNumberFormat="1" applyFont="1" applyFill="1" applyBorder="1" applyAlignment="1">
      <alignment horizontal="right" vertical="center" wrapText="1"/>
    </xf>
    <xf numFmtId="168" fontId="78" fillId="0" borderId="71" xfId="5" applyNumberFormat="1" applyFont="1" applyFill="1" applyBorder="1" applyAlignment="1">
      <alignment horizontal="right" vertical="center" wrapText="1"/>
    </xf>
    <xf numFmtId="168" fontId="57" fillId="0" borderId="19" xfId="5" applyNumberFormat="1" applyFont="1" applyFill="1" applyBorder="1" applyAlignment="1">
      <alignment horizontal="right" vertical="center" wrapText="1"/>
    </xf>
    <xf numFmtId="168" fontId="57" fillId="0" borderId="70" xfId="5" applyNumberFormat="1" applyFont="1" applyFill="1" applyBorder="1" applyAlignment="1">
      <alignment horizontal="right" vertical="center" wrapText="1"/>
    </xf>
    <xf numFmtId="168" fontId="57" fillId="0" borderId="72" xfId="5" applyNumberFormat="1" applyFont="1" applyFill="1" applyBorder="1" applyAlignment="1">
      <alignment horizontal="right" vertical="center" wrapText="1"/>
    </xf>
    <xf numFmtId="168" fontId="78" fillId="0" borderId="67" xfId="5" applyNumberFormat="1" applyFont="1" applyFill="1" applyBorder="1" applyAlignment="1">
      <alignment horizontal="right" vertical="center" wrapText="1"/>
    </xf>
    <xf numFmtId="168" fontId="78" fillId="0" borderId="19" xfId="5" applyNumberFormat="1" applyFont="1" applyFill="1" applyBorder="1" applyAlignment="1">
      <alignment horizontal="right" vertical="center" wrapText="1"/>
    </xf>
    <xf numFmtId="0" fontId="11" fillId="0" borderId="1" xfId="9" applyFont="1" applyBorder="1" applyAlignment="1">
      <alignment horizontal="center" vertical="center" wrapText="1"/>
    </xf>
    <xf numFmtId="166" fontId="11" fillId="0" borderId="1" xfId="3" applyNumberFormat="1" applyFont="1" applyBorder="1" applyAlignment="1">
      <alignment horizontal="center" vertical="center"/>
    </xf>
    <xf numFmtId="0" fontId="30" fillId="0" borderId="0" xfId="27" applyFont="1" applyFill="1" applyAlignment="1"/>
    <xf numFmtId="0" fontId="11" fillId="0" borderId="0" xfId="9" applyFont="1" applyAlignment="1">
      <alignment horizontal="left"/>
    </xf>
    <xf numFmtId="0" fontId="31" fillId="0" borderId="0" xfId="9" applyFont="1"/>
    <xf numFmtId="0" fontId="11" fillId="0" borderId="1" xfId="9" applyFont="1" applyBorder="1" applyAlignment="1">
      <alignment horizontal="left" vertical="center" wrapText="1"/>
    </xf>
    <xf numFmtId="168" fontId="11" fillId="0" borderId="1" xfId="9" applyNumberFormat="1" applyFont="1" applyBorder="1" applyAlignment="1">
      <alignment horizontal="center" vertical="center" wrapText="1"/>
    </xf>
    <xf numFmtId="164" fontId="11" fillId="0" borderId="0" xfId="9" applyNumberFormat="1" applyFont="1"/>
    <xf numFmtId="0" fontId="19" fillId="0" borderId="1" xfId="9" applyFont="1" applyBorder="1" applyAlignment="1">
      <alignment horizontal="left" vertical="center" wrapText="1"/>
    </xf>
    <xf numFmtId="168" fontId="19" fillId="0" borderId="1" xfId="9" applyNumberFormat="1" applyFont="1" applyBorder="1" applyAlignment="1">
      <alignment horizontal="center" vertical="center" wrapText="1"/>
    </xf>
    <xf numFmtId="164" fontId="19" fillId="0" borderId="0" xfId="9" applyNumberFormat="1" applyFont="1"/>
    <xf numFmtId="0" fontId="19" fillId="0" borderId="0" xfId="9" applyFont="1"/>
    <xf numFmtId="0" fontId="12" fillId="0" borderId="1" xfId="9" applyFont="1" applyBorder="1" applyAlignment="1">
      <alignment horizontal="left" vertical="center" wrapText="1"/>
    </xf>
    <xf numFmtId="168" fontId="12" fillId="0" borderId="1" xfId="9" applyNumberFormat="1" applyFont="1" applyBorder="1" applyAlignment="1">
      <alignment horizontal="center" vertical="center" wrapText="1"/>
    </xf>
    <xf numFmtId="164" fontId="12" fillId="0" borderId="0" xfId="9" applyNumberFormat="1" applyFont="1"/>
    <xf numFmtId="0" fontId="12" fillId="0" borderId="0" xfId="9" applyFont="1"/>
    <xf numFmtId="0" fontId="11" fillId="0" borderId="0" xfId="9" applyFont="1" applyBorder="1"/>
    <xf numFmtId="0" fontId="31" fillId="0" borderId="0" xfId="9" applyFont="1" applyAlignment="1">
      <alignment horizontal="left"/>
    </xf>
    <xf numFmtId="0" fontId="35" fillId="0" borderId="0" xfId="7" applyFont="1" applyAlignment="1"/>
    <xf numFmtId="0" fontId="24" fillId="0" borderId="0" xfId="9" applyFont="1" applyAlignment="1">
      <alignment vertical="center" wrapText="1"/>
    </xf>
    <xf numFmtId="0" fontId="24" fillId="0" borderId="0" xfId="32" applyFont="1" applyAlignment="1"/>
    <xf numFmtId="168" fontId="12" fillId="0" borderId="2" xfId="9" applyNumberFormat="1" applyFont="1" applyBorder="1" applyAlignment="1">
      <alignment horizontal="center" vertical="center" wrapText="1"/>
    </xf>
    <xf numFmtId="0" fontId="12" fillId="0" borderId="23" xfId="27" applyFont="1" applyBorder="1" applyAlignment="1">
      <alignment horizontal="center" vertical="center" wrapText="1"/>
    </xf>
    <xf numFmtId="0" fontId="11" fillId="0" borderId="2" xfId="9" applyFont="1" applyBorder="1" applyAlignment="1">
      <alignment horizontal="left" vertical="center" wrapText="1"/>
    </xf>
    <xf numFmtId="168" fontId="11" fillId="0" borderId="2" xfId="9" applyNumberFormat="1" applyFont="1" applyBorder="1" applyAlignment="1">
      <alignment horizontal="center" vertical="center" wrapText="1"/>
    </xf>
    <xf numFmtId="0" fontId="12" fillId="0" borderId="4" xfId="9" applyFont="1" applyBorder="1" applyAlignment="1">
      <alignment horizontal="left" vertical="center" wrapText="1"/>
    </xf>
    <xf numFmtId="168" fontId="12" fillId="0" borderId="4" xfId="9" applyNumberFormat="1" applyFont="1" applyBorder="1" applyAlignment="1">
      <alignment horizontal="center" vertical="center" wrapText="1"/>
    </xf>
    <xf numFmtId="0" fontId="11" fillId="0" borderId="80" xfId="9" applyFont="1" applyBorder="1" applyAlignment="1">
      <alignment horizontal="left" vertical="center" wrapText="1"/>
    </xf>
    <xf numFmtId="168" fontId="11" fillId="0" borderId="80" xfId="9" applyNumberFormat="1" applyFont="1" applyBorder="1" applyAlignment="1">
      <alignment horizontal="center" vertical="center" wrapText="1"/>
    </xf>
    <xf numFmtId="168" fontId="11" fillId="0" borderId="30" xfId="9" applyNumberFormat="1" applyFont="1" applyBorder="1" applyAlignment="1">
      <alignment horizontal="center" vertical="center" wrapText="1"/>
    </xf>
    <xf numFmtId="168" fontId="11" fillId="0" borderId="14" xfId="9" applyNumberFormat="1" applyFont="1" applyBorder="1" applyAlignment="1">
      <alignment horizontal="center" vertical="center" wrapText="1"/>
    </xf>
    <xf numFmtId="168" fontId="12" fillId="0" borderId="14" xfId="9" applyNumberFormat="1" applyFont="1" applyBorder="1" applyAlignment="1">
      <alignment horizontal="center" vertical="center" wrapText="1"/>
    </xf>
    <xf numFmtId="168" fontId="12" fillId="0" borderId="74" xfId="9" applyNumberFormat="1" applyFont="1" applyBorder="1" applyAlignment="1">
      <alignment horizontal="center" vertical="center" wrapText="1"/>
    </xf>
    <xf numFmtId="168" fontId="11" fillId="0" borderId="81" xfId="9" applyNumberFormat="1" applyFont="1" applyBorder="1" applyAlignment="1">
      <alignment horizontal="center" vertical="center" wrapText="1"/>
    </xf>
    <xf numFmtId="0" fontId="11" fillId="0" borderId="72" xfId="9" applyFont="1" applyBorder="1" applyAlignment="1"/>
    <xf numFmtId="0" fontId="69" fillId="0" borderId="48" xfId="9" applyFont="1" applyBorder="1" applyAlignment="1">
      <alignment vertical="center" wrapText="1"/>
    </xf>
    <xf numFmtId="0" fontId="69" fillId="0" borderId="0" xfId="9" applyFont="1" applyBorder="1" applyAlignment="1">
      <alignment vertical="center" wrapText="1"/>
    </xf>
    <xf numFmtId="0" fontId="69" fillId="0" borderId="11" xfId="9" applyFont="1" applyBorder="1" applyAlignment="1">
      <alignment vertical="center" wrapText="1"/>
    </xf>
    <xf numFmtId="0" fontId="11" fillId="0" borderId="0" xfId="9" applyFont="1" applyAlignment="1">
      <alignment horizontal="right"/>
    </xf>
    <xf numFmtId="0" fontId="102" fillId="0" borderId="24" xfId="42" applyFont="1" applyFill="1" applyBorder="1" applyAlignment="1">
      <alignment horizontal="center" vertical="center" wrapText="1"/>
    </xf>
    <xf numFmtId="0" fontId="102" fillId="0" borderId="23" xfId="42" applyFont="1" applyFill="1" applyBorder="1" applyAlignment="1">
      <alignment horizontal="left" vertical="center" wrapText="1"/>
    </xf>
    <xf numFmtId="168" fontId="102" fillId="7" borderId="23" xfId="43" applyNumberFormat="1" applyFont="1" applyFill="1" applyBorder="1" applyAlignment="1">
      <alignment horizontal="right" vertical="center" wrapText="1"/>
    </xf>
    <xf numFmtId="168" fontId="102" fillId="7" borderId="34" xfId="43" applyNumberFormat="1" applyFont="1" applyFill="1" applyBorder="1" applyAlignment="1">
      <alignment horizontal="right" vertical="center" wrapText="1"/>
    </xf>
    <xf numFmtId="168" fontId="52" fillId="0" borderId="0" xfId="34" applyNumberFormat="1" applyFont="1" applyFill="1" applyAlignment="1"/>
    <xf numFmtId="0" fontId="31" fillId="0" borderId="0" xfId="9" applyFont="1" applyFill="1" applyAlignment="1">
      <alignment horizontal="center" vertical="center"/>
    </xf>
    <xf numFmtId="182" fontId="7" fillId="0" borderId="0" xfId="7" applyNumberFormat="1" applyFill="1"/>
    <xf numFmtId="165" fontId="8" fillId="0" borderId="0" xfId="1" applyFont="1" applyFill="1" applyBorder="1"/>
    <xf numFmtId="165" fontId="8" fillId="0" borderId="0" xfId="1" applyFont="1" applyFill="1"/>
    <xf numFmtId="171" fontId="8" fillId="0" borderId="0" xfId="3" applyNumberFormat="1" applyFont="1" applyFill="1"/>
    <xf numFmtId="0" fontId="13" fillId="0" borderId="8" xfId="3" applyFont="1" applyFill="1" applyBorder="1"/>
    <xf numFmtId="0" fontId="12" fillId="0" borderId="60" xfId="44" applyFont="1" applyFill="1" applyBorder="1" applyAlignment="1">
      <alignment horizontal="left" vertical="center" wrapText="1"/>
    </xf>
    <xf numFmtId="0" fontId="13" fillId="0" borderId="29" xfId="3" applyFont="1" applyFill="1" applyBorder="1"/>
    <xf numFmtId="166" fontId="49" fillId="0" borderId="26" xfId="5" applyNumberFormat="1" applyFont="1" applyFill="1" applyBorder="1" applyAlignment="1">
      <alignment horizontal="left" vertical="center" wrapText="1"/>
    </xf>
    <xf numFmtId="0" fontId="13" fillId="0" borderId="5" xfId="3" applyFont="1" applyFill="1" applyBorder="1"/>
    <xf numFmtId="166" fontId="49" fillId="0" borderId="4" xfId="5" applyNumberFormat="1" applyFont="1" applyFill="1" applyBorder="1" applyAlignment="1">
      <alignment horizontal="left" vertical="center" wrapText="1" indent="2"/>
    </xf>
    <xf numFmtId="49" fontId="49" fillId="0" borderId="4" xfId="5" applyNumberFormat="1" applyFont="1" applyFill="1" applyBorder="1" applyAlignment="1">
      <alignment horizontal="center" vertical="center" wrapText="1"/>
    </xf>
    <xf numFmtId="49" fontId="49" fillId="0" borderId="74" xfId="5" applyNumberFormat="1" applyFont="1" applyFill="1" applyBorder="1" applyAlignment="1">
      <alignment horizontal="center" vertical="center" wrapText="1"/>
    </xf>
    <xf numFmtId="171" fontId="7" fillId="0" borderId="0" xfId="7" applyNumberFormat="1" applyFill="1"/>
    <xf numFmtId="0" fontId="50" fillId="0" borderId="0" xfId="0" applyFont="1" applyFill="1" applyAlignment="1">
      <alignment horizontal="left" vertical="center"/>
    </xf>
    <xf numFmtId="49" fontId="18" fillId="0" borderId="1" xfId="0" applyNumberFormat="1" applyFont="1" applyFill="1" applyBorder="1" applyAlignment="1">
      <alignment horizontal="center" vertical="center" wrapText="1"/>
    </xf>
    <xf numFmtId="0" fontId="31" fillId="0" borderId="1" xfId="0" applyFont="1" applyFill="1" applyBorder="1" applyAlignment="1">
      <alignment horizontal="left" vertical="center" wrapText="1"/>
    </xf>
    <xf numFmtId="0" fontId="55" fillId="0" borderId="1" xfId="0" applyNumberFormat="1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49" fontId="55" fillId="0" borderId="1" xfId="0" applyNumberFormat="1" applyFont="1" applyFill="1" applyBorder="1" applyAlignment="1">
      <alignment horizontal="center" vertical="center" wrapText="1"/>
    </xf>
    <xf numFmtId="0" fontId="55" fillId="0" borderId="1" xfId="0" applyFont="1" applyFill="1" applyBorder="1" applyAlignment="1">
      <alignment horizontal="left" vertical="center" wrapText="1"/>
    </xf>
    <xf numFmtId="0" fontId="107" fillId="0" borderId="7" xfId="9" applyFont="1" applyFill="1" applyBorder="1"/>
    <xf numFmtId="0" fontId="11" fillId="0" borderId="0" xfId="0" applyFont="1" applyFill="1" applyAlignment="1">
      <alignment horizontal="left" vertical="center" wrapText="1"/>
    </xf>
    <xf numFmtId="0" fontId="12" fillId="0" borderId="28" xfId="44" applyFont="1" applyFill="1" applyBorder="1" applyAlignment="1">
      <alignment horizontal="left" vertical="center" wrapText="1"/>
    </xf>
    <xf numFmtId="0" fontId="12" fillId="0" borderId="7" xfId="44" applyFont="1" applyFill="1" applyBorder="1" applyAlignment="1">
      <alignment horizontal="left" vertical="center" wrapText="1"/>
    </xf>
    <xf numFmtId="0" fontId="19" fillId="0" borderId="7" xfId="44" applyFont="1" applyFill="1" applyBorder="1" applyAlignment="1">
      <alignment horizontal="left" vertical="center" wrapText="1"/>
    </xf>
    <xf numFmtId="0" fontId="11" fillId="0" borderId="7" xfId="44" applyFont="1" applyFill="1" applyBorder="1" applyAlignment="1">
      <alignment horizontal="left" vertical="center" wrapText="1"/>
    </xf>
    <xf numFmtId="0" fontId="11" fillId="0" borderId="7" xfId="0" applyFont="1" applyFill="1" applyBorder="1" applyAlignment="1">
      <alignment horizontal="left" vertical="center" wrapText="1"/>
    </xf>
    <xf numFmtId="0" fontId="11" fillId="0" borderId="59" xfId="0" applyFont="1" applyFill="1" applyBorder="1" applyAlignment="1">
      <alignment horizontal="left" vertical="center" wrapText="1"/>
    </xf>
    <xf numFmtId="0" fontId="50" fillId="0" borderId="16" xfId="3" applyFont="1" applyFill="1" applyBorder="1" applyAlignment="1">
      <alignment horizontal="left" vertical="center" wrapText="1"/>
    </xf>
    <xf numFmtId="167" fontId="10" fillId="0" borderId="12" xfId="34" applyNumberFormat="1" applyFont="1" applyFill="1" applyBorder="1" applyAlignment="1">
      <alignment horizontal="right" vertical="center" wrapText="1"/>
    </xf>
    <xf numFmtId="0" fontId="31" fillId="0" borderId="0" xfId="9" applyFont="1" applyFill="1" applyAlignment="1">
      <alignment horizontal="right" vertical="center"/>
    </xf>
    <xf numFmtId="0" fontId="8" fillId="0" borderId="0" xfId="3" applyFont="1" applyFill="1" applyAlignment="1">
      <alignment horizontal="right"/>
    </xf>
    <xf numFmtId="168" fontId="8" fillId="0" borderId="0" xfId="24" applyNumberFormat="1" applyFont="1" applyFill="1" applyAlignment="1">
      <alignment horizontal="right"/>
    </xf>
    <xf numFmtId="0" fontId="11" fillId="0" borderId="1" xfId="9" applyFont="1" applyFill="1" applyBorder="1" applyAlignment="1">
      <alignment horizontal="left" vertical="center" wrapText="1"/>
    </xf>
    <xf numFmtId="0" fontId="10" fillId="0" borderId="23" xfId="9" applyFont="1" applyFill="1" applyBorder="1" applyAlignment="1">
      <alignment horizontal="left" vertical="center" wrapText="1"/>
    </xf>
    <xf numFmtId="0" fontId="7" fillId="0" borderId="0" xfId="41" applyFill="1"/>
    <xf numFmtId="0" fontId="53" fillId="0" borderId="0" xfId="32" applyFont="1" applyFill="1" applyAlignment="1"/>
    <xf numFmtId="0" fontId="103" fillId="0" borderId="0" xfId="41" applyFont="1" applyFill="1"/>
    <xf numFmtId="174" fontId="7" fillId="0" borderId="0" xfId="41" applyNumberFormat="1" applyFill="1"/>
    <xf numFmtId="0" fontId="11" fillId="0" borderId="0" xfId="9" applyFont="1" applyFill="1" applyAlignment="1">
      <alignment horizontal="left"/>
    </xf>
    <xf numFmtId="0" fontId="24" fillId="0" borderId="0" xfId="32" applyFont="1" applyFill="1" applyAlignment="1"/>
    <xf numFmtId="0" fontId="24" fillId="0" borderId="0" xfId="9" applyFont="1" applyFill="1" applyAlignment="1">
      <alignment vertical="center" wrapText="1"/>
    </xf>
    <xf numFmtId="168" fontId="24" fillId="0" borderId="0" xfId="9" applyNumberFormat="1" applyFont="1" applyFill="1" applyAlignment="1">
      <alignment vertical="center" wrapText="1"/>
    </xf>
    <xf numFmtId="168" fontId="31" fillId="0" borderId="0" xfId="9" applyNumberFormat="1" applyFont="1" applyFill="1"/>
    <xf numFmtId="0" fontId="31" fillId="0" borderId="0" xfId="9" applyFont="1" applyFill="1"/>
    <xf numFmtId="0" fontId="11" fillId="0" borderId="0" xfId="9" applyFont="1" applyFill="1" applyAlignment="1">
      <alignment horizontal="right"/>
    </xf>
    <xf numFmtId="0" fontId="12" fillId="0" borderId="23" xfId="27" applyFont="1" applyFill="1" applyBorder="1" applyAlignment="1">
      <alignment horizontal="center" vertical="center" wrapText="1"/>
    </xf>
    <xf numFmtId="49" fontId="12" fillId="0" borderId="45" xfId="9" applyNumberFormat="1" applyFont="1" applyFill="1" applyBorder="1" applyAlignment="1">
      <alignment horizontal="left" vertical="center" wrapText="1"/>
    </xf>
    <xf numFmtId="49" fontId="12" fillId="0" borderId="67" xfId="9" applyNumberFormat="1" applyFont="1" applyFill="1" applyBorder="1" applyAlignment="1">
      <alignment horizontal="left" vertical="center" wrapText="1"/>
    </xf>
    <xf numFmtId="168" fontId="12" fillId="0" borderId="45" xfId="9" applyNumberFormat="1" applyFont="1" applyFill="1" applyBorder="1" applyAlignment="1">
      <alignment horizontal="center" vertical="center" wrapText="1"/>
    </xf>
    <xf numFmtId="168" fontId="12" fillId="0" borderId="67" xfId="9" applyNumberFormat="1" applyFont="1" applyFill="1" applyBorder="1" applyAlignment="1">
      <alignment horizontal="center" vertical="center" wrapText="1"/>
    </xf>
    <xf numFmtId="168" fontId="12" fillId="0" borderId="47" xfId="9" applyNumberFormat="1" applyFont="1" applyFill="1" applyBorder="1" applyAlignment="1">
      <alignment horizontal="center" vertical="center" wrapText="1"/>
    </xf>
    <xf numFmtId="0" fontId="11" fillId="0" borderId="26" xfId="9" applyFont="1" applyFill="1" applyBorder="1" applyAlignment="1">
      <alignment horizontal="left" vertical="center" wrapText="1"/>
    </xf>
    <xf numFmtId="168" fontId="11" fillId="0" borderId="1" xfId="9" applyNumberFormat="1" applyFont="1" applyFill="1" applyBorder="1" applyAlignment="1">
      <alignment horizontal="center" vertical="center" wrapText="1"/>
    </xf>
    <xf numFmtId="168" fontId="11" fillId="0" borderId="14" xfId="9" applyNumberFormat="1" applyFont="1" applyFill="1" applyBorder="1" applyAlignment="1">
      <alignment horizontal="center" vertical="center" wrapText="1"/>
    </xf>
    <xf numFmtId="0" fontId="12" fillId="0" borderId="4" xfId="9" applyFont="1" applyFill="1" applyBorder="1" applyAlignment="1">
      <alignment horizontal="left" vertical="center" wrapText="1"/>
    </xf>
    <xf numFmtId="168" fontId="12" fillId="0" borderId="4" xfId="9" applyNumberFormat="1" applyFont="1" applyFill="1" applyBorder="1" applyAlignment="1">
      <alignment horizontal="center" vertical="center" wrapText="1"/>
    </xf>
    <xf numFmtId="168" fontId="12" fillId="0" borderId="74" xfId="9" applyNumberFormat="1" applyFont="1" applyFill="1" applyBorder="1" applyAlignment="1">
      <alignment horizontal="center" vertical="center" wrapText="1"/>
    </xf>
    <xf numFmtId="164" fontId="11" fillId="0" borderId="0" xfId="9" applyNumberFormat="1" applyFont="1" applyFill="1"/>
    <xf numFmtId="164" fontId="19" fillId="0" borderId="0" xfId="9" applyNumberFormat="1" applyFont="1" applyFill="1"/>
    <xf numFmtId="0" fontId="19" fillId="0" borderId="0" xfId="9" applyFont="1" applyFill="1"/>
    <xf numFmtId="0" fontId="69" fillId="0" borderId="48" xfId="9" applyFont="1" applyFill="1" applyBorder="1" applyAlignment="1">
      <alignment vertical="center" wrapText="1"/>
    </xf>
    <xf numFmtId="0" fontId="69" fillId="0" borderId="0" xfId="9" applyFont="1" applyFill="1" applyBorder="1" applyAlignment="1">
      <alignment vertical="center" wrapText="1"/>
    </xf>
    <xf numFmtId="0" fontId="69" fillId="0" borderId="11" xfId="9" applyFont="1" applyFill="1" applyBorder="1" applyAlignment="1">
      <alignment vertical="center" wrapText="1"/>
    </xf>
    <xf numFmtId="0" fontId="11" fillId="0" borderId="72" xfId="9" applyFont="1" applyFill="1" applyBorder="1" applyAlignment="1"/>
    <xf numFmtId="0" fontId="11" fillId="0" borderId="80" xfId="9" applyFont="1" applyFill="1" applyBorder="1" applyAlignment="1">
      <alignment horizontal="left" vertical="center" wrapText="1"/>
    </xf>
    <xf numFmtId="168" fontId="11" fillId="0" borderId="80" xfId="9" applyNumberFormat="1" applyFont="1" applyFill="1" applyBorder="1" applyAlignment="1">
      <alignment horizontal="center" vertical="center" wrapText="1"/>
    </xf>
    <xf numFmtId="0" fontId="11" fillId="0" borderId="2" xfId="9" applyFont="1" applyFill="1" applyBorder="1" applyAlignment="1">
      <alignment horizontal="left" vertical="center" wrapText="1"/>
    </xf>
    <xf numFmtId="164" fontId="12" fillId="0" borderId="0" xfId="9" applyNumberFormat="1" applyFont="1" applyFill="1"/>
    <xf numFmtId="0" fontId="12" fillId="0" borderId="0" xfId="9" applyFont="1" applyFill="1"/>
    <xf numFmtId="0" fontId="31" fillId="0" borderId="0" xfId="9" applyFont="1" applyFill="1" applyAlignment="1">
      <alignment horizontal="left"/>
    </xf>
    <xf numFmtId="0" fontId="31" fillId="0" borderId="0" xfId="9" applyFont="1" applyFill="1" applyAlignment="1">
      <alignment horizontal="right" vertical="center"/>
    </xf>
    <xf numFmtId="176" fontId="11" fillId="0" borderId="0" xfId="46" applyNumberFormat="1" applyFont="1" applyFill="1" applyAlignment="1"/>
    <xf numFmtId="0" fontId="11" fillId="0" borderId="0" xfId="41" applyFont="1" applyFill="1"/>
    <xf numFmtId="49" fontId="11" fillId="0" borderId="0" xfId="5" applyNumberFormat="1" applyFont="1" applyFill="1" applyAlignment="1">
      <alignment horizontal="left" vertical="center"/>
    </xf>
    <xf numFmtId="0" fontId="31" fillId="0" borderId="0" xfId="7" applyFont="1" applyFill="1" applyAlignment="1">
      <alignment horizontal="right"/>
    </xf>
    <xf numFmtId="49" fontId="50" fillId="0" borderId="0" xfId="5" applyNumberFormat="1" applyFont="1" applyFill="1" applyAlignment="1">
      <alignment vertical="center"/>
    </xf>
    <xf numFmtId="0" fontId="11" fillId="0" borderId="0" xfId="41" applyFont="1" applyFill="1" applyAlignment="1">
      <alignment horizontal="left"/>
    </xf>
    <xf numFmtId="0" fontId="50" fillId="0" borderId="0" xfId="5" applyFont="1" applyFill="1"/>
    <xf numFmtId="49" fontId="11" fillId="0" borderId="0" xfId="5" applyNumberFormat="1" applyFont="1" applyFill="1" applyBorder="1" applyAlignment="1">
      <alignment horizontal="left" indent="20"/>
    </xf>
    <xf numFmtId="0" fontId="50" fillId="0" borderId="0" xfId="5" applyFont="1" applyFill="1" applyAlignment="1">
      <alignment horizontal="center" vertical="center"/>
    </xf>
    <xf numFmtId="166" fontId="50" fillId="0" borderId="0" xfId="5" applyNumberFormat="1" applyFont="1" applyFill="1"/>
    <xf numFmtId="0" fontId="77" fillId="0" borderId="0" xfId="5" applyFont="1" applyFill="1" applyBorder="1"/>
    <xf numFmtId="0" fontId="50" fillId="0" borderId="0" xfId="52" applyFont="1" applyFill="1" applyAlignment="1">
      <alignment horizontal="left" vertical="top"/>
    </xf>
    <xf numFmtId="168" fontId="50" fillId="0" borderId="0" xfId="5" applyNumberFormat="1" applyFont="1" applyFill="1" applyBorder="1" applyAlignment="1">
      <alignment horizontal="right"/>
    </xf>
    <xf numFmtId="168" fontId="11" fillId="0" borderId="0" xfId="5" applyNumberFormat="1" applyFont="1" applyFill="1" applyBorder="1" applyAlignment="1">
      <alignment horizontal="right"/>
    </xf>
    <xf numFmtId="0" fontId="53" fillId="0" borderId="29" xfId="52" applyFont="1" applyFill="1" applyBorder="1" applyAlignment="1">
      <alignment horizontal="center" vertical="center" wrapText="1"/>
    </xf>
    <xf numFmtId="0" fontId="53" fillId="0" borderId="26" xfId="52" applyFont="1" applyFill="1" applyBorder="1" applyAlignment="1">
      <alignment horizontal="center" vertical="center" wrapText="1"/>
    </xf>
    <xf numFmtId="0" fontId="53" fillId="0" borderId="25" xfId="52" applyFont="1" applyFill="1" applyBorder="1" applyAlignment="1">
      <alignment horizontal="center" vertical="center" wrapText="1"/>
    </xf>
    <xf numFmtId="0" fontId="74" fillId="0" borderId="8" xfId="52" applyFont="1" applyFill="1" applyBorder="1" applyAlignment="1">
      <alignment horizontal="center" vertical="center" wrapText="1"/>
    </xf>
    <xf numFmtId="0" fontId="74" fillId="0" borderId="1" xfId="52" applyFont="1" applyFill="1" applyBorder="1" applyAlignment="1">
      <alignment horizontal="left" vertical="center" wrapText="1"/>
    </xf>
    <xf numFmtId="49" fontId="74" fillId="0" borderId="1" xfId="52" applyNumberFormat="1" applyFont="1" applyFill="1" applyBorder="1" applyAlignment="1">
      <alignment horizontal="center" vertical="center" wrapText="1"/>
    </xf>
    <xf numFmtId="168" fontId="74" fillId="0" borderId="1" xfId="53" applyNumberFormat="1" applyFont="1" applyFill="1" applyBorder="1" applyAlignment="1">
      <alignment horizontal="right" vertical="center" wrapText="1"/>
    </xf>
    <xf numFmtId="168" fontId="74" fillId="0" borderId="9" xfId="53" applyNumberFormat="1" applyFont="1" applyFill="1" applyBorder="1" applyAlignment="1">
      <alignment horizontal="right" vertical="center" wrapText="1"/>
    </xf>
    <xf numFmtId="0" fontId="108" fillId="0" borderId="0" xfId="41" applyFont="1" applyFill="1"/>
    <xf numFmtId="0" fontId="108" fillId="0" borderId="8" xfId="52" applyFont="1" applyFill="1" applyBorder="1" applyAlignment="1">
      <alignment horizontal="center" vertical="center" wrapText="1"/>
    </xf>
    <xf numFmtId="0" fontId="108" fillId="0" borderId="1" xfId="52" applyFont="1" applyFill="1" applyBorder="1" applyAlignment="1">
      <alignment horizontal="left" vertical="center" wrapText="1"/>
    </xf>
    <xf numFmtId="49" fontId="108" fillId="0" borderId="1" xfId="52" applyNumberFormat="1" applyFont="1" applyFill="1" applyBorder="1" applyAlignment="1">
      <alignment horizontal="center" vertical="center" wrapText="1"/>
    </xf>
    <xf numFmtId="168" fontId="108" fillId="0" borderId="1" xfId="53" applyNumberFormat="1" applyFont="1" applyFill="1" applyBorder="1" applyAlignment="1">
      <alignment horizontal="right" vertical="center" wrapText="1"/>
    </xf>
    <xf numFmtId="168" fontId="108" fillId="0" borderId="9" xfId="53" applyNumberFormat="1" applyFont="1" applyFill="1" applyBorder="1" applyAlignment="1">
      <alignment horizontal="right" vertical="center" wrapText="1"/>
    </xf>
    <xf numFmtId="49" fontId="109" fillId="0" borderId="1" xfId="52" applyNumberFormat="1" applyFont="1" applyFill="1" applyBorder="1" applyAlignment="1">
      <alignment horizontal="center" vertical="center" wrapText="1"/>
    </xf>
    <xf numFmtId="0" fontId="108" fillId="0" borderId="24" xfId="52" applyFont="1" applyFill="1" applyBorder="1" applyAlignment="1">
      <alignment horizontal="center" vertical="center" wrapText="1"/>
    </xf>
    <xf numFmtId="0" fontId="108" fillId="0" borderId="23" xfId="52" applyFont="1" applyFill="1" applyBorder="1" applyAlignment="1">
      <alignment horizontal="left" vertical="center" wrapText="1"/>
    </xf>
    <xf numFmtId="168" fontId="108" fillId="0" borderId="23" xfId="53" applyNumberFormat="1" applyFont="1" applyFill="1" applyBorder="1" applyAlignment="1">
      <alignment horizontal="right" vertical="center" wrapText="1"/>
    </xf>
    <xf numFmtId="168" fontId="108" fillId="0" borderId="34" xfId="53" applyNumberFormat="1" applyFont="1" applyFill="1" applyBorder="1" applyAlignment="1">
      <alignment horizontal="right" vertical="center" wrapText="1"/>
    </xf>
    <xf numFmtId="166" fontId="53" fillId="0" borderId="5" xfId="5" applyNumberFormat="1" applyFont="1" applyFill="1" applyBorder="1" applyAlignment="1">
      <alignment horizontal="left" vertical="center" wrapText="1"/>
    </xf>
    <xf numFmtId="166" fontId="53" fillId="0" borderId="4" xfId="5" applyNumberFormat="1" applyFont="1" applyFill="1" applyBorder="1" applyAlignment="1">
      <alignment horizontal="left" vertical="center" wrapText="1"/>
    </xf>
    <xf numFmtId="49" fontId="74" fillId="0" borderId="4" xfId="5" applyNumberFormat="1" applyFont="1" applyFill="1" applyBorder="1" applyAlignment="1">
      <alignment horizontal="center" vertical="center" wrapText="1"/>
    </xf>
    <xf numFmtId="174" fontId="53" fillId="0" borderId="4" xfId="5" applyNumberFormat="1" applyFont="1" applyFill="1" applyBorder="1" applyAlignment="1">
      <alignment horizontal="right" vertical="center"/>
    </xf>
    <xf numFmtId="168" fontId="74" fillId="0" borderId="4" xfId="53" applyNumberFormat="1" applyFont="1" applyFill="1" applyBorder="1" applyAlignment="1">
      <alignment horizontal="right" vertical="center" wrapText="1"/>
    </xf>
    <xf numFmtId="168" fontId="74" fillId="0" borderId="3" xfId="53" applyNumberFormat="1" applyFont="1" applyFill="1" applyBorder="1" applyAlignment="1">
      <alignment horizontal="right" vertical="center" wrapText="1"/>
    </xf>
    <xf numFmtId="0" fontId="31" fillId="0" borderId="0" xfId="41" applyFont="1" applyFill="1"/>
    <xf numFmtId="49" fontId="31" fillId="0" borderId="0" xfId="5" applyNumberFormat="1" applyFont="1" applyFill="1" applyAlignment="1">
      <alignment horizontal="right" vertical="center"/>
    </xf>
    <xf numFmtId="49" fontId="31" fillId="0" borderId="0" xfId="5" applyNumberFormat="1" applyFont="1" applyFill="1" applyAlignment="1">
      <alignment horizontal="left" vertical="center"/>
    </xf>
    <xf numFmtId="0" fontId="31" fillId="0" borderId="0" xfId="27" applyFont="1" applyFill="1" applyAlignment="1"/>
    <xf numFmtId="0" fontId="10" fillId="0" borderId="1" xfId="3" applyFont="1" applyFill="1" applyBorder="1" applyAlignment="1">
      <alignment vertical="top" wrapText="1"/>
    </xf>
    <xf numFmtId="168" fontId="39" fillId="0" borderId="13" xfId="5" applyNumberFormat="1" applyFont="1" applyFill="1" applyBorder="1" applyAlignment="1">
      <alignment horizontal="right" vertical="center" wrapText="1"/>
    </xf>
    <xf numFmtId="49" fontId="11" fillId="0" borderId="2" xfId="3" applyNumberFormat="1" applyFont="1" applyFill="1" applyBorder="1" applyAlignment="1">
      <alignment horizontal="center" vertical="center" wrapText="1"/>
    </xf>
    <xf numFmtId="49" fontId="12" fillId="0" borderId="45" xfId="9" applyNumberFormat="1" applyFont="1" applyFill="1" applyBorder="1" applyAlignment="1">
      <alignment horizontal="left" vertical="center" wrapText="1"/>
    </xf>
    <xf numFmtId="0" fontId="11" fillId="0" borderId="23" xfId="9" applyFont="1" applyFill="1" applyBorder="1" applyAlignment="1">
      <alignment horizontal="left" vertical="center" wrapText="1"/>
    </xf>
    <xf numFmtId="168" fontId="11" fillId="0" borderId="23" xfId="9" applyNumberFormat="1" applyFont="1" applyFill="1" applyBorder="1" applyAlignment="1">
      <alignment horizontal="center" vertical="center" wrapText="1"/>
    </xf>
    <xf numFmtId="168" fontId="11" fillId="0" borderId="65" xfId="9" applyNumberFormat="1" applyFont="1" applyFill="1" applyBorder="1" applyAlignment="1">
      <alignment horizontal="center" vertical="center" wrapText="1"/>
    </xf>
    <xf numFmtId="0" fontId="11" fillId="0" borderId="24" xfId="9" applyFont="1" applyFill="1" applyBorder="1" applyAlignment="1">
      <alignment vertical="center" wrapText="1"/>
    </xf>
    <xf numFmtId="0" fontId="11" fillId="0" borderId="5" xfId="9" applyFont="1" applyFill="1" applyBorder="1" applyAlignment="1">
      <alignment vertical="center" wrapText="1"/>
    </xf>
    <xf numFmtId="0" fontId="11" fillId="0" borderId="23" xfId="9" applyFont="1" applyFill="1" applyBorder="1" applyAlignment="1">
      <alignment vertical="center" wrapText="1"/>
    </xf>
    <xf numFmtId="0" fontId="11" fillId="0" borderId="4" xfId="9" applyFont="1" applyFill="1" applyBorder="1" applyAlignment="1">
      <alignment vertical="center" wrapText="1"/>
    </xf>
    <xf numFmtId="168" fontId="11" fillId="0" borderId="36" xfId="9" applyNumberFormat="1" applyFont="1" applyFill="1" applyBorder="1" applyAlignment="1">
      <alignment horizontal="center" vertical="center" wrapText="1"/>
    </xf>
    <xf numFmtId="168" fontId="11" fillId="0" borderId="58" xfId="9" applyNumberFormat="1" applyFont="1" applyFill="1" applyBorder="1" applyAlignment="1">
      <alignment horizontal="center" vertical="center" wrapText="1"/>
    </xf>
    <xf numFmtId="0" fontId="12" fillId="0" borderId="33" xfId="9" applyFont="1" applyFill="1" applyBorder="1" applyAlignment="1">
      <alignment horizontal="left" vertical="center" wrapText="1"/>
    </xf>
    <xf numFmtId="168" fontId="12" fillId="0" borderId="32" xfId="9" applyNumberFormat="1" applyFont="1" applyFill="1" applyBorder="1" applyAlignment="1">
      <alignment horizontal="center" vertical="center" wrapText="1"/>
    </xf>
    <xf numFmtId="168" fontId="11" fillId="0" borderId="32" xfId="9" applyNumberFormat="1" applyFont="1" applyFill="1" applyBorder="1" applyAlignment="1">
      <alignment horizontal="center" vertical="center" wrapText="1"/>
    </xf>
    <xf numFmtId="168" fontId="11" fillId="0" borderId="31" xfId="9" applyNumberFormat="1" applyFont="1" applyFill="1" applyBorder="1" applyAlignment="1">
      <alignment horizontal="center" vertical="center" wrapText="1"/>
    </xf>
    <xf numFmtId="0" fontId="11" fillId="0" borderId="72" xfId="9" applyFont="1" applyFill="1" applyBorder="1" applyAlignment="1">
      <alignment vertical="center"/>
    </xf>
    <xf numFmtId="0" fontId="11" fillId="0" borderId="44" xfId="9" applyFont="1" applyFill="1" applyBorder="1" applyAlignment="1">
      <alignment vertical="center"/>
    </xf>
    <xf numFmtId="0" fontId="11" fillId="0" borderId="36" xfId="9" applyFont="1" applyFill="1" applyBorder="1" applyAlignment="1">
      <alignment horizontal="left" vertical="center" wrapText="1"/>
    </xf>
    <xf numFmtId="0" fontId="11" fillId="0" borderId="33" xfId="9" applyFont="1" applyFill="1" applyBorder="1" applyAlignment="1">
      <alignment horizontal="left" vertical="center" wrapText="1"/>
    </xf>
    <xf numFmtId="168" fontId="11" fillId="0" borderId="81" xfId="9" applyNumberFormat="1" applyFont="1" applyFill="1" applyBorder="1" applyAlignment="1">
      <alignment horizontal="center" vertical="center" wrapText="1"/>
    </xf>
    <xf numFmtId="0" fontId="11" fillId="0" borderId="1" xfId="9" applyFont="1" applyFill="1" applyBorder="1" applyAlignment="1">
      <alignment horizontal="left"/>
    </xf>
    <xf numFmtId="0" fontId="31" fillId="0" borderId="0" xfId="9" applyFont="1" applyFill="1" applyAlignment="1">
      <alignment horizontal="right" vertical="center"/>
    </xf>
    <xf numFmtId="0" fontId="11" fillId="0" borderId="1" xfId="9" applyFont="1" applyFill="1" applyBorder="1" applyAlignment="1">
      <alignment horizontal="left" vertical="center" wrapText="1"/>
    </xf>
    <xf numFmtId="0" fontId="24" fillId="0" borderId="0" xfId="27" applyFont="1" applyAlignment="1">
      <alignment horizontal="center" wrapText="1"/>
    </xf>
    <xf numFmtId="0" fontId="50" fillId="0" borderId="0" xfId="54" applyFont="1" applyFill="1" applyAlignment="1">
      <alignment horizontal="left" vertical="top"/>
    </xf>
    <xf numFmtId="0" fontId="53" fillId="0" borderId="29" xfId="54" applyFont="1" applyFill="1" applyBorder="1" applyAlignment="1">
      <alignment horizontal="center" vertical="center" wrapText="1"/>
    </xf>
    <xf numFmtId="0" fontId="53" fillId="0" borderId="26" xfId="54" applyFont="1" applyFill="1" applyBorder="1" applyAlignment="1">
      <alignment horizontal="center" vertical="center" wrapText="1"/>
    </xf>
    <xf numFmtId="0" fontId="53" fillId="0" borderId="25" xfId="54" applyFont="1" applyFill="1" applyBorder="1" applyAlignment="1">
      <alignment horizontal="center" vertical="center" wrapText="1"/>
    </xf>
    <xf numFmtId="0" fontId="74" fillId="0" borderId="8" xfId="54" applyFont="1" applyFill="1" applyBorder="1" applyAlignment="1">
      <alignment horizontal="center" vertical="center" wrapText="1"/>
    </xf>
    <xf numFmtId="0" fontId="74" fillId="0" borderId="1" xfId="54" applyFont="1" applyFill="1" applyBorder="1" applyAlignment="1">
      <alignment horizontal="left" vertical="center" wrapText="1"/>
    </xf>
    <xf numFmtId="49" fontId="74" fillId="0" borderId="1" xfId="54" applyNumberFormat="1" applyFont="1" applyFill="1" applyBorder="1" applyAlignment="1">
      <alignment horizontal="center" vertical="center" wrapText="1"/>
    </xf>
    <xf numFmtId="168" fontId="74" fillId="0" borderId="1" xfId="55" applyNumberFormat="1" applyFont="1" applyFill="1" applyBorder="1" applyAlignment="1">
      <alignment horizontal="right" vertical="center" wrapText="1"/>
    </xf>
    <xf numFmtId="168" fontId="74" fillId="0" borderId="9" xfId="55" applyNumberFormat="1" applyFont="1" applyFill="1" applyBorder="1" applyAlignment="1">
      <alignment horizontal="right" vertical="center" wrapText="1"/>
    </xf>
    <xf numFmtId="0" fontId="108" fillId="0" borderId="8" xfId="54" applyFont="1" applyFill="1" applyBorder="1" applyAlignment="1">
      <alignment horizontal="center" vertical="center" wrapText="1"/>
    </xf>
    <xf numFmtId="0" fontId="108" fillId="0" borderId="1" xfId="54" applyFont="1" applyFill="1" applyBorder="1" applyAlignment="1">
      <alignment horizontal="left" vertical="center" wrapText="1"/>
    </xf>
    <xf numFmtId="49" fontId="108" fillId="0" borderId="1" xfId="54" applyNumberFormat="1" applyFont="1" applyFill="1" applyBorder="1" applyAlignment="1">
      <alignment horizontal="center" vertical="center" wrapText="1"/>
    </xf>
    <xf numFmtId="168" fontId="108" fillId="0" borderId="1" xfId="55" applyNumberFormat="1" applyFont="1" applyFill="1" applyBorder="1" applyAlignment="1">
      <alignment horizontal="right" vertical="center" wrapText="1"/>
    </xf>
    <xf numFmtId="168" fontId="108" fillId="0" borderId="9" xfId="55" applyNumberFormat="1" applyFont="1" applyFill="1" applyBorder="1" applyAlignment="1">
      <alignment horizontal="right" vertical="center" wrapText="1"/>
    </xf>
    <xf numFmtId="49" fontId="109" fillId="0" borderId="1" xfId="54" applyNumberFormat="1" applyFont="1" applyFill="1" applyBorder="1" applyAlignment="1">
      <alignment horizontal="center" vertical="center" wrapText="1"/>
    </xf>
    <xf numFmtId="0" fontId="108" fillId="0" borderId="24" xfId="54" applyFont="1" applyFill="1" applyBorder="1" applyAlignment="1">
      <alignment horizontal="center" vertical="center" wrapText="1"/>
    </xf>
    <xf numFmtId="0" fontId="108" fillId="0" borderId="23" xfId="54" applyFont="1" applyFill="1" applyBorder="1" applyAlignment="1">
      <alignment horizontal="left" vertical="center" wrapText="1"/>
    </xf>
    <xf numFmtId="168" fontId="108" fillId="0" borderId="23" xfId="55" applyNumberFormat="1" applyFont="1" applyFill="1" applyBorder="1" applyAlignment="1">
      <alignment horizontal="right" vertical="center" wrapText="1"/>
    </xf>
    <xf numFmtId="168" fontId="108" fillId="0" borderId="34" xfId="55" applyNumberFormat="1" applyFont="1" applyFill="1" applyBorder="1" applyAlignment="1">
      <alignment horizontal="right" vertical="center" wrapText="1"/>
    </xf>
    <xf numFmtId="168" fontId="74" fillId="0" borderId="4" xfId="55" applyNumberFormat="1" applyFont="1" applyFill="1" applyBorder="1" applyAlignment="1">
      <alignment horizontal="right" vertical="center" wrapText="1"/>
    </xf>
    <xf numFmtId="168" fontId="74" fillId="0" borderId="3" xfId="55" applyNumberFormat="1" applyFont="1" applyFill="1" applyBorder="1" applyAlignment="1">
      <alignment horizontal="right" vertical="center" wrapText="1"/>
    </xf>
    <xf numFmtId="0" fontId="8" fillId="0" borderId="45" xfId="3" applyFont="1" applyFill="1" applyBorder="1"/>
    <xf numFmtId="0" fontId="8" fillId="0" borderId="46" xfId="3" applyFont="1" applyFill="1" applyBorder="1" applyAlignment="1">
      <alignment horizontal="center"/>
    </xf>
    <xf numFmtId="0" fontId="8" fillId="0" borderId="46" xfId="3" applyFont="1" applyFill="1" applyBorder="1" applyAlignment="1">
      <alignment horizontal="center" vertical="center"/>
    </xf>
    <xf numFmtId="0" fontId="13" fillId="0" borderId="46" xfId="3" applyFont="1" applyFill="1" applyBorder="1" applyAlignment="1">
      <alignment horizontal="left" vertical="center"/>
    </xf>
    <xf numFmtId="0" fontId="11" fillId="0" borderId="46" xfId="0" applyFont="1" applyFill="1" applyBorder="1"/>
    <xf numFmtId="168" fontId="52" fillId="0" borderId="2" xfId="34" applyNumberFormat="1" applyFont="1" applyFill="1" applyBorder="1" applyAlignment="1"/>
    <xf numFmtId="0" fontId="31" fillId="0" borderId="0" xfId="7" applyFont="1" applyFill="1" applyAlignment="1">
      <alignment horizontal="right"/>
    </xf>
    <xf numFmtId="0" fontId="31" fillId="0" borderId="0" xfId="7" applyFont="1" applyFill="1" applyAlignment="1">
      <alignment horizontal="right"/>
    </xf>
    <xf numFmtId="0" fontId="11" fillId="0" borderId="0" xfId="9" applyFont="1" applyFill="1" applyBorder="1" applyAlignment="1">
      <alignment horizontal="left" vertical="center"/>
    </xf>
    <xf numFmtId="0" fontId="110" fillId="0" borderId="0" xfId="3" applyFont="1" applyFill="1"/>
    <xf numFmtId="177" fontId="10" fillId="0" borderId="19" xfId="46" applyNumberFormat="1" applyFont="1" applyFill="1" applyBorder="1" applyAlignment="1">
      <alignment vertical="center" wrapText="1"/>
    </xf>
    <xf numFmtId="0" fontId="11" fillId="0" borderId="15" xfId="9" applyFont="1" applyFill="1" applyBorder="1" applyAlignment="1">
      <alignment horizontal="left" vertical="center" wrapText="1"/>
    </xf>
    <xf numFmtId="0" fontId="12" fillId="0" borderId="60" xfId="9" applyFont="1" applyFill="1" applyBorder="1" applyAlignment="1">
      <alignment horizontal="left" vertical="center" wrapText="1"/>
    </xf>
    <xf numFmtId="0" fontId="11" fillId="0" borderId="18" xfId="9" applyFont="1" applyFill="1" applyBorder="1" applyAlignment="1">
      <alignment horizontal="left" vertical="center" wrapText="1"/>
    </xf>
    <xf numFmtId="0" fontId="11" fillId="0" borderId="28" xfId="9" applyFont="1" applyFill="1" applyBorder="1" applyAlignment="1">
      <alignment horizontal="left" vertical="center" wrapText="1"/>
    </xf>
    <xf numFmtId="0" fontId="12" fillId="0" borderId="45" xfId="9" applyFont="1" applyFill="1" applyBorder="1" applyAlignment="1">
      <alignment horizontal="left" vertical="center" wrapText="1"/>
    </xf>
    <xf numFmtId="0" fontId="11" fillId="0" borderId="41" xfId="9" applyFont="1" applyFill="1" applyBorder="1" applyAlignment="1">
      <alignment horizontal="left" vertical="center" wrapText="1"/>
    </xf>
    <xf numFmtId="0" fontId="11" fillId="0" borderId="67" xfId="9" applyFont="1" applyFill="1" applyBorder="1" applyAlignment="1">
      <alignment horizontal="left" vertical="center" wrapText="1"/>
    </xf>
    <xf numFmtId="0" fontId="12" fillId="0" borderId="44" xfId="9" applyFont="1" applyFill="1" applyBorder="1" applyAlignment="1">
      <alignment horizontal="left" vertical="center" wrapText="1"/>
    </xf>
    <xf numFmtId="0" fontId="12" fillId="0" borderId="51" xfId="9" applyFont="1" applyFill="1" applyBorder="1" applyAlignment="1">
      <alignment horizontal="left" vertical="center" wrapText="1"/>
    </xf>
    <xf numFmtId="174" fontId="13" fillId="0" borderId="32" xfId="24" applyNumberFormat="1" applyFont="1" applyFill="1" applyBorder="1" applyAlignment="1">
      <alignment horizontal="right"/>
    </xf>
    <xf numFmtId="174" fontId="13" fillId="0" borderId="31" xfId="24" applyNumberFormat="1" applyFont="1" applyFill="1" applyBorder="1" applyAlignment="1">
      <alignment horizontal="right"/>
    </xf>
    <xf numFmtId="174" fontId="52" fillId="0" borderId="1" xfId="34" applyNumberFormat="1" applyFont="1" applyFill="1" applyBorder="1" applyAlignment="1"/>
    <xf numFmtId="168" fontId="31" fillId="0" borderId="47" xfId="7" applyNumberFormat="1" applyFont="1" applyFill="1" applyBorder="1" applyAlignment="1">
      <alignment horizontal="right" vertical="distributed"/>
    </xf>
    <xf numFmtId="168" fontId="52" fillId="0" borderId="45" xfId="7" applyNumberFormat="1" applyFont="1" applyFill="1" applyBorder="1" applyAlignment="1">
      <alignment horizontal="center"/>
    </xf>
    <xf numFmtId="168" fontId="52" fillId="0" borderId="47" xfId="7" applyNumberFormat="1" applyFont="1" applyFill="1" applyBorder="1" applyAlignment="1">
      <alignment horizontal="center"/>
    </xf>
    <xf numFmtId="174" fontId="31" fillId="0" borderId="47" xfId="7" applyNumberFormat="1" applyFont="1" applyFill="1" applyBorder="1" applyAlignment="1">
      <alignment horizontal="right" vertical="distributed"/>
    </xf>
    <xf numFmtId="174" fontId="52" fillId="0" borderId="45" xfId="7" applyNumberFormat="1" applyFont="1" applyFill="1" applyBorder="1" applyAlignment="1">
      <alignment horizontal="center"/>
    </xf>
    <xf numFmtId="174" fontId="52" fillId="0" borderId="47" xfId="7" applyNumberFormat="1" applyFont="1" applyFill="1" applyBorder="1" applyAlignment="1">
      <alignment horizontal="center"/>
    </xf>
    <xf numFmtId="0" fontId="31" fillId="0" borderId="46" xfId="7" applyFont="1" applyFill="1" applyBorder="1" applyAlignment="1">
      <alignment horizontal="center"/>
    </xf>
    <xf numFmtId="0" fontId="31" fillId="0" borderId="47" xfId="7" applyFont="1" applyFill="1" applyBorder="1" applyAlignment="1">
      <alignment horizontal="center"/>
    </xf>
    <xf numFmtId="175" fontId="31" fillId="0" borderId="47" xfId="26" applyNumberFormat="1" applyFont="1" applyFill="1" applyBorder="1" applyAlignment="1">
      <alignment horizontal="right" vertical="distributed"/>
    </xf>
    <xf numFmtId="174" fontId="52" fillId="0" borderId="1" xfId="7" applyNumberFormat="1" applyFont="1" applyFill="1" applyBorder="1" applyAlignment="1"/>
    <xf numFmtId="168" fontId="52" fillId="0" borderId="1" xfId="7" applyNumberFormat="1" applyFont="1" applyFill="1" applyBorder="1" applyAlignment="1"/>
    <xf numFmtId="0" fontId="35" fillId="0" borderId="0" xfId="7" applyFont="1" applyFill="1" applyAlignment="1">
      <alignment horizontal="right"/>
    </xf>
    <xf numFmtId="168" fontId="31" fillId="0" borderId="47" xfId="26" applyNumberFormat="1" applyFont="1" applyFill="1" applyBorder="1" applyAlignment="1">
      <alignment horizontal="right" vertical="distributed"/>
    </xf>
    <xf numFmtId="0" fontId="31" fillId="0" borderId="0" xfId="9" applyFont="1" applyFill="1" applyAlignment="1">
      <alignment horizontal="right" vertical="center"/>
    </xf>
    <xf numFmtId="168" fontId="52" fillId="0" borderId="1" xfId="34" applyNumberFormat="1" applyFont="1" applyFill="1" applyBorder="1" applyAlignment="1"/>
    <xf numFmtId="49" fontId="14" fillId="0" borderId="13" xfId="3" applyNumberFormat="1" applyFont="1" applyFill="1" applyBorder="1" applyAlignment="1">
      <alignment horizontal="center" vertical="center" wrapText="1"/>
    </xf>
    <xf numFmtId="49" fontId="14" fillId="0" borderId="7" xfId="3" applyNumberFormat="1" applyFont="1" applyFill="1" applyBorder="1" applyAlignment="1">
      <alignment horizontal="center" vertical="center" wrapText="1"/>
    </xf>
    <xf numFmtId="176" fontId="31" fillId="0" borderId="0" xfId="9" applyNumberFormat="1" applyFont="1" applyFill="1" applyAlignment="1">
      <alignment horizontal="right" vertical="center"/>
    </xf>
    <xf numFmtId="176" fontId="35" fillId="0" borderId="0" xfId="7" applyNumberFormat="1" applyFont="1" applyFill="1" applyAlignment="1">
      <alignment horizontal="right"/>
    </xf>
    <xf numFmtId="172" fontId="11" fillId="0" borderId="1" xfId="11" applyNumberFormat="1" applyFont="1" applyFill="1" applyBorder="1" applyAlignment="1" applyProtection="1">
      <alignment horizontal="left" vertical="center" wrapText="1"/>
    </xf>
    <xf numFmtId="0" fontId="11" fillId="0" borderId="2" xfId="3" applyFont="1" applyFill="1" applyBorder="1" applyAlignment="1">
      <alignment horizontal="center" vertical="center"/>
    </xf>
    <xf numFmtId="174" fontId="74" fillId="0" borderId="4" xfId="55" applyNumberFormat="1" applyFont="1" applyFill="1" applyBorder="1" applyAlignment="1">
      <alignment horizontal="right" vertical="center" wrapText="1"/>
    </xf>
    <xf numFmtId="174" fontId="74" fillId="0" borderId="3" xfId="55" applyNumberFormat="1" applyFont="1" applyFill="1" applyBorder="1" applyAlignment="1">
      <alignment horizontal="right" vertical="center" wrapText="1"/>
    </xf>
    <xf numFmtId="174" fontId="74" fillId="0" borderId="1" xfId="55" applyNumberFormat="1" applyFont="1" applyFill="1" applyBorder="1" applyAlignment="1">
      <alignment horizontal="right" vertical="center" wrapText="1"/>
    </xf>
    <xf numFmtId="174" fontId="74" fillId="0" borderId="9" xfId="55" applyNumberFormat="1" applyFont="1" applyFill="1" applyBorder="1" applyAlignment="1">
      <alignment horizontal="right" vertical="center" wrapText="1"/>
    </xf>
    <xf numFmtId="174" fontId="108" fillId="0" borderId="1" xfId="55" applyNumberFormat="1" applyFont="1" applyFill="1" applyBorder="1" applyAlignment="1">
      <alignment horizontal="right" vertical="center" wrapText="1"/>
    </xf>
    <xf numFmtId="174" fontId="108" fillId="0" borderId="9" xfId="55" applyNumberFormat="1" applyFont="1" applyFill="1" applyBorder="1" applyAlignment="1">
      <alignment horizontal="right" vertical="center" wrapText="1"/>
    </xf>
    <xf numFmtId="174" fontId="11" fillId="0" borderId="26" xfId="9" applyNumberFormat="1" applyFont="1" applyFill="1" applyBorder="1" applyAlignment="1">
      <alignment horizontal="center" vertical="center" wrapText="1"/>
    </xf>
    <xf numFmtId="174" fontId="11" fillId="0" borderId="68" xfId="9" applyNumberFormat="1" applyFont="1" applyFill="1" applyBorder="1" applyAlignment="1">
      <alignment horizontal="center" vertical="center" wrapText="1"/>
    </xf>
    <xf numFmtId="174" fontId="11" fillId="0" borderId="23" xfId="9" applyNumberFormat="1" applyFont="1" applyFill="1" applyBorder="1" applyAlignment="1">
      <alignment horizontal="center" vertical="center" wrapText="1"/>
    </xf>
    <xf numFmtId="174" fontId="11" fillId="0" borderId="65" xfId="9" applyNumberFormat="1" applyFont="1" applyFill="1" applyBorder="1" applyAlignment="1">
      <alignment horizontal="center" vertical="center" wrapText="1"/>
    </xf>
    <xf numFmtId="174" fontId="12" fillId="0" borderId="67" xfId="9" applyNumberFormat="1" applyFont="1" applyFill="1" applyBorder="1" applyAlignment="1">
      <alignment horizontal="center" vertical="center" wrapText="1"/>
    </xf>
    <xf numFmtId="174" fontId="12" fillId="0" borderId="46" xfId="9" applyNumberFormat="1" applyFont="1" applyFill="1" applyBorder="1" applyAlignment="1">
      <alignment horizontal="center" vertical="center" wrapText="1"/>
    </xf>
    <xf numFmtId="174" fontId="11" fillId="0" borderId="1" xfId="9" applyNumberFormat="1" applyFont="1" applyFill="1" applyBorder="1" applyAlignment="1">
      <alignment horizontal="center" vertical="center" wrapText="1"/>
    </xf>
    <xf numFmtId="174" fontId="11" fillId="0" borderId="14" xfId="9" applyNumberFormat="1" applyFont="1" applyFill="1" applyBorder="1" applyAlignment="1">
      <alignment horizontal="center" vertical="center" wrapText="1"/>
    </xf>
    <xf numFmtId="174" fontId="12" fillId="0" borderId="32" xfId="9" applyNumberFormat="1" applyFont="1" applyFill="1" applyBorder="1" applyAlignment="1">
      <alignment horizontal="center" vertical="center" wrapText="1"/>
    </xf>
    <xf numFmtId="174" fontId="12" fillId="0" borderId="31" xfId="9" applyNumberFormat="1" applyFont="1" applyFill="1" applyBorder="1" applyAlignment="1">
      <alignment horizontal="center" vertical="center" wrapText="1"/>
    </xf>
    <xf numFmtId="174" fontId="11" fillId="0" borderId="2" xfId="9" applyNumberFormat="1" applyFont="1" applyFill="1" applyBorder="1" applyAlignment="1">
      <alignment horizontal="center" vertical="center" wrapText="1"/>
    </xf>
    <xf numFmtId="174" fontId="11" fillId="0" borderId="30" xfId="9" applyNumberFormat="1" applyFont="1" applyFill="1" applyBorder="1" applyAlignment="1">
      <alignment horizontal="center" vertical="center" wrapText="1"/>
    </xf>
    <xf numFmtId="174" fontId="12" fillId="0" borderId="47" xfId="9" applyNumberFormat="1" applyFont="1" applyFill="1" applyBorder="1" applyAlignment="1">
      <alignment horizontal="center" vertical="center" wrapText="1"/>
    </xf>
    <xf numFmtId="174" fontId="12" fillId="0" borderId="51" xfId="9" applyNumberFormat="1" applyFont="1" applyFill="1" applyBorder="1" applyAlignment="1">
      <alignment horizontal="center" vertical="center" wrapText="1"/>
    </xf>
    <xf numFmtId="174" fontId="12" fillId="0" borderId="27" xfId="9" applyNumberFormat="1" applyFont="1" applyFill="1" applyBorder="1" applyAlignment="1">
      <alignment horizontal="center" vertical="center" wrapText="1"/>
    </xf>
    <xf numFmtId="174" fontId="12" fillId="0" borderId="41" xfId="9" applyNumberFormat="1" applyFont="1" applyFill="1" applyBorder="1" applyAlignment="1">
      <alignment horizontal="center" vertical="center" wrapText="1"/>
    </xf>
    <xf numFmtId="174" fontId="12" fillId="0" borderId="85" xfId="9" applyNumberFormat="1" applyFont="1" applyFill="1" applyBorder="1" applyAlignment="1">
      <alignment horizontal="center" vertical="center" wrapText="1"/>
    </xf>
    <xf numFmtId="174" fontId="12" fillId="0" borderId="38" xfId="9" applyNumberFormat="1" applyFont="1" applyFill="1" applyBorder="1" applyAlignment="1">
      <alignment horizontal="center" vertical="center" wrapText="1"/>
    </xf>
    <xf numFmtId="174" fontId="12" fillId="0" borderId="44" xfId="9" applyNumberFormat="1" applyFont="1" applyFill="1" applyBorder="1" applyAlignment="1">
      <alignment horizontal="center" vertical="center" wrapText="1"/>
    </xf>
    <xf numFmtId="183" fontId="52" fillId="0" borderId="1" xfId="34" applyNumberFormat="1" applyFont="1" applyFill="1" applyBorder="1" applyAlignment="1"/>
    <xf numFmtId="183" fontId="52" fillId="0" borderId="1" xfId="7" applyNumberFormat="1" applyFont="1" applyFill="1" applyBorder="1" applyAlignment="1"/>
    <xf numFmtId="183" fontId="31" fillId="0" borderId="47" xfId="26" applyNumberFormat="1" applyFont="1" applyFill="1" applyBorder="1" applyAlignment="1">
      <alignment horizontal="right" vertical="distributed"/>
    </xf>
    <xf numFmtId="183" fontId="24" fillId="0" borderId="38" xfId="26" applyNumberFormat="1" applyFont="1" applyFill="1" applyBorder="1" applyAlignment="1">
      <alignment horizontal="right" vertical="distributed"/>
    </xf>
    <xf numFmtId="183" fontId="24" fillId="0" borderId="43" xfId="26" applyNumberFormat="1" applyFont="1" applyFill="1" applyBorder="1" applyAlignment="1">
      <alignment horizontal="right" vertical="distributed"/>
    </xf>
    <xf numFmtId="183" fontId="52" fillId="0" borderId="0" xfId="34" applyNumberFormat="1" applyFont="1" applyFill="1" applyBorder="1" applyAlignment="1"/>
    <xf numFmtId="183" fontId="52" fillId="0" borderId="0" xfId="7" applyNumberFormat="1" applyFont="1" applyFill="1" applyBorder="1" applyAlignment="1"/>
    <xf numFmtId="183" fontId="54" fillId="0" borderId="38" xfId="26" applyNumberFormat="1" applyFont="1" applyFill="1" applyBorder="1" applyAlignment="1">
      <alignment horizontal="center"/>
    </xf>
    <xf numFmtId="183" fontId="54" fillId="0" borderId="43" xfId="26" applyNumberFormat="1" applyFont="1" applyFill="1" applyBorder="1" applyAlignment="1">
      <alignment horizontal="center"/>
    </xf>
    <xf numFmtId="177" fontId="52" fillId="0" borderId="1" xfId="34" applyNumberFormat="1" applyFont="1" applyFill="1" applyBorder="1" applyAlignment="1"/>
    <xf numFmtId="177" fontId="31" fillId="0" borderId="52" xfId="9" applyNumberFormat="1" applyFont="1" applyFill="1" applyBorder="1" applyAlignment="1">
      <alignment horizontal="right" vertical="distributed"/>
    </xf>
    <xf numFmtId="177" fontId="52" fillId="0" borderId="28" xfId="34" applyNumberFormat="1" applyFont="1" applyFill="1" applyBorder="1" applyAlignment="1"/>
    <xf numFmtId="177" fontId="52" fillId="0" borderId="26" xfId="34" applyNumberFormat="1" applyFont="1" applyFill="1" applyBorder="1" applyAlignment="1"/>
    <xf numFmtId="177" fontId="52" fillId="0" borderId="25" xfId="34" applyNumberFormat="1" applyFont="1" applyFill="1" applyBorder="1" applyAlignment="1"/>
    <xf numFmtId="177" fontId="31" fillId="0" borderId="55" xfId="26" applyNumberFormat="1" applyFont="1" applyFill="1" applyBorder="1" applyAlignment="1">
      <alignment horizontal="distributed" vertical="distributed"/>
    </xf>
    <xf numFmtId="177" fontId="52" fillId="0" borderId="1" xfId="7" applyNumberFormat="1" applyFont="1" applyFill="1" applyBorder="1" applyAlignment="1"/>
    <xf numFmtId="177" fontId="31" fillId="0" borderId="43" xfId="26" applyNumberFormat="1" applyFont="1" applyFill="1" applyBorder="1" applyAlignment="1">
      <alignment horizontal="right" vertical="distributed"/>
    </xf>
    <xf numFmtId="177" fontId="31" fillId="0" borderId="47" xfId="26" applyNumberFormat="1" applyFont="1" applyFill="1" applyBorder="1" applyAlignment="1">
      <alignment horizontal="right" vertical="distributed"/>
    </xf>
    <xf numFmtId="177" fontId="52" fillId="0" borderId="45" xfId="26" applyNumberFormat="1" applyFont="1" applyFill="1" applyBorder="1" applyAlignment="1"/>
    <xf numFmtId="177" fontId="52" fillId="0" borderId="47" xfId="26" applyNumberFormat="1" applyFont="1" applyFill="1" applyBorder="1" applyAlignment="1"/>
    <xf numFmtId="177" fontId="52" fillId="0" borderId="1" xfId="34" applyNumberFormat="1" applyFont="1" applyFill="1" applyBorder="1" applyAlignment="1">
      <alignment horizontal="right"/>
    </xf>
    <xf numFmtId="177" fontId="52" fillId="0" borderId="1" xfId="7" applyNumberFormat="1" applyFont="1" applyFill="1" applyBorder="1" applyAlignment="1">
      <alignment horizontal="right"/>
    </xf>
    <xf numFmtId="177" fontId="52" fillId="0" borderId="45" xfId="26" applyNumberFormat="1" applyFont="1" applyFill="1" applyBorder="1" applyAlignment="1">
      <alignment horizontal="right"/>
    </xf>
    <xf numFmtId="177" fontId="52" fillId="0" borderId="47" xfId="26" applyNumberFormat="1" applyFont="1" applyFill="1" applyBorder="1" applyAlignment="1">
      <alignment horizontal="right"/>
    </xf>
    <xf numFmtId="183" fontId="54" fillId="0" borderId="45" xfId="26" applyNumberFormat="1" applyFont="1" applyFill="1" applyBorder="1" applyAlignment="1">
      <alignment horizontal="right"/>
    </xf>
    <xf numFmtId="183" fontId="52" fillId="0" borderId="47" xfId="7" applyNumberFormat="1" applyFont="1" applyFill="1" applyBorder="1" applyAlignment="1">
      <alignment horizontal="center"/>
    </xf>
    <xf numFmtId="177" fontId="15" fillId="0" borderId="19" xfId="46" applyNumberFormat="1" applyFont="1" applyFill="1" applyBorder="1" applyAlignment="1">
      <alignment vertical="center"/>
    </xf>
    <xf numFmtId="177" fontId="15" fillId="0" borderId="7" xfId="34" applyNumberFormat="1" applyFont="1" applyFill="1" applyBorder="1" applyAlignment="1">
      <alignment horizontal="right" vertical="center"/>
    </xf>
    <xf numFmtId="177" fontId="15" fillId="0" borderId="13" xfId="34" applyNumberFormat="1" applyFont="1" applyFill="1" applyBorder="1" applyAlignment="1">
      <alignment horizontal="right" vertical="center"/>
    </xf>
    <xf numFmtId="177" fontId="15" fillId="0" borderId="9" xfId="34" applyNumberFormat="1" applyFont="1" applyFill="1" applyBorder="1" applyAlignment="1">
      <alignment horizontal="right" vertical="center"/>
    </xf>
    <xf numFmtId="177" fontId="15" fillId="0" borderId="19" xfId="34" applyNumberFormat="1" applyFont="1" applyFill="1" applyBorder="1" applyAlignment="1">
      <alignment horizontal="right" vertical="center"/>
    </xf>
    <xf numFmtId="177" fontId="15" fillId="0" borderId="7" xfId="34" applyNumberFormat="1" applyFont="1" applyFill="1" applyBorder="1" applyAlignment="1">
      <alignment horizontal="center" vertical="center"/>
    </xf>
    <xf numFmtId="177" fontId="15" fillId="0" borderId="10" xfId="34" applyNumberFormat="1" applyFont="1" applyFill="1" applyBorder="1" applyAlignment="1">
      <alignment horizontal="right" vertical="center"/>
    </xf>
    <xf numFmtId="177" fontId="15" fillId="0" borderId="19" xfId="46" applyNumberFormat="1" applyFont="1" applyFill="1" applyBorder="1" applyAlignment="1">
      <alignment vertical="center" wrapText="1"/>
    </xf>
    <xf numFmtId="177" fontId="15" fillId="0" borderId="7" xfId="34" applyNumberFormat="1" applyFont="1" applyFill="1" applyBorder="1" applyAlignment="1">
      <alignment vertical="center" wrapText="1"/>
    </xf>
    <xf numFmtId="177" fontId="15" fillId="0" borderId="13" xfId="34" applyNumberFormat="1" applyFont="1" applyFill="1" applyBorder="1" applyAlignment="1">
      <alignment horizontal="right" vertical="center" wrapText="1"/>
    </xf>
    <xf numFmtId="177" fontId="15" fillId="0" borderId="19" xfId="34" applyNumberFormat="1" applyFont="1" applyFill="1" applyBorder="1" applyAlignment="1">
      <alignment horizontal="right" vertical="center" wrapText="1"/>
    </xf>
    <xf numFmtId="177" fontId="10" fillId="0" borderId="7" xfId="34" applyNumberFormat="1" applyFont="1" applyFill="1" applyBorder="1" applyAlignment="1">
      <alignment horizontal="right" vertical="center" wrapText="1"/>
    </xf>
    <xf numFmtId="177" fontId="10" fillId="0" borderId="1" xfId="34" applyNumberFormat="1" applyFont="1" applyFill="1" applyBorder="1" applyAlignment="1">
      <alignment horizontal="right" vertical="center" wrapText="1"/>
    </xf>
    <xf numFmtId="177" fontId="10" fillId="0" borderId="14" xfId="34" applyNumberFormat="1" applyFont="1" applyFill="1" applyBorder="1" applyAlignment="1">
      <alignment horizontal="right" vertical="center" wrapText="1"/>
    </xf>
    <xf numFmtId="177" fontId="10" fillId="0" borderId="19" xfId="34" applyNumberFormat="1" applyFont="1" applyFill="1" applyBorder="1" applyAlignment="1">
      <alignment horizontal="right" vertical="center" wrapText="1"/>
    </xf>
    <xf numFmtId="177" fontId="12" fillId="0" borderId="19" xfId="46" applyNumberFormat="1" applyFont="1" applyFill="1" applyBorder="1" applyAlignment="1">
      <alignment vertical="center" wrapText="1"/>
    </xf>
    <xf numFmtId="177" fontId="12" fillId="0" borderId="7" xfId="34" applyNumberFormat="1" applyFont="1" applyFill="1" applyBorder="1" applyAlignment="1">
      <alignment horizontal="right" vertical="center" wrapText="1"/>
    </xf>
    <xf numFmtId="177" fontId="12" fillId="0" borderId="1" xfId="34" applyNumberFormat="1" applyFont="1" applyFill="1" applyBorder="1" applyAlignment="1">
      <alignment horizontal="right" vertical="center" wrapText="1"/>
    </xf>
    <xf numFmtId="177" fontId="12" fillId="0" borderId="14" xfId="34" applyNumberFormat="1" applyFont="1" applyFill="1" applyBorder="1" applyAlignment="1">
      <alignment horizontal="right" vertical="center" wrapText="1"/>
    </xf>
    <xf numFmtId="177" fontId="12" fillId="0" borderId="19" xfId="34" applyNumberFormat="1" applyFont="1" applyFill="1" applyBorder="1" applyAlignment="1">
      <alignment horizontal="right" vertical="center" wrapText="1"/>
    </xf>
    <xf numFmtId="177" fontId="24" fillId="0" borderId="0" xfId="35" applyNumberFormat="1" applyFont="1" applyFill="1" applyBorder="1" applyAlignment="1"/>
    <xf numFmtId="177" fontId="15" fillId="0" borderId="7" xfId="34" applyNumberFormat="1" applyFont="1" applyFill="1" applyBorder="1" applyAlignment="1">
      <alignment horizontal="right" vertical="center" wrapText="1"/>
    </xf>
    <xf numFmtId="177" fontId="15" fillId="0" borderId="1" xfId="34" applyNumberFormat="1" applyFont="1" applyFill="1" applyBorder="1" applyAlignment="1">
      <alignment horizontal="right" vertical="center" wrapText="1"/>
    </xf>
    <xf numFmtId="177" fontId="15" fillId="0" borderId="14" xfId="34" applyNumberFormat="1" applyFont="1" applyFill="1" applyBorder="1" applyAlignment="1">
      <alignment horizontal="right" vertical="center" wrapText="1"/>
    </xf>
    <xf numFmtId="177" fontId="15" fillId="0" borderId="7" xfId="3" applyNumberFormat="1" applyFont="1" applyFill="1" applyBorder="1" applyAlignment="1">
      <alignment vertical="center" wrapText="1"/>
    </xf>
    <xf numFmtId="177" fontId="15" fillId="0" borderId="1" xfId="3" applyNumberFormat="1" applyFont="1" applyFill="1" applyBorder="1" applyAlignment="1">
      <alignment vertical="center" wrapText="1"/>
    </xf>
    <xf numFmtId="177" fontId="15" fillId="0" borderId="14" xfId="3" applyNumberFormat="1" applyFont="1" applyFill="1" applyBorder="1" applyAlignment="1">
      <alignment horizontal="right" vertical="center" wrapText="1"/>
    </xf>
    <xf numFmtId="177" fontId="15" fillId="0" borderId="19" xfId="3" applyNumberFormat="1" applyFont="1" applyFill="1" applyBorder="1" applyAlignment="1">
      <alignment horizontal="right" vertical="center" wrapText="1"/>
    </xf>
    <xf numFmtId="177" fontId="18" fillId="0" borderId="0" xfId="3" applyNumberFormat="1" applyFont="1" applyFill="1" applyBorder="1"/>
    <xf numFmtId="177" fontId="11" fillId="0" borderId="19" xfId="46" applyNumberFormat="1" applyFont="1" applyFill="1" applyBorder="1" applyAlignment="1">
      <alignment vertical="center" wrapText="1"/>
    </xf>
    <xf numFmtId="177" fontId="11" fillId="0" borderId="7" xfId="34" applyNumberFormat="1" applyFont="1" applyFill="1" applyBorder="1" applyAlignment="1">
      <alignment horizontal="right" vertical="center" wrapText="1"/>
    </xf>
    <xf numFmtId="177" fontId="11" fillId="0" borderId="1" xfId="34" applyNumberFormat="1" applyFont="1" applyFill="1" applyBorder="1" applyAlignment="1">
      <alignment horizontal="right" vertical="center" wrapText="1"/>
    </xf>
    <xf numFmtId="177" fontId="11" fillId="0" borderId="14" xfId="34" applyNumberFormat="1" applyFont="1" applyFill="1" applyBorder="1" applyAlignment="1">
      <alignment horizontal="right" vertical="center" wrapText="1"/>
    </xf>
    <xf numFmtId="177" fontId="11" fillId="0" borderId="19" xfId="34" applyNumberFormat="1" applyFont="1" applyFill="1" applyBorder="1" applyAlignment="1">
      <alignment horizontal="right" vertical="center" wrapText="1"/>
    </xf>
    <xf numFmtId="177" fontId="11" fillId="0" borderId="19" xfId="46" applyNumberFormat="1" applyFont="1" applyFill="1" applyBorder="1" applyAlignment="1">
      <alignment horizontal="right" vertical="center" wrapText="1"/>
    </xf>
    <xf numFmtId="177" fontId="10" fillId="0" borderId="19" xfId="46" applyNumberFormat="1" applyFont="1" applyFill="1" applyBorder="1" applyAlignment="1">
      <alignment horizontal="right" vertical="center" wrapText="1" indent="1"/>
    </xf>
    <xf numFmtId="183" fontId="11" fillId="0" borderId="19" xfId="46" applyNumberFormat="1" applyFont="1" applyFill="1" applyBorder="1" applyAlignment="1">
      <alignment vertical="center" wrapText="1"/>
    </xf>
    <xf numFmtId="183" fontId="11" fillId="0" borderId="7" xfId="34" applyNumberFormat="1" applyFont="1" applyFill="1" applyBorder="1" applyAlignment="1">
      <alignment horizontal="right" vertical="center" wrapText="1"/>
    </xf>
    <xf numFmtId="183" fontId="11" fillId="0" borderId="1" xfId="34" applyNumberFormat="1" applyFont="1" applyFill="1" applyBorder="1" applyAlignment="1">
      <alignment horizontal="right" vertical="center" wrapText="1"/>
    </xf>
    <xf numFmtId="183" fontId="11" fillId="0" borderId="14" xfId="34" applyNumberFormat="1" applyFont="1" applyFill="1" applyBorder="1" applyAlignment="1">
      <alignment horizontal="right" vertical="center" wrapText="1"/>
    </xf>
    <xf numFmtId="183" fontId="11" fillId="0" borderId="19" xfId="34" applyNumberFormat="1" applyFont="1" applyFill="1" applyBorder="1" applyAlignment="1">
      <alignment horizontal="right" vertical="center" wrapText="1"/>
    </xf>
    <xf numFmtId="183" fontId="8" fillId="0" borderId="0" xfId="3" applyNumberFormat="1" applyFont="1" applyFill="1" applyBorder="1"/>
    <xf numFmtId="183" fontId="15" fillId="0" borderId="19" xfId="46" applyNumberFormat="1" applyFont="1" applyFill="1" applyBorder="1" applyAlignment="1">
      <alignment vertical="center" wrapText="1"/>
    </xf>
    <xf numFmtId="183" fontId="15" fillId="0" borderId="7" xfId="3" applyNumberFormat="1" applyFont="1" applyFill="1" applyBorder="1" applyAlignment="1">
      <alignment vertical="center" wrapText="1"/>
    </xf>
    <xf numFmtId="183" fontId="15" fillId="0" borderId="1" xfId="3" applyNumberFormat="1" applyFont="1" applyFill="1" applyBorder="1" applyAlignment="1">
      <alignment vertical="center" wrapText="1"/>
    </xf>
    <xf numFmtId="183" fontId="15" fillId="0" borderId="14" xfId="3" applyNumberFormat="1" applyFont="1" applyFill="1" applyBorder="1" applyAlignment="1">
      <alignment horizontal="right" vertical="center" wrapText="1"/>
    </xf>
    <xf numFmtId="183" fontId="15" fillId="0" borderId="19" xfId="3" applyNumberFormat="1" applyFont="1" applyFill="1" applyBorder="1" applyAlignment="1">
      <alignment horizontal="right" vertical="center" wrapText="1"/>
    </xf>
    <xf numFmtId="183" fontId="10" fillId="0" borderId="19" xfId="46" applyNumberFormat="1" applyFont="1" applyFill="1" applyBorder="1" applyAlignment="1">
      <alignment horizontal="right" vertical="center" wrapText="1" indent="1"/>
    </xf>
    <xf numFmtId="183" fontId="10" fillId="0" borderId="7" xfId="3" applyNumberFormat="1" applyFont="1" applyFill="1" applyBorder="1" applyAlignment="1">
      <alignment horizontal="right" vertical="center" wrapText="1" indent="1"/>
    </xf>
    <xf numFmtId="183" fontId="10" fillId="0" borderId="1" xfId="3" applyNumberFormat="1" applyFont="1" applyFill="1" applyBorder="1" applyAlignment="1">
      <alignment horizontal="right" vertical="center" wrapText="1" indent="1"/>
    </xf>
    <xf numFmtId="183" fontId="10" fillId="0" borderId="14" xfId="3" applyNumberFormat="1" applyFont="1" applyFill="1" applyBorder="1" applyAlignment="1">
      <alignment horizontal="right" vertical="center" wrapText="1" indent="1"/>
    </xf>
    <xf numFmtId="183" fontId="10" fillId="0" borderId="19" xfId="3" applyNumberFormat="1" applyFont="1" applyFill="1" applyBorder="1" applyAlignment="1">
      <alignment horizontal="right" vertical="center" wrapText="1" indent="1"/>
    </xf>
    <xf numFmtId="183" fontId="8" fillId="0" borderId="0" xfId="3" applyNumberFormat="1" applyFont="1" applyFill="1" applyBorder="1" applyAlignment="1">
      <alignment horizontal="right" indent="1"/>
    </xf>
    <xf numFmtId="183" fontId="15" fillId="0" borderId="7" xfId="3" applyNumberFormat="1" applyFont="1" applyFill="1" applyBorder="1" applyAlignment="1">
      <alignment horizontal="right" vertical="center" wrapText="1" indent="1"/>
    </xf>
    <xf numFmtId="183" fontId="15" fillId="0" borderId="1" xfId="3" applyNumberFormat="1" applyFont="1" applyFill="1" applyBorder="1" applyAlignment="1">
      <alignment horizontal="right" vertical="center" wrapText="1" indent="1"/>
    </xf>
    <xf numFmtId="183" fontId="15" fillId="0" borderId="14" xfId="3" applyNumberFormat="1" applyFont="1" applyFill="1" applyBorder="1" applyAlignment="1">
      <alignment horizontal="right" vertical="center" wrapText="1" indent="1"/>
    </xf>
    <xf numFmtId="183" fontId="15" fillId="0" borderId="19" xfId="3" applyNumberFormat="1" applyFont="1" applyFill="1" applyBorder="1" applyAlignment="1">
      <alignment horizontal="right" vertical="center" wrapText="1" indent="1"/>
    </xf>
    <xf numFmtId="177" fontId="95" fillId="0" borderId="19" xfId="46" applyNumberFormat="1" applyFont="1" applyFill="1" applyBorder="1" applyAlignment="1">
      <alignment vertical="center" wrapText="1"/>
    </xf>
    <xf numFmtId="177" fontId="95" fillId="0" borderId="7" xfId="34" applyNumberFormat="1" applyFont="1" applyFill="1" applyBorder="1" applyAlignment="1">
      <alignment horizontal="right" vertical="center" wrapText="1"/>
    </xf>
    <xf numFmtId="177" fontId="95" fillId="0" borderId="1" xfId="34" applyNumberFormat="1" applyFont="1" applyFill="1" applyBorder="1" applyAlignment="1">
      <alignment horizontal="right" vertical="center" wrapText="1"/>
    </xf>
    <xf numFmtId="177" fontId="95" fillId="0" borderId="14" xfId="34" applyNumberFormat="1" applyFont="1" applyFill="1" applyBorder="1" applyAlignment="1">
      <alignment horizontal="right" vertical="center" wrapText="1"/>
    </xf>
    <xf numFmtId="177" fontId="95" fillId="0" borderId="19" xfId="34" applyNumberFormat="1" applyFont="1" applyFill="1" applyBorder="1" applyAlignment="1">
      <alignment horizontal="right" vertical="center" wrapText="1"/>
    </xf>
    <xf numFmtId="177" fontId="10" fillId="0" borderId="13" xfId="34" applyNumberFormat="1" applyFont="1" applyFill="1" applyBorder="1" applyAlignment="1">
      <alignment horizontal="right" vertical="center" wrapText="1"/>
    </xf>
    <xf numFmtId="177" fontId="11" fillId="0" borderId="19" xfId="46" applyNumberFormat="1" applyFont="1" applyFill="1" applyBorder="1" applyAlignment="1">
      <alignment horizontal="right" vertical="center" wrapText="1" indent="1"/>
    </xf>
    <xf numFmtId="177" fontId="8" fillId="0" borderId="0" xfId="24" applyNumberFormat="1" applyFont="1" applyFill="1" applyBorder="1"/>
    <xf numFmtId="177" fontId="11" fillId="0" borderId="19" xfId="46" applyNumberFormat="1" applyFont="1" applyFill="1" applyBorder="1" applyAlignment="1">
      <alignment horizontal="right" wrapText="1" indent="1"/>
    </xf>
    <xf numFmtId="177" fontId="21" fillId="0" borderId="0" xfId="3" applyNumberFormat="1" applyFont="1" applyFill="1" applyBorder="1"/>
    <xf numFmtId="183" fontId="10" fillId="0" borderId="19" xfId="46" applyNumberFormat="1" applyFont="1" applyFill="1" applyBorder="1" applyAlignment="1">
      <alignment vertical="center" wrapText="1"/>
    </xf>
    <xf numFmtId="183" fontId="10" fillId="0" borderId="7" xfId="34" applyNumberFormat="1" applyFont="1" applyFill="1" applyBorder="1" applyAlignment="1">
      <alignment horizontal="right" vertical="center" wrapText="1"/>
    </xf>
    <xf numFmtId="183" fontId="10" fillId="0" borderId="1" xfId="34" applyNumberFormat="1" applyFont="1" applyFill="1" applyBorder="1" applyAlignment="1">
      <alignment horizontal="right" vertical="center" wrapText="1"/>
    </xf>
    <xf numFmtId="183" fontId="10" fillId="0" borderId="14" xfId="34" applyNumberFormat="1" applyFont="1" applyFill="1" applyBorder="1" applyAlignment="1">
      <alignment horizontal="right" vertical="center" wrapText="1"/>
    </xf>
    <xf numFmtId="183" fontId="10" fillId="0" borderId="19" xfId="34" applyNumberFormat="1" applyFont="1" applyFill="1" applyBorder="1" applyAlignment="1">
      <alignment horizontal="right" vertical="center" wrapText="1"/>
    </xf>
    <xf numFmtId="183" fontId="18" fillId="0" borderId="0" xfId="3" applyNumberFormat="1" applyFont="1" applyFill="1" applyBorder="1"/>
    <xf numFmtId="183" fontId="15" fillId="0" borderId="70" xfId="46" applyNumberFormat="1" applyFont="1" applyFill="1" applyBorder="1" applyAlignment="1">
      <alignment vertical="center" wrapText="1"/>
    </xf>
    <xf numFmtId="183" fontId="15" fillId="0" borderId="15" xfId="3" applyNumberFormat="1" applyFont="1" applyFill="1" applyBorder="1" applyAlignment="1">
      <alignment vertical="center" wrapText="1"/>
    </xf>
    <xf numFmtId="183" fontId="15" fillId="0" borderId="16" xfId="3" applyNumberFormat="1" applyFont="1" applyFill="1" applyBorder="1" applyAlignment="1">
      <alignment horizontal="right" vertical="center" wrapText="1"/>
    </xf>
    <xf numFmtId="183" fontId="15" fillId="0" borderId="70" xfId="3" applyNumberFormat="1" applyFont="1" applyFill="1" applyBorder="1" applyAlignment="1">
      <alignment horizontal="right" vertical="center" wrapText="1"/>
    </xf>
    <xf numFmtId="183" fontId="10" fillId="0" borderId="71" xfId="46" applyNumberFormat="1" applyFont="1" applyFill="1" applyBorder="1" applyAlignment="1">
      <alignment horizontal="right" vertical="center" wrapText="1" indent="1"/>
    </xf>
    <xf numFmtId="183" fontId="10" fillId="0" borderId="18" xfId="34" applyNumberFormat="1" applyFont="1" applyFill="1" applyBorder="1" applyAlignment="1">
      <alignment horizontal="right" vertical="center" wrapText="1"/>
    </xf>
    <xf numFmtId="183" fontId="10" fillId="0" borderId="2" xfId="34" applyNumberFormat="1" applyFont="1" applyFill="1" applyBorder="1" applyAlignment="1">
      <alignment horizontal="right" vertical="center" wrapText="1"/>
    </xf>
    <xf numFmtId="183" fontId="10" fillId="0" borderId="30" xfId="34" applyNumberFormat="1" applyFont="1" applyFill="1" applyBorder="1" applyAlignment="1">
      <alignment horizontal="right" vertical="center" wrapText="1"/>
    </xf>
    <xf numFmtId="183" fontId="10" fillId="0" borderId="71" xfId="34" applyNumberFormat="1" applyFont="1" applyFill="1" applyBorder="1" applyAlignment="1">
      <alignment horizontal="right" vertical="center" wrapText="1"/>
    </xf>
    <xf numFmtId="183" fontId="15" fillId="0" borderId="19" xfId="46" applyNumberFormat="1" applyFont="1" applyFill="1" applyBorder="1" applyAlignment="1">
      <alignment horizontal="right" vertical="center" wrapText="1" indent="1"/>
    </xf>
    <xf numFmtId="183" fontId="15" fillId="0" borderId="7" xfId="34" applyNumberFormat="1" applyFont="1" applyFill="1" applyBorder="1" applyAlignment="1">
      <alignment horizontal="right" vertical="center" wrapText="1"/>
    </xf>
    <xf numFmtId="183" fontId="15" fillId="0" borderId="1" xfId="34" applyNumberFormat="1" applyFont="1" applyFill="1" applyBorder="1" applyAlignment="1">
      <alignment horizontal="right" vertical="center" wrapText="1"/>
    </xf>
    <xf numFmtId="183" fontId="15" fillId="0" borderId="14" xfId="34" applyNumberFormat="1" applyFont="1" applyFill="1" applyBorder="1" applyAlignment="1">
      <alignment horizontal="right" vertical="center" wrapText="1"/>
    </xf>
    <xf numFmtId="183" fontId="15" fillId="0" borderId="19" xfId="34" applyNumberFormat="1" applyFont="1" applyFill="1" applyBorder="1" applyAlignment="1">
      <alignment horizontal="right" vertical="center" wrapText="1"/>
    </xf>
    <xf numFmtId="177" fontId="10" fillId="0" borderId="7" xfId="3" applyNumberFormat="1" applyFont="1" applyFill="1" applyBorder="1" applyAlignment="1">
      <alignment vertical="center" wrapText="1"/>
    </xf>
    <xf numFmtId="177" fontId="10" fillId="0" borderId="1" xfId="3" applyNumberFormat="1" applyFont="1" applyFill="1" applyBorder="1" applyAlignment="1">
      <alignment vertical="center" wrapText="1"/>
    </xf>
    <xf numFmtId="177" fontId="10" fillId="0" borderId="14" xfId="3" applyNumberFormat="1" applyFont="1" applyFill="1" applyBorder="1" applyAlignment="1">
      <alignment horizontal="right" vertical="center" wrapText="1"/>
    </xf>
    <xf numFmtId="177" fontId="10" fillId="0" borderId="19" xfId="3" applyNumberFormat="1" applyFont="1" applyFill="1" applyBorder="1" applyAlignment="1">
      <alignment horizontal="right" vertical="center" wrapText="1"/>
    </xf>
    <xf numFmtId="177" fontId="10" fillId="0" borderId="14" xfId="38" applyNumberFormat="1" applyFont="1" applyFill="1" applyBorder="1" applyAlignment="1">
      <alignment horizontal="right" vertical="center" wrapText="1"/>
    </xf>
    <xf numFmtId="177" fontId="10" fillId="0" borderId="19" xfId="38" applyNumberFormat="1" applyFont="1" applyFill="1" applyBorder="1" applyAlignment="1">
      <alignment horizontal="right" vertical="center" wrapText="1"/>
    </xf>
    <xf numFmtId="177" fontId="106" fillId="0" borderId="19" xfId="46" applyNumberFormat="1" applyFont="1" applyFill="1" applyBorder="1" applyAlignment="1">
      <alignment vertical="center" wrapText="1"/>
    </xf>
    <xf numFmtId="177" fontId="11" fillId="0" borderId="7" xfId="34" applyNumberFormat="1" applyFont="1" applyFill="1" applyBorder="1" applyAlignment="1">
      <alignment horizontal="left" vertical="center" wrapText="1" indent="1"/>
    </xf>
    <xf numFmtId="177" fontId="11" fillId="0" borderId="1" xfId="34" applyNumberFormat="1" applyFont="1" applyFill="1" applyBorder="1" applyAlignment="1">
      <alignment horizontal="left" vertical="center" wrapText="1" indent="1"/>
    </xf>
    <xf numFmtId="177" fontId="11" fillId="0" borderId="14" xfId="34" applyNumberFormat="1" applyFont="1" applyFill="1" applyBorder="1" applyAlignment="1">
      <alignment horizontal="left" vertical="center" wrapText="1" indent="1"/>
    </xf>
    <xf numFmtId="177" fontId="11" fillId="0" borderId="19" xfId="34" applyNumberFormat="1" applyFont="1" applyFill="1" applyBorder="1" applyAlignment="1">
      <alignment horizontal="left" vertical="center" wrapText="1" indent="1"/>
    </xf>
    <xf numFmtId="177" fontId="8" fillId="0" borderId="0" xfId="3" applyNumberFormat="1" applyFont="1" applyFill="1" applyBorder="1" applyAlignment="1">
      <alignment horizontal="left" indent="1"/>
    </xf>
    <xf numFmtId="177" fontId="11" fillId="0" borderId="19" xfId="46" applyNumberFormat="1" applyFont="1" applyFill="1" applyBorder="1" applyAlignment="1">
      <alignment horizontal="left" vertical="center" wrapText="1" indent="1"/>
    </xf>
    <xf numFmtId="184" fontId="10" fillId="0" borderId="19" xfId="46" applyNumberFormat="1" applyFont="1" applyFill="1" applyBorder="1" applyAlignment="1">
      <alignment horizontal="right" vertical="center" wrapText="1" indent="1"/>
    </xf>
    <xf numFmtId="184" fontId="10" fillId="0" borderId="7" xfId="34" applyNumberFormat="1" applyFont="1" applyFill="1" applyBorder="1" applyAlignment="1">
      <alignment horizontal="right" vertical="center" wrapText="1" indent="1"/>
    </xf>
    <xf numFmtId="184" fontId="10" fillId="0" borderId="1" xfId="34" applyNumberFormat="1" applyFont="1" applyFill="1" applyBorder="1" applyAlignment="1">
      <alignment horizontal="right" vertical="center" wrapText="1" indent="1"/>
    </xf>
    <xf numFmtId="184" fontId="10" fillId="0" borderId="14" xfId="9" applyNumberFormat="1" applyFont="1" applyFill="1" applyBorder="1" applyAlignment="1">
      <alignment horizontal="right" vertical="center" wrapText="1" indent="1"/>
    </xf>
    <xf numFmtId="184" fontId="10" fillId="0" borderId="19" xfId="9" applyNumberFormat="1" applyFont="1" applyFill="1" applyBorder="1" applyAlignment="1">
      <alignment horizontal="right" vertical="center" wrapText="1" indent="1"/>
    </xf>
    <xf numFmtId="184" fontId="8" fillId="0" borderId="0" xfId="3" applyNumberFormat="1" applyFont="1" applyFill="1" applyBorder="1" applyAlignment="1">
      <alignment horizontal="right" vertical="center" indent="1"/>
    </xf>
    <xf numFmtId="184" fontId="10" fillId="0" borderId="19" xfId="46" applyNumberFormat="1" applyFont="1" applyFill="1" applyBorder="1" applyAlignment="1">
      <alignment vertical="center" wrapText="1"/>
    </xf>
    <xf numFmtId="184" fontId="10" fillId="0" borderId="7" xfId="34" applyNumberFormat="1" applyFont="1" applyFill="1" applyBorder="1" applyAlignment="1">
      <alignment horizontal="right" vertical="center" wrapText="1"/>
    </xf>
    <xf numFmtId="184" fontId="10" fillId="0" borderId="1" xfId="34" applyNumberFormat="1" applyFont="1" applyFill="1" applyBorder="1" applyAlignment="1">
      <alignment horizontal="right" vertical="center" wrapText="1"/>
    </xf>
    <xf numFmtId="184" fontId="10" fillId="0" borderId="14" xfId="9" applyNumberFormat="1" applyFont="1" applyFill="1" applyBorder="1" applyAlignment="1">
      <alignment horizontal="right" vertical="center" wrapText="1"/>
    </xf>
    <xf numFmtId="184" fontId="10" fillId="0" borderId="19" xfId="9" applyNumberFormat="1" applyFont="1" applyFill="1" applyBorder="1" applyAlignment="1">
      <alignment horizontal="right" vertical="center" wrapText="1"/>
    </xf>
    <xf numFmtId="184" fontId="8" fillId="0" borderId="0" xfId="3" applyNumberFormat="1" applyFont="1" applyFill="1" applyBorder="1"/>
    <xf numFmtId="184" fontId="15" fillId="0" borderId="19" xfId="46" applyNumberFormat="1" applyFont="1" applyFill="1" applyBorder="1" applyAlignment="1">
      <alignment vertical="center" wrapText="1"/>
    </xf>
    <xf numFmtId="184" fontId="10" fillId="0" borderId="9" xfId="34" applyNumberFormat="1" applyFont="1" applyFill="1" applyBorder="1" applyAlignment="1">
      <alignment horizontal="right" vertical="center" wrapText="1"/>
    </xf>
    <xf numFmtId="184" fontId="10" fillId="0" borderId="19" xfId="34" applyNumberFormat="1" applyFont="1" applyFill="1" applyBorder="1" applyAlignment="1">
      <alignment horizontal="right" vertical="center" wrapText="1"/>
    </xf>
    <xf numFmtId="184" fontId="15" fillId="0" borderId="19" xfId="46" applyNumberFormat="1" applyFont="1" applyFill="1" applyBorder="1" applyAlignment="1">
      <alignment horizontal="right" vertical="center" wrapText="1" indent="1"/>
    </xf>
    <xf numFmtId="183" fontId="10" fillId="0" borderId="14" xfId="9" applyNumberFormat="1" applyFont="1" applyFill="1" applyBorder="1" applyAlignment="1">
      <alignment horizontal="right" vertical="center" wrapText="1"/>
    </xf>
    <xf numFmtId="183" fontId="10" fillId="0" borderId="19" xfId="9" applyNumberFormat="1" applyFont="1" applyFill="1" applyBorder="1" applyAlignment="1">
      <alignment horizontal="right" vertical="center" wrapText="1"/>
    </xf>
    <xf numFmtId="183" fontId="15" fillId="0" borderId="14" xfId="9" applyNumberFormat="1" applyFont="1" applyFill="1" applyBorder="1" applyAlignment="1">
      <alignment horizontal="right" vertical="center" wrapText="1"/>
    </xf>
    <xf numFmtId="183" fontId="15" fillId="0" borderId="19" xfId="9" applyNumberFormat="1" applyFont="1" applyFill="1" applyBorder="1" applyAlignment="1">
      <alignment horizontal="right" vertical="center" wrapText="1"/>
    </xf>
    <xf numFmtId="183" fontId="10" fillId="0" borderId="7" xfId="3" applyNumberFormat="1" applyFont="1" applyFill="1" applyBorder="1" applyAlignment="1">
      <alignment vertical="center" wrapText="1"/>
    </xf>
    <xf numFmtId="183" fontId="10" fillId="0" borderId="1" xfId="3" applyNumberFormat="1" applyFont="1" applyFill="1" applyBorder="1" applyAlignment="1">
      <alignment vertical="center" wrapText="1"/>
    </xf>
    <xf numFmtId="183" fontId="10" fillId="0" borderId="14" xfId="3" applyNumberFormat="1" applyFont="1" applyFill="1" applyBorder="1" applyAlignment="1">
      <alignment horizontal="right" vertical="center" wrapText="1"/>
    </xf>
    <xf numFmtId="183" fontId="10" fillId="0" borderId="19" xfId="3" applyNumberFormat="1" applyFont="1" applyFill="1" applyBorder="1" applyAlignment="1">
      <alignment horizontal="right" vertical="center" wrapText="1"/>
    </xf>
    <xf numFmtId="183" fontId="10" fillId="0" borderId="9" xfId="34" applyNumberFormat="1" applyFont="1" applyFill="1" applyBorder="1" applyAlignment="1">
      <alignment horizontal="right" vertical="center" wrapText="1"/>
    </xf>
    <xf numFmtId="183" fontId="8" fillId="0" borderId="0" xfId="3" applyNumberFormat="1" applyFont="1" applyFill="1" applyBorder="1" applyAlignment="1"/>
    <xf numFmtId="185" fontId="10" fillId="0" borderId="7" xfId="34" applyNumberFormat="1" applyFont="1" applyFill="1" applyBorder="1" applyAlignment="1">
      <alignment horizontal="right" vertical="center" wrapText="1"/>
    </xf>
    <xf numFmtId="185" fontId="10" fillId="0" borderId="1" xfId="34" applyNumberFormat="1" applyFont="1" applyFill="1" applyBorder="1" applyAlignment="1">
      <alignment horizontal="right" vertical="center" wrapText="1"/>
    </xf>
    <xf numFmtId="185" fontId="10" fillId="0" borderId="9" xfId="34" applyNumberFormat="1" applyFont="1" applyFill="1" applyBorder="1" applyAlignment="1">
      <alignment horizontal="right" vertical="center" wrapText="1"/>
    </xf>
    <xf numFmtId="185" fontId="10" fillId="0" borderId="19" xfId="34" applyNumberFormat="1" applyFont="1" applyFill="1" applyBorder="1" applyAlignment="1">
      <alignment horizontal="right" vertical="center" wrapText="1"/>
    </xf>
    <xf numFmtId="185" fontId="8" fillId="0" borderId="0" xfId="3" applyNumberFormat="1" applyFont="1" applyFill="1" applyBorder="1" applyAlignment="1"/>
    <xf numFmtId="185" fontId="10" fillId="0" borderId="19" xfId="46" applyNumberFormat="1" applyFont="1" applyFill="1" applyBorder="1" applyAlignment="1">
      <alignment horizontal="right" vertical="center" wrapText="1" indent="1"/>
    </xf>
    <xf numFmtId="185" fontId="15" fillId="0" borderId="19" xfId="46" applyNumberFormat="1" applyFont="1" applyFill="1" applyBorder="1" applyAlignment="1" applyProtection="1">
      <alignment vertical="center" wrapText="1"/>
      <protection locked="0"/>
    </xf>
    <xf numFmtId="185" fontId="15" fillId="0" borderId="7" xfId="34" applyNumberFormat="1" applyFont="1" applyFill="1" applyBorder="1" applyAlignment="1" applyProtection="1">
      <alignment horizontal="right" vertical="center" wrapText="1"/>
      <protection locked="0"/>
    </xf>
    <xf numFmtId="185" fontId="15" fillId="0" borderId="1" xfId="34" applyNumberFormat="1" applyFont="1" applyFill="1" applyBorder="1" applyAlignment="1" applyProtection="1">
      <alignment horizontal="right" vertical="center" wrapText="1"/>
      <protection locked="0"/>
    </xf>
    <xf numFmtId="185" fontId="15" fillId="0" borderId="9" xfId="34" applyNumberFormat="1" applyFont="1" applyFill="1" applyBorder="1" applyAlignment="1" applyProtection="1">
      <alignment horizontal="right" vertical="center" wrapText="1"/>
      <protection locked="0"/>
    </xf>
    <xf numFmtId="185" fontId="15" fillId="0" borderId="19" xfId="34" applyNumberFormat="1" applyFont="1" applyFill="1" applyBorder="1" applyAlignment="1" applyProtection="1">
      <alignment horizontal="right" vertical="center" wrapText="1"/>
      <protection locked="0"/>
    </xf>
    <xf numFmtId="185" fontId="8" fillId="0" borderId="0" xfId="3" applyNumberFormat="1" applyFont="1" applyFill="1" applyBorder="1"/>
    <xf numFmtId="185" fontId="12" fillId="0" borderId="19" xfId="46" applyNumberFormat="1" applyFont="1" applyFill="1" applyBorder="1" applyAlignment="1">
      <alignment vertical="center" wrapText="1"/>
    </xf>
    <xf numFmtId="185" fontId="12" fillId="0" borderId="7" xfId="34" applyNumberFormat="1" applyFont="1" applyFill="1" applyBorder="1" applyAlignment="1">
      <alignment horizontal="right" vertical="center" wrapText="1"/>
    </xf>
    <xf numFmtId="185" fontId="12" fillId="0" borderId="1" xfId="34" applyNumberFormat="1" applyFont="1" applyFill="1" applyBorder="1" applyAlignment="1">
      <alignment horizontal="right" vertical="center" wrapText="1"/>
    </xf>
    <xf numFmtId="185" fontId="12" fillId="0" borderId="14" xfId="34" applyNumberFormat="1" applyFont="1" applyFill="1" applyBorder="1" applyAlignment="1">
      <alignment horizontal="right" vertical="center" wrapText="1"/>
    </xf>
    <xf numFmtId="185" fontId="12" fillId="0" borderId="19" xfId="34" applyNumberFormat="1" applyFont="1" applyFill="1" applyBorder="1" applyAlignment="1">
      <alignment horizontal="right" vertical="center" wrapText="1"/>
    </xf>
    <xf numFmtId="185" fontId="18" fillId="0" borderId="0" xfId="3" applyNumberFormat="1" applyFont="1" applyFill="1" applyBorder="1"/>
    <xf numFmtId="185" fontId="11" fillId="0" borderId="19" xfId="46" applyNumberFormat="1" applyFont="1" applyFill="1" applyBorder="1" applyAlignment="1">
      <alignment vertical="center" wrapText="1"/>
    </xf>
    <xf numFmtId="185" fontId="11" fillId="0" borderId="14" xfId="34" applyNumberFormat="1" applyFont="1" applyFill="1" applyBorder="1" applyAlignment="1">
      <alignment horizontal="right" vertical="center" wrapText="1"/>
    </xf>
    <xf numFmtId="185" fontId="11" fillId="0" borderId="19" xfId="34" applyNumberFormat="1" applyFont="1" applyFill="1" applyBorder="1" applyAlignment="1">
      <alignment horizontal="right" vertical="center" wrapText="1"/>
    </xf>
    <xf numFmtId="185" fontId="11" fillId="0" borderId="7" xfId="34" applyNumberFormat="1" applyFont="1" applyFill="1" applyBorder="1" applyAlignment="1">
      <alignment horizontal="right" vertical="center" wrapText="1"/>
    </xf>
    <xf numFmtId="185" fontId="11" fillId="0" borderId="1" xfId="34" applyNumberFormat="1" applyFont="1" applyFill="1" applyBorder="1" applyAlignment="1">
      <alignment horizontal="right" vertical="center" wrapText="1"/>
    </xf>
    <xf numFmtId="185" fontId="20" fillId="0" borderId="0" xfId="3" applyNumberFormat="1" applyFont="1" applyFill="1" applyBorder="1"/>
    <xf numFmtId="185" fontId="11" fillId="0" borderId="14" xfId="24" applyNumberFormat="1" applyFont="1" applyFill="1" applyBorder="1" applyAlignment="1">
      <alignment horizontal="right" vertical="center" wrapText="1"/>
    </xf>
    <xf numFmtId="185" fontId="11" fillId="0" borderId="19" xfId="24" applyNumberFormat="1" applyFont="1" applyFill="1" applyBorder="1" applyAlignment="1">
      <alignment horizontal="right" vertical="center" wrapText="1"/>
    </xf>
    <xf numFmtId="185" fontId="95" fillId="0" borderId="14" xfId="34" applyNumberFormat="1" applyFont="1" applyFill="1" applyBorder="1" applyAlignment="1">
      <alignment horizontal="right" vertical="center" wrapText="1"/>
    </xf>
    <xf numFmtId="185" fontId="95" fillId="0" borderId="19" xfId="34" applyNumberFormat="1" applyFont="1" applyFill="1" applyBorder="1" applyAlignment="1">
      <alignment horizontal="right" vertical="center" wrapText="1"/>
    </xf>
    <xf numFmtId="183" fontId="11" fillId="0" borderId="19" xfId="46" applyNumberFormat="1" applyFont="1" applyFill="1" applyBorder="1" applyAlignment="1">
      <alignment horizontal="right" vertical="center" wrapText="1" indent="1"/>
    </xf>
    <xf numFmtId="183" fontId="12" fillId="0" borderId="19" xfId="46" applyNumberFormat="1" applyFont="1" applyFill="1" applyBorder="1" applyAlignment="1">
      <alignment vertical="center" wrapText="1"/>
    </xf>
    <xf numFmtId="183" fontId="12" fillId="0" borderId="7" xfId="34" applyNumberFormat="1" applyFont="1" applyFill="1" applyBorder="1" applyAlignment="1">
      <alignment horizontal="right" vertical="center" wrapText="1"/>
    </xf>
    <xf numFmtId="183" fontId="12" fillId="0" borderId="1" xfId="34" applyNumberFormat="1" applyFont="1" applyFill="1" applyBorder="1" applyAlignment="1">
      <alignment horizontal="right" vertical="center" wrapText="1"/>
    </xf>
    <xf numFmtId="183" fontId="12" fillId="0" borderId="14" xfId="34" applyNumberFormat="1" applyFont="1" applyFill="1" applyBorder="1" applyAlignment="1">
      <alignment horizontal="right" vertical="center" wrapText="1"/>
    </xf>
    <xf numFmtId="183" fontId="12" fillId="0" borderId="19" xfId="34" applyNumberFormat="1" applyFont="1" applyFill="1" applyBorder="1" applyAlignment="1">
      <alignment horizontal="right" vertical="center" wrapText="1"/>
    </xf>
    <xf numFmtId="183" fontId="12" fillId="0" borderId="19" xfId="46" applyNumberFormat="1" applyFont="1" applyFill="1" applyBorder="1" applyAlignment="1">
      <alignment horizontal="right" vertical="center" wrapText="1" indent="1"/>
    </xf>
    <xf numFmtId="183" fontId="96" fillId="0" borderId="19" xfId="46" applyNumberFormat="1" applyFont="1" applyFill="1" applyBorder="1" applyAlignment="1">
      <alignment vertical="center" wrapText="1"/>
    </xf>
    <xf numFmtId="183" fontId="96" fillId="0" borderId="7" xfId="34" applyNumberFormat="1" applyFont="1" applyFill="1" applyBorder="1" applyAlignment="1">
      <alignment horizontal="right" vertical="center" wrapText="1"/>
    </xf>
    <xf numFmtId="183" fontId="96" fillId="0" borderId="1" xfId="34" applyNumberFormat="1" applyFont="1" applyFill="1" applyBorder="1" applyAlignment="1">
      <alignment horizontal="right" vertical="center" wrapText="1"/>
    </xf>
    <xf numFmtId="183" fontId="96" fillId="0" borderId="14" xfId="34" applyNumberFormat="1" applyFont="1" applyFill="1" applyBorder="1" applyAlignment="1">
      <alignment horizontal="right" vertical="center" wrapText="1"/>
    </xf>
    <xf numFmtId="183" fontId="96" fillId="0" borderId="19" xfId="34" applyNumberFormat="1" applyFont="1" applyFill="1" applyBorder="1" applyAlignment="1">
      <alignment horizontal="right" vertical="center" wrapText="1"/>
    </xf>
    <xf numFmtId="183" fontId="11" fillId="0" borderId="7" xfId="34" applyNumberFormat="1" applyFont="1" applyFill="1" applyBorder="1" applyAlignment="1">
      <alignment horizontal="left" vertical="center" wrapText="1"/>
    </xf>
    <xf numFmtId="183" fontId="11" fillId="0" borderId="1" xfId="34" applyNumberFormat="1" applyFont="1" applyFill="1" applyBorder="1" applyAlignment="1">
      <alignment horizontal="left" vertical="center" wrapText="1"/>
    </xf>
    <xf numFmtId="183" fontId="8" fillId="0" borderId="0" xfId="3" applyNumberFormat="1" applyFont="1" applyFill="1" applyBorder="1" applyAlignment="1">
      <alignment horizontal="left" vertical="center"/>
    </xf>
    <xf numFmtId="183" fontId="8" fillId="0" borderId="0" xfId="3" applyNumberFormat="1" applyFont="1" applyFill="1" applyBorder="1" applyAlignment="1">
      <alignment horizontal="center" vertical="center"/>
    </xf>
    <xf numFmtId="183" fontId="11" fillId="0" borderId="19" xfId="46" applyNumberFormat="1" applyFont="1" applyFill="1" applyBorder="1" applyAlignment="1"/>
    <xf numFmtId="183" fontId="11" fillId="0" borderId="14" xfId="3" applyNumberFormat="1" applyFont="1" applyFill="1" applyBorder="1" applyAlignment="1">
      <alignment horizontal="right"/>
    </xf>
    <xf numFmtId="183" fontId="11" fillId="0" borderId="19" xfId="3" applyNumberFormat="1" applyFont="1" applyFill="1" applyBorder="1" applyAlignment="1">
      <alignment horizontal="right"/>
    </xf>
    <xf numFmtId="183" fontId="10" fillId="0" borderId="71" xfId="46" applyNumberFormat="1" applyFont="1" applyFill="1" applyBorder="1" applyAlignment="1">
      <alignment vertical="center" wrapText="1"/>
    </xf>
    <xf numFmtId="183" fontId="10" fillId="0" borderId="18" xfId="3" applyNumberFormat="1" applyFont="1" applyFill="1" applyBorder="1" applyAlignment="1">
      <alignment horizontal="right" vertical="center" wrapText="1"/>
    </xf>
    <xf numFmtId="183" fontId="10" fillId="0" borderId="10" xfId="3" applyNumberFormat="1" applyFont="1" applyFill="1" applyBorder="1" applyAlignment="1">
      <alignment horizontal="right" vertical="center" wrapText="1"/>
    </xf>
    <xf numFmtId="183" fontId="10" fillId="0" borderId="71" xfId="3" applyNumberFormat="1" applyFont="1" applyFill="1" applyBorder="1" applyAlignment="1">
      <alignment horizontal="right" vertical="center" wrapText="1"/>
    </xf>
    <xf numFmtId="183" fontId="10" fillId="0" borderId="0" xfId="34" applyNumberFormat="1" applyFont="1" applyFill="1" applyBorder="1" applyAlignment="1">
      <alignment horizontal="right" vertical="center" wrapText="1" indent="1"/>
    </xf>
    <xf numFmtId="183" fontId="10" fillId="0" borderId="14" xfId="34" applyNumberFormat="1" applyFont="1" applyFill="1" applyBorder="1" applyAlignment="1">
      <alignment horizontal="right" vertical="center" wrapText="1" indent="1"/>
    </xf>
    <xf numFmtId="183" fontId="10" fillId="0" borderId="19" xfId="34" applyNumberFormat="1" applyFont="1" applyFill="1" applyBorder="1" applyAlignment="1">
      <alignment horizontal="right" vertical="center" wrapText="1" indent="1"/>
    </xf>
    <xf numFmtId="183" fontId="18" fillId="0" borderId="0" xfId="3" applyNumberFormat="1" applyFont="1" applyFill="1" applyBorder="1" applyAlignment="1">
      <alignment horizontal="right" vertical="center" indent="1"/>
    </xf>
    <xf numFmtId="183" fontId="10" fillId="0" borderId="0" xfId="34" applyNumberFormat="1" applyFont="1" applyFill="1" applyBorder="1" applyAlignment="1">
      <alignment horizontal="right" vertical="center" wrapText="1"/>
    </xf>
    <xf numFmtId="183" fontId="11" fillId="0" borderId="14" xfId="24" applyNumberFormat="1" applyFont="1" applyFill="1" applyBorder="1" applyAlignment="1">
      <alignment horizontal="right"/>
    </xf>
    <xf numFmtId="183" fontId="11" fillId="0" borderId="19" xfId="24" applyNumberFormat="1" applyFont="1" applyFill="1" applyBorder="1" applyAlignment="1">
      <alignment horizontal="right"/>
    </xf>
    <xf numFmtId="183" fontId="8" fillId="0" borderId="0" xfId="3" applyNumberFormat="1" applyFont="1" applyFill="1"/>
    <xf numFmtId="183" fontId="18" fillId="0" borderId="72" xfId="46" applyNumberFormat="1" applyFont="1" applyFill="1" applyBorder="1" applyAlignment="1"/>
    <xf numFmtId="183" fontId="18" fillId="0" borderId="0" xfId="3" applyNumberFormat="1" applyFont="1" applyFill="1" applyBorder="1" applyAlignment="1">
      <alignment horizontal="right"/>
    </xf>
    <xf numFmtId="183" fontId="18" fillId="0" borderId="72" xfId="3" applyNumberFormat="1" applyFont="1" applyFill="1" applyBorder="1" applyAlignment="1">
      <alignment horizontal="right"/>
    </xf>
    <xf numFmtId="183" fontId="8" fillId="0" borderId="72" xfId="46" applyNumberFormat="1" applyFont="1" applyFill="1" applyBorder="1" applyAlignment="1"/>
    <xf numFmtId="183" fontId="8" fillId="0" borderId="0" xfId="3" applyNumberFormat="1" applyFont="1" applyFill="1" applyBorder="1" applyAlignment="1">
      <alignment horizontal="right"/>
    </xf>
    <xf numFmtId="183" fontId="8" fillId="0" borderId="72" xfId="3" applyNumberFormat="1" applyFont="1" applyFill="1" applyBorder="1" applyAlignment="1">
      <alignment horizontal="right"/>
    </xf>
    <xf numFmtId="183" fontId="11" fillId="0" borderId="7" xfId="3" applyNumberFormat="1" applyFont="1" applyFill="1" applyBorder="1" applyAlignment="1">
      <alignment horizontal="right" vertical="center" wrapText="1"/>
    </xf>
    <xf numFmtId="183" fontId="11" fillId="0" borderId="13" xfId="3" applyNumberFormat="1" applyFont="1" applyFill="1" applyBorder="1" applyAlignment="1">
      <alignment horizontal="right" vertical="center" wrapText="1"/>
    </xf>
    <xf numFmtId="183" fontId="11" fillId="0" borderId="19" xfId="3" applyNumberFormat="1" applyFont="1" applyFill="1" applyBorder="1" applyAlignment="1">
      <alignment horizontal="right" vertical="center" wrapText="1"/>
    </xf>
    <xf numFmtId="183" fontId="11" fillId="0" borderId="70" xfId="46" applyNumberFormat="1" applyFont="1" applyFill="1" applyBorder="1" applyAlignment="1">
      <alignment vertical="center" wrapText="1"/>
    </xf>
    <xf numFmtId="183" fontId="15" fillId="0" borderId="71" xfId="34" applyNumberFormat="1" applyFont="1" applyFill="1" applyBorder="1" applyAlignment="1">
      <alignment horizontal="right" vertical="center" wrapText="1" indent="1"/>
    </xf>
    <xf numFmtId="183" fontId="11" fillId="0" borderId="7" xfId="3" applyNumberFormat="1" applyFont="1" applyFill="1" applyBorder="1" applyAlignment="1">
      <alignment horizontal="right" vertical="center" wrapText="1" indent="1"/>
    </xf>
    <xf numFmtId="183" fontId="11" fillId="0" borderId="13" xfId="3" applyNumberFormat="1" applyFont="1" applyFill="1" applyBorder="1" applyAlignment="1">
      <alignment horizontal="right" vertical="center" wrapText="1" indent="1"/>
    </xf>
    <xf numFmtId="183" fontId="11" fillId="0" borderId="19" xfId="3" applyNumberFormat="1" applyFont="1" applyFill="1" applyBorder="1" applyAlignment="1">
      <alignment horizontal="right" vertical="center" wrapText="1" indent="1"/>
    </xf>
    <xf numFmtId="183" fontId="12" fillId="0" borderId="9" xfId="34" applyNumberFormat="1" applyFont="1" applyFill="1" applyBorder="1" applyAlignment="1">
      <alignment horizontal="right" vertical="center" wrapText="1" indent="1"/>
    </xf>
    <xf numFmtId="183" fontId="11" fillId="0" borderId="9" xfId="34" applyNumberFormat="1" applyFont="1" applyFill="1" applyBorder="1" applyAlignment="1">
      <alignment horizontal="right" vertical="center" wrapText="1" indent="1"/>
    </xf>
    <xf numFmtId="183" fontId="11" fillId="0" borderId="19" xfId="24" applyNumberFormat="1" applyFont="1" applyFill="1" applyBorder="1" applyAlignment="1">
      <alignment horizontal="right" indent="1"/>
    </xf>
    <xf numFmtId="183" fontId="11" fillId="0" borderId="9" xfId="24" applyNumberFormat="1" applyFont="1" applyFill="1" applyBorder="1" applyAlignment="1">
      <alignment horizontal="right" indent="1"/>
    </xf>
    <xf numFmtId="183" fontId="11" fillId="0" borderId="71" xfId="24" applyNumberFormat="1" applyFont="1" applyFill="1" applyBorder="1" applyAlignment="1">
      <alignment horizontal="right" indent="1"/>
    </xf>
    <xf numFmtId="183" fontId="11" fillId="0" borderId="6" xfId="24" applyNumberFormat="1" applyFont="1" applyFill="1" applyBorder="1" applyAlignment="1">
      <alignment horizontal="right" indent="1"/>
    </xf>
    <xf numFmtId="183" fontId="11" fillId="0" borderId="71" xfId="46" applyNumberFormat="1" applyFont="1" applyFill="1" applyBorder="1" applyAlignment="1">
      <alignment vertical="center" wrapText="1"/>
    </xf>
    <xf numFmtId="183" fontId="12" fillId="0" borderId="7" xfId="3" applyNumberFormat="1" applyFont="1" applyFill="1" applyBorder="1" applyAlignment="1">
      <alignment horizontal="right" vertical="center" wrapText="1"/>
    </xf>
    <xf numFmtId="183" fontId="12" fillId="0" borderId="13" xfId="3" applyNumberFormat="1" applyFont="1" applyFill="1" applyBorder="1" applyAlignment="1">
      <alignment horizontal="right" vertical="center" wrapText="1"/>
    </xf>
    <xf numFmtId="183" fontId="12" fillId="0" borderId="19" xfId="3" applyNumberFormat="1" applyFont="1" applyFill="1" applyBorder="1" applyAlignment="1">
      <alignment horizontal="right" vertical="center" wrapText="1"/>
    </xf>
    <xf numFmtId="183" fontId="11" fillId="0" borderId="7" xfId="3" applyNumberFormat="1" applyFont="1" applyFill="1" applyBorder="1" applyAlignment="1">
      <alignment vertical="center" wrapText="1"/>
    </xf>
    <xf numFmtId="183" fontId="11" fillId="0" borderId="13" xfId="3" applyNumberFormat="1" applyFont="1" applyFill="1" applyBorder="1" applyAlignment="1">
      <alignment vertical="center" wrapText="1"/>
    </xf>
    <xf numFmtId="183" fontId="11" fillId="0" borderId="19" xfId="3" applyNumberFormat="1" applyFont="1" applyFill="1" applyBorder="1" applyAlignment="1">
      <alignment vertical="center" wrapText="1"/>
    </xf>
    <xf numFmtId="183" fontId="8" fillId="0" borderId="0" xfId="3" applyNumberFormat="1" applyFont="1" applyFill="1" applyBorder="1" applyAlignment="1">
      <alignment vertical="center" wrapText="1"/>
    </xf>
    <xf numFmtId="183" fontId="10" fillId="0" borderId="7" xfId="34" applyNumberFormat="1" applyFont="1" applyFill="1" applyBorder="1" applyAlignment="1">
      <alignment vertical="center" wrapText="1"/>
    </xf>
    <xf numFmtId="183" fontId="10" fillId="0" borderId="1" xfId="34" applyNumberFormat="1" applyFont="1" applyFill="1" applyBorder="1" applyAlignment="1">
      <alignment vertical="center" wrapText="1"/>
    </xf>
    <xf numFmtId="183" fontId="10" fillId="0" borderId="0" xfId="3" applyNumberFormat="1" applyFont="1" applyFill="1" applyBorder="1" applyAlignment="1">
      <alignment horizontal="center" vertical="center" wrapText="1"/>
    </xf>
    <xf numFmtId="183" fontId="15" fillId="0" borderId="71" xfId="46" applyNumberFormat="1" applyFont="1" applyFill="1" applyBorder="1" applyAlignment="1">
      <alignment vertical="center" wrapText="1"/>
    </xf>
    <xf numFmtId="183" fontId="10" fillId="0" borderId="18" xfId="34" applyNumberFormat="1" applyFont="1" applyFill="1" applyBorder="1" applyAlignment="1">
      <alignment vertical="center" wrapText="1"/>
    </xf>
    <xf numFmtId="183" fontId="15" fillId="0" borderId="10" xfId="34" applyNumberFormat="1" applyFont="1" applyFill="1" applyBorder="1" applyAlignment="1">
      <alignment horizontal="right" vertical="center" wrapText="1"/>
    </xf>
    <xf numFmtId="183" fontId="15" fillId="0" borderId="71" xfId="34" applyNumberFormat="1" applyFont="1" applyFill="1" applyBorder="1" applyAlignment="1">
      <alignment horizontal="right" vertical="center" wrapText="1"/>
    </xf>
    <xf numFmtId="183" fontId="10" fillId="0" borderId="10" xfId="34" applyNumberFormat="1" applyFont="1" applyFill="1" applyBorder="1" applyAlignment="1">
      <alignment horizontal="right" vertical="center" wrapText="1"/>
    </xf>
    <xf numFmtId="183" fontId="12" fillId="0" borderId="71" xfId="46" applyNumberFormat="1" applyFont="1" applyFill="1" applyBorder="1" applyAlignment="1">
      <alignment vertical="center" wrapText="1"/>
    </xf>
    <xf numFmtId="183" fontId="12" fillId="0" borderId="18" xfId="3" applyNumberFormat="1" applyFont="1" applyFill="1" applyBorder="1" applyAlignment="1">
      <alignment horizontal="right" vertical="center" wrapText="1"/>
    </xf>
    <xf numFmtId="183" fontId="12" fillId="0" borderId="10" xfId="3" applyNumberFormat="1" applyFont="1" applyFill="1" applyBorder="1" applyAlignment="1">
      <alignment horizontal="right" vertical="center" wrapText="1"/>
    </xf>
    <xf numFmtId="183" fontId="12" fillId="0" borderId="71" xfId="3" applyNumberFormat="1" applyFont="1" applyFill="1" applyBorder="1" applyAlignment="1">
      <alignment horizontal="right" vertical="center" wrapText="1"/>
    </xf>
    <xf numFmtId="183" fontId="12" fillId="0" borderId="19" xfId="46" applyNumberFormat="1" applyFont="1" applyFill="1" applyBorder="1" applyAlignment="1"/>
    <xf numFmtId="183" fontId="12" fillId="0" borderId="7" xfId="34" applyNumberFormat="1" applyFont="1" applyFill="1" applyBorder="1" applyAlignment="1">
      <alignment horizontal="right"/>
    </xf>
    <xf numFmtId="183" fontId="12" fillId="0" borderId="1" xfId="34" applyNumberFormat="1" applyFont="1" applyFill="1" applyBorder="1" applyAlignment="1">
      <alignment horizontal="right"/>
    </xf>
    <xf numFmtId="183" fontId="12" fillId="0" borderId="14" xfId="34" applyNumberFormat="1" applyFont="1" applyFill="1" applyBorder="1" applyAlignment="1">
      <alignment horizontal="right"/>
    </xf>
    <xf numFmtId="183" fontId="12" fillId="0" borderId="19" xfId="34" applyNumberFormat="1" applyFont="1" applyFill="1" applyBorder="1" applyAlignment="1">
      <alignment horizontal="right"/>
    </xf>
    <xf numFmtId="183" fontId="11" fillId="0" borderId="7" xfId="34" applyNumberFormat="1" applyFont="1" applyFill="1" applyBorder="1" applyAlignment="1">
      <alignment horizontal="right"/>
    </xf>
    <xf numFmtId="183" fontId="11" fillId="0" borderId="1" xfId="34" applyNumberFormat="1" applyFont="1" applyFill="1" applyBorder="1" applyAlignment="1">
      <alignment horizontal="right"/>
    </xf>
    <xf numFmtId="183" fontId="11" fillId="0" borderId="14" xfId="34" applyNumberFormat="1" applyFont="1" applyFill="1" applyBorder="1" applyAlignment="1">
      <alignment horizontal="right"/>
    </xf>
    <xf numFmtId="183" fontId="11" fillId="0" borderId="19" xfId="34" applyNumberFormat="1" applyFont="1" applyFill="1" applyBorder="1" applyAlignment="1">
      <alignment horizontal="right"/>
    </xf>
    <xf numFmtId="183" fontId="15" fillId="0" borderId="30" xfId="34" applyNumberFormat="1" applyFont="1" applyFill="1" applyBorder="1" applyAlignment="1">
      <alignment horizontal="right" vertical="center" wrapText="1"/>
    </xf>
    <xf numFmtId="183" fontId="12" fillId="0" borderId="71" xfId="46" applyNumberFormat="1" applyFont="1" applyFill="1" applyBorder="1" applyAlignment="1"/>
    <xf numFmtId="183" fontId="10" fillId="0" borderId="13" xfId="34" applyNumberFormat="1" applyFont="1" applyFill="1" applyBorder="1" applyAlignment="1">
      <alignment horizontal="right" vertical="center" wrapText="1"/>
    </xf>
    <xf numFmtId="183" fontId="12" fillId="0" borderId="30" xfId="34" applyNumberFormat="1" applyFont="1" applyFill="1" applyBorder="1" applyAlignment="1"/>
    <xf numFmtId="183" fontId="12" fillId="0" borderId="71" xfId="34" applyNumberFormat="1" applyFont="1" applyFill="1" applyBorder="1" applyAlignment="1"/>
    <xf numFmtId="183" fontId="10" fillId="0" borderId="14" xfId="34" applyNumberFormat="1" applyFont="1" applyFill="1" applyBorder="1" applyAlignment="1">
      <alignment vertical="center" wrapText="1"/>
    </xf>
    <xf numFmtId="183" fontId="10" fillId="0" borderId="19" xfId="34" applyNumberFormat="1" applyFont="1" applyFill="1" applyBorder="1" applyAlignment="1">
      <alignment vertical="center" wrapText="1"/>
    </xf>
    <xf numFmtId="183" fontId="11" fillId="0" borderId="14" xfId="34" applyNumberFormat="1" applyFont="1" applyFill="1" applyBorder="1" applyAlignment="1"/>
    <xf numFmtId="183" fontId="11" fillId="0" borderId="19" xfId="34" applyNumberFormat="1" applyFont="1" applyFill="1" applyBorder="1" applyAlignment="1"/>
    <xf numFmtId="183" fontId="15" fillId="0" borderId="30" xfId="34" applyNumberFormat="1" applyFont="1" applyFill="1" applyBorder="1" applyAlignment="1">
      <alignment vertical="center" wrapText="1"/>
    </xf>
    <xf numFmtId="183" fontId="15" fillId="0" borderId="71" xfId="34" applyNumberFormat="1" applyFont="1" applyFill="1" applyBorder="1" applyAlignment="1">
      <alignment vertical="center" wrapText="1"/>
    </xf>
    <xf numFmtId="183" fontId="15" fillId="0" borderId="13" xfId="34" applyNumberFormat="1" applyFont="1" applyFill="1" applyBorder="1" applyAlignment="1">
      <alignment vertical="center" wrapText="1"/>
    </xf>
    <xf numFmtId="183" fontId="15" fillId="0" borderId="19" xfId="34" applyNumberFormat="1" applyFont="1" applyFill="1" applyBorder="1" applyAlignment="1">
      <alignment vertical="center" wrapText="1"/>
    </xf>
    <xf numFmtId="183" fontId="10" fillId="0" borderId="13" xfId="34" applyNumberFormat="1" applyFont="1" applyFill="1" applyBorder="1" applyAlignment="1">
      <alignment vertical="center" wrapText="1"/>
    </xf>
    <xf numFmtId="185" fontId="11" fillId="0" borderId="7" xfId="3" applyNumberFormat="1" applyFont="1" applyFill="1" applyBorder="1" applyAlignment="1">
      <alignment horizontal="right" vertical="center" wrapText="1"/>
    </xf>
    <xf numFmtId="185" fontId="12" fillId="0" borderId="13" xfId="3" applyNumberFormat="1" applyFont="1" applyFill="1" applyBorder="1" applyAlignment="1">
      <alignment horizontal="right" vertical="center" wrapText="1"/>
    </xf>
    <xf numFmtId="185" fontId="12" fillId="0" borderId="19" xfId="3" applyNumberFormat="1" applyFont="1" applyFill="1" applyBorder="1" applyAlignment="1">
      <alignment horizontal="right" vertical="center" wrapText="1"/>
    </xf>
    <xf numFmtId="185" fontId="11" fillId="0" borderId="13" xfId="3" applyNumberFormat="1" applyFont="1" applyFill="1" applyBorder="1" applyAlignment="1">
      <alignment horizontal="right" vertical="center" wrapText="1"/>
    </xf>
    <xf numFmtId="185" fontId="11" fillId="0" borderId="19" xfId="3" applyNumberFormat="1" applyFont="1" applyFill="1" applyBorder="1" applyAlignment="1">
      <alignment horizontal="right" vertical="center" wrapText="1"/>
    </xf>
    <xf numFmtId="185" fontId="10" fillId="0" borderId="59" xfId="34" applyNumberFormat="1" applyFont="1" applyFill="1" applyBorder="1" applyAlignment="1">
      <alignment horizontal="right" vertical="center" wrapText="1"/>
    </xf>
    <xf numFmtId="185" fontId="10" fillId="0" borderId="4" xfId="34" applyNumberFormat="1" applyFont="1" applyFill="1" applyBorder="1" applyAlignment="1">
      <alignment horizontal="right" vertical="center" wrapText="1"/>
    </xf>
    <xf numFmtId="185" fontId="10" fillId="0" borderId="74" xfId="34" applyNumberFormat="1" applyFont="1" applyFill="1" applyBorder="1" applyAlignment="1">
      <alignment horizontal="right" vertical="center" wrapText="1"/>
    </xf>
    <xf numFmtId="185" fontId="10" fillId="0" borderId="66" xfId="34" applyNumberFormat="1" applyFont="1" applyFill="1" applyBorder="1" applyAlignment="1">
      <alignment horizontal="right" vertical="center" wrapText="1"/>
    </xf>
    <xf numFmtId="185" fontId="10" fillId="0" borderId="66" xfId="46" applyNumberFormat="1" applyFont="1" applyFill="1" applyBorder="1" applyAlignment="1">
      <alignment vertical="center" wrapText="1"/>
    </xf>
    <xf numFmtId="174" fontId="76" fillId="0" borderId="72" xfId="5" applyNumberFormat="1" applyFont="1" applyFill="1" applyBorder="1" applyAlignment="1">
      <alignment horizontal="right" vertical="center" wrapText="1"/>
    </xf>
    <xf numFmtId="174" fontId="13" fillId="0" borderId="15" xfId="5" applyNumberFormat="1" applyFont="1" applyFill="1" applyBorder="1" applyAlignment="1">
      <alignment horizontal="right" vertical="center" wrapText="1"/>
    </xf>
    <xf numFmtId="174" fontId="13" fillId="0" borderId="23" xfId="5" applyNumberFormat="1" applyFont="1" applyFill="1" applyBorder="1" applyAlignment="1">
      <alignment horizontal="right" vertical="center" wrapText="1"/>
    </xf>
    <xf numFmtId="174" fontId="8" fillId="0" borderId="0" xfId="3" applyNumberFormat="1" applyFont="1" applyFill="1" applyBorder="1"/>
    <xf numFmtId="174" fontId="76" fillId="0" borderId="37" xfId="5" applyNumberFormat="1" applyFont="1" applyFill="1" applyBorder="1" applyAlignment="1">
      <alignment horizontal="right" vertical="center" wrapText="1"/>
    </xf>
    <xf numFmtId="174" fontId="76" fillId="0" borderId="67" xfId="5" applyNumberFormat="1" applyFont="1" applyFill="1" applyBorder="1" applyAlignment="1">
      <alignment horizontal="right" vertical="center" wrapText="1"/>
    </xf>
    <xf numFmtId="174" fontId="41" fillId="0" borderId="60" xfId="5" applyNumberFormat="1" applyFont="1" applyFill="1" applyBorder="1" applyAlignment="1">
      <alignment horizontal="right" vertical="center" wrapText="1"/>
    </xf>
    <xf numFmtId="174" fontId="41" fillId="0" borderId="31" xfId="5" applyNumberFormat="1" applyFont="1" applyFill="1" applyBorder="1" applyAlignment="1">
      <alignment horizontal="right" vertical="center" wrapText="1"/>
    </xf>
    <xf numFmtId="174" fontId="76" fillId="0" borderId="31" xfId="5" applyNumberFormat="1" applyFont="1" applyFill="1" applyBorder="1" applyAlignment="1">
      <alignment horizontal="right" vertical="center" wrapText="1"/>
    </xf>
    <xf numFmtId="174" fontId="41" fillId="0" borderId="32" xfId="5" applyNumberFormat="1" applyFont="1" applyFill="1" applyBorder="1" applyAlignment="1">
      <alignment horizontal="right" vertical="center" wrapText="1"/>
    </xf>
    <xf numFmtId="174" fontId="76" fillId="0" borderId="71" xfId="5" applyNumberFormat="1" applyFont="1" applyFill="1" applyBorder="1" applyAlignment="1">
      <alignment horizontal="right" vertical="center" wrapText="1"/>
    </xf>
    <xf numFmtId="174" fontId="41" fillId="0" borderId="18" xfId="5" applyNumberFormat="1" applyFont="1" applyFill="1" applyBorder="1" applyAlignment="1">
      <alignment horizontal="right" vertical="center" wrapText="1"/>
    </xf>
    <xf numFmtId="174" fontId="41" fillId="0" borderId="2" xfId="5" applyNumberFormat="1" applyFont="1" applyFill="1" applyBorder="1" applyAlignment="1">
      <alignment horizontal="right" vertical="center" wrapText="1"/>
    </xf>
    <xf numFmtId="174" fontId="85" fillId="0" borderId="0" xfId="3" applyNumberFormat="1" applyFont="1" applyFill="1" applyBorder="1"/>
    <xf numFmtId="174" fontId="76" fillId="0" borderId="20" xfId="5" applyNumberFormat="1" applyFont="1" applyFill="1" applyBorder="1" applyAlignment="1">
      <alignment horizontal="right" vertical="center" wrapText="1"/>
    </xf>
    <xf numFmtId="174" fontId="76" fillId="0" borderId="19" xfId="5" applyNumberFormat="1" applyFont="1" applyFill="1" applyBorder="1" applyAlignment="1">
      <alignment horizontal="right" vertical="center"/>
    </xf>
    <xf numFmtId="174" fontId="41" fillId="0" borderId="7" xfId="5" applyNumberFormat="1" applyFont="1" applyFill="1" applyBorder="1" applyAlignment="1">
      <alignment horizontal="right" vertical="center"/>
    </xf>
    <xf numFmtId="174" fontId="41" fillId="0" borderId="1" xfId="5" applyNumberFormat="1" applyFont="1" applyFill="1" applyBorder="1" applyAlignment="1">
      <alignment horizontal="right" vertical="center"/>
    </xf>
    <xf numFmtId="174" fontId="76" fillId="0" borderId="9" xfId="5" applyNumberFormat="1" applyFont="1" applyFill="1" applyBorder="1" applyAlignment="1">
      <alignment horizontal="right" vertical="center"/>
    </xf>
    <xf numFmtId="174" fontId="17" fillId="0" borderId="19" xfId="5" applyNumberFormat="1" applyFont="1" applyFill="1" applyBorder="1" applyAlignment="1">
      <alignment horizontal="right" vertical="center"/>
    </xf>
    <xf numFmtId="174" fontId="39" fillId="0" borderId="7" xfId="5" applyNumberFormat="1" applyFont="1" applyFill="1" applyBorder="1" applyAlignment="1">
      <alignment horizontal="right" vertical="center"/>
    </xf>
    <xf numFmtId="174" fontId="39" fillId="0" borderId="1" xfId="5" applyNumberFormat="1" applyFont="1" applyFill="1" applyBorder="1" applyAlignment="1">
      <alignment horizontal="right" vertical="center"/>
    </xf>
    <xf numFmtId="174" fontId="17" fillId="0" borderId="9" xfId="5" applyNumberFormat="1" applyFont="1" applyFill="1" applyBorder="1" applyAlignment="1">
      <alignment horizontal="right" vertical="center"/>
    </xf>
    <xf numFmtId="174" fontId="39" fillId="0" borderId="9" xfId="5" applyNumberFormat="1" applyFont="1" applyFill="1" applyBorder="1" applyAlignment="1">
      <alignment horizontal="right" vertical="center"/>
    </xf>
    <xf numFmtId="174" fontId="17" fillId="0" borderId="19" xfId="34" applyNumberFormat="1" applyFont="1" applyFill="1" applyBorder="1" applyAlignment="1">
      <alignment horizontal="right" vertical="center" wrapText="1"/>
    </xf>
    <xf numFmtId="174" fontId="47" fillId="0" borderId="0" xfId="3" applyNumberFormat="1" applyFont="1" applyFill="1" applyBorder="1"/>
    <xf numFmtId="174" fontId="17" fillId="0" borderId="9" xfId="34" applyNumberFormat="1" applyFont="1" applyFill="1" applyBorder="1" applyAlignment="1">
      <alignment horizontal="right" vertical="center" wrapText="1"/>
    </xf>
    <xf numFmtId="174" fontId="39" fillId="0" borderId="14" xfId="5" applyNumberFormat="1" applyFont="1" applyFill="1" applyBorder="1" applyAlignment="1">
      <alignment horizontal="right" vertical="center"/>
    </xf>
    <xf numFmtId="174" fontId="41" fillId="0" borderId="9" xfId="5" applyNumberFormat="1" applyFont="1" applyFill="1" applyBorder="1" applyAlignment="1">
      <alignment horizontal="right" vertical="center"/>
    </xf>
    <xf numFmtId="174" fontId="17" fillId="0" borderId="70" xfId="5" applyNumberFormat="1" applyFont="1" applyFill="1" applyBorder="1" applyAlignment="1">
      <alignment horizontal="right" vertical="center"/>
    </xf>
    <xf numFmtId="174" fontId="39" fillId="0" borderId="15" xfId="5" applyNumberFormat="1" applyFont="1" applyFill="1" applyBorder="1" applyAlignment="1">
      <alignment horizontal="right" vertical="center"/>
    </xf>
    <xf numFmtId="174" fontId="39" fillId="0" borderId="34" xfId="5" applyNumberFormat="1" applyFont="1" applyFill="1" applyBorder="1" applyAlignment="1">
      <alignment horizontal="right" vertical="center"/>
    </xf>
    <xf numFmtId="174" fontId="17" fillId="0" borderId="34" xfId="5" applyNumberFormat="1" applyFont="1" applyFill="1" applyBorder="1" applyAlignment="1">
      <alignment horizontal="right" vertical="center"/>
    </xf>
    <xf numFmtId="174" fontId="41" fillId="0" borderId="12" xfId="5" applyNumberFormat="1" applyFont="1" applyFill="1" applyBorder="1" applyAlignment="1">
      <alignment horizontal="right" vertical="center" wrapText="1"/>
    </xf>
    <xf numFmtId="174" fontId="41" fillId="0" borderId="36" xfId="5" applyNumberFormat="1" applyFont="1" applyFill="1" applyBorder="1" applyAlignment="1">
      <alignment horizontal="right" vertical="center" wrapText="1"/>
    </xf>
    <xf numFmtId="174" fontId="76" fillId="0" borderId="69" xfId="5" applyNumberFormat="1" applyFont="1" applyFill="1" applyBorder="1" applyAlignment="1">
      <alignment horizontal="right" vertical="center"/>
    </xf>
    <xf numFmtId="174" fontId="41" fillId="0" borderId="28" xfId="5" applyNumberFormat="1" applyFont="1" applyFill="1" applyBorder="1" applyAlignment="1">
      <alignment horizontal="right" vertical="center"/>
    </xf>
    <xf numFmtId="174" fontId="41" fillId="0" borderId="26" xfId="5" applyNumberFormat="1" applyFont="1" applyFill="1" applyBorder="1" applyAlignment="1">
      <alignment horizontal="right" vertical="center"/>
    </xf>
    <xf numFmtId="174" fontId="8" fillId="0" borderId="27" xfId="3" applyNumberFormat="1" applyFont="1" applyFill="1" applyBorder="1"/>
    <xf numFmtId="174" fontId="76" fillId="0" borderId="25" xfId="5" applyNumberFormat="1" applyFont="1" applyFill="1" applyBorder="1" applyAlignment="1">
      <alignment horizontal="right" vertical="center"/>
    </xf>
    <xf numFmtId="174" fontId="17" fillId="0" borderId="19" xfId="5" applyNumberFormat="1" applyFont="1" applyFill="1" applyBorder="1" applyAlignment="1">
      <alignment horizontal="right" vertical="center" wrapText="1"/>
    </xf>
    <xf numFmtId="174" fontId="39" fillId="0" borderId="7" xfId="5" applyNumberFormat="1" applyFont="1" applyFill="1" applyBorder="1" applyAlignment="1">
      <alignment horizontal="right" vertical="center" wrapText="1"/>
    </xf>
    <xf numFmtId="174" fontId="39" fillId="0" borderId="9" xfId="5" applyNumberFormat="1" applyFont="1" applyFill="1" applyBorder="1" applyAlignment="1">
      <alignment horizontal="right" vertical="center" wrapText="1"/>
    </xf>
    <xf numFmtId="174" fontId="17" fillId="0" borderId="9" xfId="5" applyNumberFormat="1" applyFont="1" applyFill="1" applyBorder="1" applyAlignment="1">
      <alignment horizontal="right" vertical="center" wrapText="1"/>
    </xf>
    <xf numFmtId="174" fontId="76" fillId="0" borderId="19" xfId="5" applyNumberFormat="1" applyFont="1" applyFill="1" applyBorder="1" applyAlignment="1">
      <alignment horizontal="right" vertical="center" wrapText="1"/>
    </xf>
    <xf numFmtId="174" fontId="41" fillId="0" borderId="7" xfId="5" applyNumberFormat="1" applyFont="1" applyFill="1" applyBorder="1" applyAlignment="1">
      <alignment horizontal="right" vertical="center" wrapText="1"/>
    </xf>
    <xf numFmtId="174" fontId="41" fillId="0" borderId="9" xfId="5" applyNumberFormat="1" applyFont="1" applyFill="1" applyBorder="1" applyAlignment="1">
      <alignment horizontal="right" vertical="center" wrapText="1"/>
    </xf>
    <xf numFmtId="174" fontId="13" fillId="0" borderId="0" xfId="3" applyNumberFormat="1" applyFont="1" applyFill="1" applyBorder="1"/>
    <xf numFmtId="174" fontId="76" fillId="0" borderId="9" xfId="5" applyNumberFormat="1" applyFont="1" applyFill="1" applyBorder="1" applyAlignment="1">
      <alignment horizontal="right" vertical="center" wrapText="1"/>
    </xf>
    <xf numFmtId="174" fontId="76" fillId="0" borderId="19" xfId="14" applyNumberFormat="1" applyFont="1" applyFill="1" applyBorder="1" applyAlignment="1">
      <alignment horizontal="right" vertical="center"/>
    </xf>
    <xf numFmtId="174" fontId="41" fillId="0" borderId="7" xfId="14" applyNumberFormat="1" applyFont="1" applyFill="1" applyBorder="1" applyAlignment="1">
      <alignment horizontal="right" vertical="center"/>
    </xf>
    <xf numFmtId="174" fontId="41" fillId="0" borderId="1" xfId="14" applyNumberFormat="1" applyFont="1" applyFill="1" applyBorder="1" applyAlignment="1">
      <alignment horizontal="right" vertical="center"/>
    </xf>
    <xf numFmtId="174" fontId="76" fillId="0" borderId="9" xfId="14" applyNumberFormat="1" applyFont="1" applyFill="1" applyBorder="1" applyAlignment="1">
      <alignment horizontal="right" vertical="center"/>
    </xf>
    <xf numFmtId="174" fontId="17" fillId="0" borderId="19" xfId="14" applyNumberFormat="1" applyFont="1" applyFill="1" applyBorder="1" applyAlignment="1">
      <alignment horizontal="right" vertical="center"/>
    </xf>
    <xf numFmtId="174" fontId="17" fillId="0" borderId="9" xfId="14" applyNumberFormat="1" applyFont="1" applyFill="1" applyBorder="1" applyAlignment="1">
      <alignment horizontal="right" vertical="center"/>
    </xf>
    <xf numFmtId="174" fontId="39" fillId="0" borderId="7" xfId="14" applyNumberFormat="1" applyFont="1" applyFill="1" applyBorder="1" applyAlignment="1">
      <alignment horizontal="right" vertical="center"/>
    </xf>
    <xf numFmtId="174" fontId="39" fillId="0" borderId="1" xfId="14" applyNumberFormat="1" applyFont="1" applyFill="1" applyBorder="1" applyAlignment="1">
      <alignment horizontal="right" vertical="center"/>
    </xf>
    <xf numFmtId="174" fontId="39" fillId="0" borderId="1" xfId="5" applyNumberFormat="1" applyFont="1" applyFill="1" applyBorder="1" applyAlignment="1">
      <alignment horizontal="right" vertical="center" wrapText="1"/>
    </xf>
    <xf numFmtId="174" fontId="39" fillId="0" borderId="14" xfId="5" applyNumberFormat="1" applyFont="1" applyFill="1" applyBorder="1" applyAlignment="1">
      <alignment horizontal="right" vertical="center" wrapText="1"/>
    </xf>
    <xf numFmtId="174" fontId="75" fillId="0" borderId="19" xfId="9" applyNumberFormat="1" applyFont="1" applyFill="1" applyBorder="1" applyAlignment="1">
      <alignment horizontal="right" vertical="center" wrapText="1"/>
    </xf>
    <xf numFmtId="174" fontId="75" fillId="0" borderId="64" xfId="9" applyNumberFormat="1" applyFont="1" applyFill="1" applyBorder="1" applyAlignment="1">
      <alignment horizontal="right" vertical="center" wrapText="1"/>
    </xf>
    <xf numFmtId="174" fontId="105" fillId="0" borderId="19" xfId="5" applyNumberFormat="1" applyFont="1" applyFill="1" applyBorder="1" applyAlignment="1">
      <alignment horizontal="right" vertical="center" wrapText="1"/>
    </xf>
    <xf numFmtId="174" fontId="39" fillId="0" borderId="9" xfId="14" applyNumberFormat="1" applyFont="1" applyFill="1" applyBorder="1" applyAlignment="1">
      <alignment horizontal="right" vertical="center"/>
    </xf>
    <xf numFmtId="174" fontId="17" fillId="0" borderId="6" xfId="5" applyNumberFormat="1" applyFont="1" applyFill="1" applyBorder="1" applyAlignment="1">
      <alignment horizontal="right" vertical="center" wrapText="1"/>
    </xf>
    <xf numFmtId="174" fontId="75" fillId="0" borderId="19" xfId="46" applyNumberFormat="1" applyFont="1" applyFill="1" applyBorder="1" applyAlignment="1">
      <alignment horizontal="right" vertical="center" wrapText="1"/>
    </xf>
    <xf numFmtId="174" fontId="10" fillId="0" borderId="7" xfId="34" applyNumberFormat="1" applyFont="1" applyFill="1" applyBorder="1" applyAlignment="1">
      <alignment horizontal="right" vertical="center" wrapText="1"/>
    </xf>
    <xf numFmtId="174" fontId="10" fillId="0" borderId="1" xfId="34" applyNumberFormat="1" applyFont="1" applyFill="1" applyBorder="1" applyAlignment="1">
      <alignment horizontal="right" vertical="center" wrapText="1"/>
    </xf>
    <xf numFmtId="174" fontId="10" fillId="0" borderId="14" xfId="9" applyNumberFormat="1" applyFont="1" applyFill="1" applyBorder="1" applyAlignment="1">
      <alignment horizontal="right" vertical="center" wrapText="1"/>
    </xf>
    <xf numFmtId="174" fontId="10" fillId="0" borderId="19" xfId="9" applyNumberFormat="1" applyFont="1" applyFill="1" applyBorder="1" applyAlignment="1">
      <alignment horizontal="right" vertical="center" wrapText="1"/>
    </xf>
    <xf numFmtId="174" fontId="10" fillId="0" borderId="19" xfId="46" applyNumberFormat="1" applyFont="1" applyFill="1" applyBorder="1" applyAlignment="1">
      <alignment vertical="center" wrapText="1"/>
    </xf>
    <xf numFmtId="174" fontId="10" fillId="0" borderId="14" xfId="34" applyNumberFormat="1" applyFont="1" applyFill="1" applyBorder="1" applyAlignment="1">
      <alignment horizontal="right" vertical="center" wrapText="1"/>
    </xf>
    <xf numFmtId="174" fontId="10" fillId="0" borderId="0" xfId="9" applyNumberFormat="1" applyFont="1" applyFill="1" applyBorder="1" applyAlignment="1">
      <alignment horizontal="right" vertical="center" wrapText="1"/>
    </xf>
    <xf numFmtId="174" fontId="10" fillId="0" borderId="0" xfId="46" applyNumberFormat="1" applyFont="1" applyFill="1" applyBorder="1" applyAlignment="1">
      <alignment vertical="center" wrapText="1"/>
    </xf>
    <xf numFmtId="174" fontId="97" fillId="0" borderId="19" xfId="5" applyNumberFormat="1" applyFont="1" applyFill="1" applyBorder="1" applyAlignment="1">
      <alignment horizontal="right" vertical="center" wrapText="1"/>
    </xf>
    <xf numFmtId="174" fontId="98" fillId="0" borderId="7" xfId="5" applyNumberFormat="1" applyFont="1" applyFill="1" applyBorder="1" applyAlignment="1">
      <alignment horizontal="right" vertical="center" wrapText="1"/>
    </xf>
    <xf numFmtId="174" fontId="98" fillId="0" borderId="9" xfId="5" applyNumberFormat="1" applyFont="1" applyFill="1" applyBorder="1" applyAlignment="1">
      <alignment horizontal="right" vertical="center" wrapText="1"/>
    </xf>
    <xf numFmtId="174" fontId="99" fillId="0" borderId="0" xfId="3" applyNumberFormat="1" applyFont="1" applyFill="1" applyBorder="1"/>
    <xf numFmtId="174" fontId="97" fillId="0" borderId="9" xfId="5" applyNumberFormat="1" applyFont="1" applyFill="1" applyBorder="1" applyAlignment="1">
      <alignment horizontal="right" vertical="center" wrapText="1"/>
    </xf>
    <xf numFmtId="174" fontId="41" fillId="0" borderId="1" xfId="5" applyNumberFormat="1" applyFont="1" applyFill="1" applyBorder="1" applyAlignment="1">
      <alignment horizontal="right" vertical="center" wrapText="1"/>
    </xf>
    <xf numFmtId="174" fontId="17" fillId="0" borderId="70" xfId="5" applyNumberFormat="1" applyFont="1" applyFill="1" applyBorder="1" applyAlignment="1">
      <alignment horizontal="right" vertical="center" wrapText="1"/>
    </xf>
    <xf numFmtId="174" fontId="17" fillId="0" borderId="34" xfId="5" applyNumberFormat="1" applyFont="1" applyFill="1" applyBorder="1" applyAlignment="1">
      <alignment horizontal="right" vertical="center" wrapText="1"/>
    </xf>
    <xf numFmtId="174" fontId="17" fillId="0" borderId="66" xfId="5" applyNumberFormat="1" applyFont="1" applyFill="1" applyBorder="1" applyAlignment="1">
      <alignment horizontal="right" vertical="center" wrapText="1"/>
    </xf>
    <xf numFmtId="174" fontId="17" fillId="0" borderId="3" xfId="5" applyNumberFormat="1" applyFont="1" applyFill="1" applyBorder="1" applyAlignment="1">
      <alignment horizontal="right" vertical="center" wrapText="1"/>
    </xf>
    <xf numFmtId="174" fontId="78" fillId="0" borderId="71" xfId="5" applyNumberFormat="1" applyFont="1" applyFill="1" applyBorder="1" applyAlignment="1">
      <alignment horizontal="right" vertical="center" wrapText="1"/>
    </xf>
    <xf numFmtId="174" fontId="78" fillId="0" borderId="2" xfId="5" applyNumberFormat="1" applyFont="1" applyFill="1" applyBorder="1" applyAlignment="1">
      <alignment horizontal="right" vertical="center" wrapText="1"/>
    </xf>
    <xf numFmtId="174" fontId="57" fillId="0" borderId="19" xfId="5" applyNumberFormat="1" applyFont="1" applyFill="1" applyBorder="1" applyAlignment="1">
      <alignment horizontal="right" vertical="center" wrapText="1"/>
    </xf>
    <xf numFmtId="174" fontId="57" fillId="0" borderId="1" xfId="5" applyNumberFormat="1" applyFont="1" applyFill="1" applyBorder="1" applyAlignment="1">
      <alignment horizontal="right" vertical="center" wrapText="1"/>
    </xf>
    <xf numFmtId="174" fontId="57" fillId="0" borderId="70" xfId="5" applyNumberFormat="1" applyFont="1" applyFill="1" applyBorder="1" applyAlignment="1">
      <alignment horizontal="right" vertical="center" wrapText="1"/>
    </xf>
    <xf numFmtId="174" fontId="39" fillId="0" borderId="15" xfId="5" applyNumberFormat="1" applyFont="1" applyFill="1" applyBorder="1" applyAlignment="1">
      <alignment horizontal="right" vertical="center" wrapText="1"/>
    </xf>
    <xf numFmtId="174" fontId="39" fillId="0" borderId="34" xfId="5" applyNumberFormat="1" applyFont="1" applyFill="1" applyBorder="1" applyAlignment="1">
      <alignment horizontal="right" vertical="center" wrapText="1"/>
    </xf>
    <xf numFmtId="174" fontId="57" fillId="0" borderId="23" xfId="5" applyNumberFormat="1" applyFont="1" applyFill="1" applyBorder="1" applyAlignment="1">
      <alignment horizontal="right" vertical="center" wrapText="1"/>
    </xf>
    <xf numFmtId="174" fontId="57" fillId="0" borderId="72" xfId="5" applyNumberFormat="1" applyFont="1" applyFill="1" applyBorder="1" applyAlignment="1">
      <alignment horizontal="right" vertical="center" wrapText="1"/>
    </xf>
    <xf numFmtId="174" fontId="39" fillId="0" borderId="12" xfId="5" applyNumberFormat="1" applyFont="1" applyFill="1" applyBorder="1" applyAlignment="1">
      <alignment horizontal="right" vertical="center" wrapText="1"/>
    </xf>
    <xf numFmtId="174" fontId="39" fillId="0" borderId="37" xfId="5" applyNumberFormat="1" applyFont="1" applyFill="1" applyBorder="1" applyAlignment="1">
      <alignment horizontal="right" vertical="center" wrapText="1"/>
    </xf>
    <xf numFmtId="174" fontId="57" fillId="0" borderId="36" xfId="5" applyNumberFormat="1" applyFont="1" applyFill="1" applyBorder="1" applyAlignment="1">
      <alignment horizontal="right" vertical="center" wrapText="1"/>
    </xf>
    <xf numFmtId="174" fontId="78" fillId="0" borderId="67" xfId="5" applyNumberFormat="1" applyFont="1" applyFill="1" applyBorder="1" applyAlignment="1">
      <alignment horizontal="right" vertical="center" wrapText="1"/>
    </xf>
    <xf numFmtId="174" fontId="78" fillId="0" borderId="32" xfId="5" applyNumberFormat="1" applyFont="1" applyFill="1" applyBorder="1" applyAlignment="1">
      <alignment horizontal="right" vertical="center" wrapText="1"/>
    </xf>
    <xf numFmtId="174" fontId="41" fillId="0" borderId="20" xfId="5" applyNumberFormat="1" applyFont="1" applyFill="1" applyBorder="1" applyAlignment="1">
      <alignment horizontal="right" vertical="center" wrapText="1"/>
    </xf>
    <xf numFmtId="174" fontId="78" fillId="0" borderId="19" xfId="5" applyNumberFormat="1" applyFont="1" applyFill="1" applyBorder="1" applyAlignment="1">
      <alignment horizontal="right" vertical="center" wrapText="1"/>
    </xf>
    <xf numFmtId="174" fontId="78" fillId="0" borderId="1" xfId="5" applyNumberFormat="1" applyFont="1" applyFill="1" applyBorder="1" applyAlignment="1">
      <alignment horizontal="right" vertical="center" wrapText="1"/>
    </xf>
    <xf numFmtId="174" fontId="8" fillId="0" borderId="46" xfId="3" applyNumberFormat="1" applyFont="1" applyFill="1" applyBorder="1"/>
    <xf numFmtId="174" fontId="17" fillId="0" borderId="70" xfId="34" applyNumberFormat="1" applyFont="1" applyFill="1" applyBorder="1" applyAlignment="1">
      <alignment horizontal="right" vertical="center" wrapText="1"/>
    </xf>
    <xf numFmtId="174" fontId="39" fillId="0" borderId="65" xfId="5" applyNumberFormat="1" applyFont="1" applyFill="1" applyBorder="1" applyAlignment="1">
      <alignment horizontal="right" vertical="center"/>
    </xf>
    <xf numFmtId="174" fontId="17" fillId="0" borderId="34" xfId="34" applyNumberFormat="1" applyFont="1" applyFill="1" applyBorder="1" applyAlignment="1">
      <alignment horizontal="right" vertical="center" wrapText="1"/>
    </xf>
    <xf numFmtId="174" fontId="17" fillId="0" borderId="66" xfId="34" applyNumberFormat="1" applyFont="1" applyFill="1" applyBorder="1" applyAlignment="1">
      <alignment horizontal="right" vertical="center" wrapText="1"/>
    </xf>
    <xf numFmtId="174" fontId="39" fillId="0" borderId="59" xfId="5" applyNumberFormat="1" applyFont="1" applyFill="1" applyBorder="1" applyAlignment="1">
      <alignment horizontal="right" vertical="center"/>
    </xf>
    <xf numFmtId="174" fontId="39" fillId="0" borderId="74" xfId="5" applyNumberFormat="1" applyFont="1" applyFill="1" applyBorder="1" applyAlignment="1">
      <alignment horizontal="right" vertical="center"/>
    </xf>
    <xf numFmtId="174" fontId="47" fillId="0" borderId="38" xfId="3" applyNumberFormat="1" applyFont="1" applyFill="1" applyBorder="1"/>
    <xf numFmtId="174" fontId="8" fillId="0" borderId="38" xfId="3" applyNumberFormat="1" applyFont="1" applyFill="1" applyBorder="1"/>
    <xf numFmtId="174" fontId="17" fillId="0" borderId="3" xfId="34" applyNumberFormat="1" applyFont="1" applyFill="1" applyBorder="1" applyAlignment="1">
      <alignment horizontal="right" vertical="center" wrapText="1"/>
    </xf>
    <xf numFmtId="174" fontId="76" fillId="0" borderId="69" xfId="5" applyNumberFormat="1" applyFont="1" applyFill="1" applyBorder="1" applyAlignment="1">
      <alignment horizontal="right" vertical="center" wrapText="1"/>
    </xf>
    <xf numFmtId="174" fontId="41" fillId="0" borderId="28" xfId="5" applyNumberFormat="1" applyFont="1" applyFill="1" applyBorder="1" applyAlignment="1">
      <alignment horizontal="right" vertical="center" wrapText="1"/>
    </xf>
    <xf numFmtId="174" fontId="41" fillId="0" borderId="26" xfId="5" applyNumberFormat="1" applyFont="1" applyFill="1" applyBorder="1" applyAlignment="1">
      <alignment horizontal="right" vertical="center" wrapText="1"/>
    </xf>
    <xf numFmtId="174" fontId="92" fillId="0" borderId="27" xfId="3" applyNumberFormat="1" applyFont="1" applyFill="1" applyBorder="1"/>
    <xf numFmtId="174" fontId="13" fillId="0" borderId="27" xfId="3" applyNumberFormat="1" applyFont="1" applyFill="1" applyBorder="1"/>
    <xf numFmtId="174" fontId="41" fillId="0" borderId="15" xfId="5" applyNumberFormat="1" applyFont="1" applyFill="1" applyBorder="1" applyAlignment="1">
      <alignment horizontal="right" vertical="center"/>
    </xf>
    <xf numFmtId="174" fontId="41" fillId="0" borderId="23" xfId="5" applyNumberFormat="1" applyFont="1" applyFill="1" applyBorder="1" applyAlignment="1">
      <alignment horizontal="right" vertical="center"/>
    </xf>
    <xf numFmtId="174" fontId="8" fillId="0" borderId="61" xfId="24" applyNumberFormat="1" applyFont="1" applyFill="1" applyBorder="1" applyAlignment="1">
      <alignment horizontal="right"/>
    </xf>
    <xf numFmtId="174" fontId="8" fillId="0" borderId="62" xfId="24" applyNumberFormat="1" applyFont="1" applyFill="1" applyBorder="1" applyAlignment="1">
      <alignment horizontal="right"/>
    </xf>
    <xf numFmtId="174" fontId="8" fillId="0" borderId="62" xfId="3" applyNumberFormat="1" applyFont="1" applyFill="1" applyBorder="1"/>
    <xf numFmtId="174" fontId="8" fillId="0" borderId="63" xfId="24" applyNumberFormat="1" applyFont="1" applyFill="1" applyBorder="1" applyAlignment="1">
      <alignment horizontal="right"/>
    </xf>
    <xf numFmtId="174" fontId="13" fillId="0" borderId="33" xfId="24" applyNumberFormat="1" applyFont="1" applyFill="1" applyBorder="1" applyAlignment="1">
      <alignment horizontal="right"/>
    </xf>
    <xf numFmtId="174" fontId="13" fillId="0" borderId="32" xfId="3" applyNumberFormat="1" applyFont="1" applyFill="1" applyBorder="1"/>
    <xf numFmtId="183" fontId="11" fillId="0" borderId="7" xfId="37" applyNumberFormat="1" applyFont="1" applyFill="1" applyBorder="1" applyAlignment="1">
      <alignment horizontal="left" vertical="center" wrapText="1"/>
    </xf>
    <xf numFmtId="183" fontId="11" fillId="0" borderId="1" xfId="37" applyNumberFormat="1" applyFont="1" applyFill="1" applyBorder="1" applyAlignment="1">
      <alignment horizontal="left" vertical="center" wrapText="1"/>
    </xf>
    <xf numFmtId="183" fontId="11" fillId="0" borderId="14" xfId="37" applyNumberFormat="1" applyFont="1" applyFill="1" applyBorder="1" applyAlignment="1">
      <alignment horizontal="right" vertical="center" wrapText="1"/>
    </xf>
    <xf numFmtId="183" fontId="11" fillId="0" borderId="19" xfId="37" applyNumberFormat="1" applyFont="1" applyFill="1" applyBorder="1" applyAlignment="1">
      <alignment horizontal="right" vertical="center" wrapText="1"/>
    </xf>
    <xf numFmtId="183" fontId="19" fillId="0" borderId="0" xfId="37" applyNumberFormat="1" applyFont="1" applyFill="1" applyBorder="1" applyAlignment="1">
      <alignment horizontal="left" vertical="center" wrapText="1"/>
    </xf>
    <xf numFmtId="168" fontId="19" fillId="0" borderId="0" xfId="37" applyNumberFormat="1" applyFont="1" applyFill="1" applyBorder="1" applyAlignment="1">
      <alignment horizontal="left" vertical="center" wrapText="1"/>
    </xf>
    <xf numFmtId="177" fontId="31" fillId="0" borderId="47" xfId="26" applyNumberFormat="1" applyFont="1" applyFill="1" applyBorder="1" applyAlignment="1">
      <alignment vertical="distributed"/>
    </xf>
    <xf numFmtId="168" fontId="31" fillId="0" borderId="0" xfId="9" applyNumberFormat="1" applyFont="1" applyFill="1" applyAlignment="1">
      <alignment horizontal="right" vertical="center"/>
    </xf>
    <xf numFmtId="172" fontId="11" fillId="0" borderId="1" xfId="12" applyNumberFormat="1" applyFont="1" applyFill="1" applyBorder="1" applyAlignment="1" applyProtection="1">
      <alignment horizontal="left" vertical="center" wrapText="1"/>
    </xf>
    <xf numFmtId="0" fontId="13" fillId="7" borderId="8" xfId="3" applyFont="1" applyFill="1" applyBorder="1" applyAlignment="1">
      <alignment horizontal="center" vertical="center"/>
    </xf>
    <xf numFmtId="0" fontId="11" fillId="7" borderId="7" xfId="3" applyFont="1" applyFill="1" applyBorder="1" applyAlignment="1">
      <alignment horizontal="left" vertical="center" wrapText="1"/>
    </xf>
    <xf numFmtId="49" fontId="12" fillId="7" borderId="1" xfId="3" applyNumberFormat="1" applyFont="1" applyFill="1" applyBorder="1" applyAlignment="1">
      <alignment horizontal="center" vertical="center" wrapText="1"/>
    </xf>
    <xf numFmtId="49" fontId="10" fillId="7" borderId="1" xfId="3" applyNumberFormat="1" applyFont="1" applyFill="1" applyBorder="1" applyAlignment="1">
      <alignment horizontal="center" vertical="center" wrapText="1"/>
    </xf>
    <xf numFmtId="0" fontId="11" fillId="7" borderId="1" xfId="3" applyFont="1" applyFill="1" applyBorder="1" applyAlignment="1">
      <alignment horizontal="center" vertical="center"/>
    </xf>
    <xf numFmtId="49" fontId="11" fillId="7" borderId="1" xfId="3" applyNumberFormat="1" applyFont="1" applyFill="1" applyBorder="1" applyAlignment="1">
      <alignment horizontal="center" vertical="center" wrapText="1"/>
    </xf>
    <xf numFmtId="166" fontId="10" fillId="7" borderId="1" xfId="34" applyNumberFormat="1" applyFont="1" applyFill="1" applyBorder="1" applyAlignment="1">
      <alignment horizontal="right" vertical="center" wrapText="1"/>
    </xf>
    <xf numFmtId="166" fontId="10" fillId="7" borderId="14" xfId="34" applyNumberFormat="1" applyFont="1" applyFill="1" applyBorder="1" applyAlignment="1">
      <alignment horizontal="right" vertical="center" wrapText="1"/>
    </xf>
    <xf numFmtId="183" fontId="11" fillId="7" borderId="19" xfId="46" applyNumberFormat="1" applyFont="1" applyFill="1" applyBorder="1" applyAlignment="1">
      <alignment vertical="center" wrapText="1"/>
    </xf>
    <xf numFmtId="183" fontId="10" fillId="7" borderId="7" xfId="34" applyNumberFormat="1" applyFont="1" applyFill="1" applyBorder="1" applyAlignment="1">
      <alignment horizontal="right" vertical="center" wrapText="1"/>
    </xf>
    <xf numFmtId="183" fontId="10" fillId="7" borderId="1" xfId="34" applyNumberFormat="1" applyFont="1" applyFill="1" applyBorder="1" applyAlignment="1">
      <alignment horizontal="right" vertical="center" wrapText="1"/>
    </xf>
    <xf numFmtId="183" fontId="11" fillId="7" borderId="14" xfId="34" applyNumberFormat="1" applyFont="1" applyFill="1" applyBorder="1" applyAlignment="1">
      <alignment horizontal="right" vertical="center" wrapText="1"/>
    </xf>
    <xf numFmtId="183" fontId="11" fillId="7" borderId="19" xfId="34" applyNumberFormat="1" applyFont="1" applyFill="1" applyBorder="1" applyAlignment="1">
      <alignment horizontal="right" vertical="center" wrapText="1"/>
    </xf>
    <xf numFmtId="183" fontId="18" fillId="7" borderId="0" xfId="3" applyNumberFormat="1" applyFont="1" applyFill="1" applyBorder="1"/>
    <xf numFmtId="0" fontId="8" fillId="7" borderId="0" xfId="3" applyFont="1" applyFill="1" applyBorder="1"/>
    <xf numFmtId="0" fontId="8" fillId="7" borderId="0" xfId="3" applyFont="1" applyFill="1"/>
    <xf numFmtId="168" fontId="8" fillId="7" borderId="0" xfId="3" applyNumberFormat="1" applyFont="1" applyFill="1"/>
    <xf numFmtId="0" fontId="8" fillId="7" borderId="8" xfId="3" applyFont="1" applyFill="1" applyBorder="1"/>
    <xf numFmtId="0" fontId="10" fillId="7" borderId="7" xfId="3" applyFont="1" applyFill="1" applyBorder="1" applyAlignment="1">
      <alignment horizontal="left" vertical="center" wrapText="1"/>
    </xf>
    <xf numFmtId="0" fontId="10" fillId="7" borderId="1" xfId="3" applyFont="1" applyFill="1" applyBorder="1" applyAlignment="1">
      <alignment horizontal="center" vertical="center" wrapText="1"/>
    </xf>
    <xf numFmtId="49" fontId="15" fillId="7" borderId="1" xfId="3" applyNumberFormat="1" applyFont="1" applyFill="1" applyBorder="1" applyAlignment="1">
      <alignment horizontal="center" vertical="center" wrapText="1"/>
    </xf>
    <xf numFmtId="167" fontId="10" fillId="7" borderId="1" xfId="34" applyNumberFormat="1" applyFont="1" applyFill="1" applyBorder="1" applyAlignment="1">
      <alignment horizontal="right" vertical="center" wrapText="1"/>
    </xf>
    <xf numFmtId="167" fontId="10" fillId="7" borderId="14" xfId="34" applyNumberFormat="1" applyFont="1" applyFill="1" applyBorder="1" applyAlignment="1">
      <alignment horizontal="right" vertical="center" wrapText="1"/>
    </xf>
    <xf numFmtId="183" fontId="15" fillId="7" borderId="19" xfId="46" applyNumberFormat="1" applyFont="1" applyFill="1" applyBorder="1" applyAlignment="1">
      <alignment horizontal="right" vertical="center" wrapText="1" indent="1"/>
    </xf>
    <xf numFmtId="183" fontId="15" fillId="7" borderId="7" xfId="34" applyNumberFormat="1" applyFont="1" applyFill="1" applyBorder="1" applyAlignment="1">
      <alignment horizontal="right" vertical="center" wrapText="1"/>
    </xf>
    <xf numFmtId="183" fontId="15" fillId="7" borderId="1" xfId="34" applyNumberFormat="1" applyFont="1" applyFill="1" applyBorder="1" applyAlignment="1">
      <alignment horizontal="right" vertical="center" wrapText="1"/>
    </xf>
    <xf numFmtId="183" fontId="15" fillId="7" borderId="14" xfId="34" applyNumberFormat="1" applyFont="1" applyFill="1" applyBorder="1" applyAlignment="1">
      <alignment horizontal="right" vertical="center" wrapText="1"/>
    </xf>
    <xf numFmtId="183" fontId="15" fillId="7" borderId="19" xfId="34" applyNumberFormat="1" applyFont="1" applyFill="1" applyBorder="1" applyAlignment="1">
      <alignment horizontal="right" vertical="center" wrapText="1"/>
    </xf>
    <xf numFmtId="183" fontId="8" fillId="7" borderId="0" xfId="3" applyNumberFormat="1" applyFont="1" applyFill="1" applyBorder="1"/>
    <xf numFmtId="183" fontId="15" fillId="7" borderId="19" xfId="46" applyNumberFormat="1" applyFont="1" applyFill="1" applyBorder="1" applyAlignment="1">
      <alignment vertical="center" wrapText="1"/>
    </xf>
    <xf numFmtId="168" fontId="31" fillId="0" borderId="0" xfId="9" applyNumberFormat="1" applyFont="1" applyFill="1" applyAlignment="1">
      <alignment horizontal="left" vertical="center"/>
    </xf>
    <xf numFmtId="0" fontId="31" fillId="0" borderId="0" xfId="9" applyFont="1" applyFill="1" applyAlignment="1">
      <alignment horizontal="right" vertical="center"/>
    </xf>
    <xf numFmtId="0" fontId="31" fillId="0" borderId="0" xfId="3" applyFont="1" applyFill="1" applyAlignment="1">
      <alignment horizontal="right"/>
    </xf>
    <xf numFmtId="0" fontId="24" fillId="0" borderId="0" xfId="27" applyFont="1" applyAlignment="1">
      <alignment horizontal="center" wrapText="1"/>
    </xf>
    <xf numFmtId="0" fontId="11" fillId="0" borderId="1" xfId="9" applyFont="1" applyFill="1" applyBorder="1" applyAlignment="1">
      <alignment horizontal="left" vertical="center" wrapText="1"/>
    </xf>
    <xf numFmtId="0" fontId="31" fillId="0" borderId="0" xfId="3" applyFont="1" applyFill="1" applyAlignment="1"/>
    <xf numFmtId="0" fontId="55" fillId="0" borderId="0" xfId="3" applyFont="1" applyBorder="1" applyAlignment="1">
      <alignment horizontal="center"/>
    </xf>
    <xf numFmtId="166" fontId="11" fillId="2" borderId="0" xfId="24" applyNumberFormat="1" applyFont="1" applyFill="1" applyBorder="1" applyAlignment="1">
      <alignment horizontal="right" vertical="center" wrapText="1"/>
    </xf>
    <xf numFmtId="168" fontId="31" fillId="0" borderId="0" xfId="9" applyNumberFormat="1" applyFont="1" applyFill="1" applyAlignment="1">
      <alignment horizontal="right" vertical="center"/>
    </xf>
    <xf numFmtId="168" fontId="31" fillId="0" borderId="0" xfId="24" applyNumberFormat="1" applyFont="1" applyFill="1" applyAlignment="1">
      <alignment horizontal="right"/>
    </xf>
    <xf numFmtId="169" fontId="11" fillId="0" borderId="1" xfId="10" applyNumberFormat="1" applyFont="1" applyFill="1" applyBorder="1" applyAlignment="1" applyProtection="1">
      <alignment horizontal="left" vertical="center" wrapText="1"/>
    </xf>
    <xf numFmtId="184" fontId="10" fillId="0" borderId="1" xfId="24" applyNumberFormat="1" applyFont="1" applyFill="1" applyBorder="1" applyAlignment="1">
      <alignment horizontal="center" vertical="center" wrapText="1"/>
    </xf>
    <xf numFmtId="184" fontId="55" fillId="0" borderId="1" xfId="24" applyNumberFormat="1" applyFont="1" applyFill="1" applyBorder="1" applyAlignment="1">
      <alignment horizontal="center" vertical="center" wrapText="1"/>
    </xf>
    <xf numFmtId="184" fontId="11" fillId="0" borderId="1" xfId="24" applyNumberFormat="1" applyFont="1" applyFill="1" applyBorder="1" applyAlignment="1">
      <alignment horizontal="center" vertical="center" wrapText="1"/>
    </xf>
    <xf numFmtId="184" fontId="11" fillId="0" borderId="37" xfId="24" applyNumberFormat="1" applyFont="1" applyFill="1" applyBorder="1" applyAlignment="1">
      <alignment horizontal="right" vertical="center" wrapText="1"/>
    </xf>
    <xf numFmtId="184" fontId="12" fillId="0" borderId="1" xfId="27" applyNumberFormat="1" applyFont="1" applyFill="1" applyBorder="1" applyAlignment="1">
      <alignment horizontal="center"/>
    </xf>
    <xf numFmtId="168" fontId="31" fillId="0" borderId="0" xfId="9" applyNumberFormat="1" applyFont="1" applyFill="1" applyAlignment="1">
      <alignment horizontal="right" vertical="center"/>
    </xf>
    <xf numFmtId="176" fontId="24" fillId="0" borderId="40" xfId="26" applyNumberFormat="1" applyFont="1" applyFill="1" applyBorder="1" applyAlignment="1">
      <alignment horizontal="distributed" vertical="distributed"/>
    </xf>
    <xf numFmtId="176" fontId="24" fillId="0" borderId="43" xfId="26" applyNumberFormat="1" applyFont="1" applyFill="1" applyBorder="1" applyAlignment="1">
      <alignment horizontal="distributed" vertical="distributed"/>
    </xf>
    <xf numFmtId="0" fontId="53" fillId="0" borderId="0" xfId="7" applyFont="1" applyFill="1" applyAlignment="1">
      <alignment horizontal="center"/>
    </xf>
    <xf numFmtId="0" fontId="31" fillId="0" borderId="40" xfId="7" applyFont="1" applyFill="1" applyBorder="1" applyAlignment="1">
      <alignment horizontal="center" vertical="center"/>
    </xf>
    <xf numFmtId="0" fontId="31" fillId="0" borderId="43" xfId="7" applyFont="1" applyFill="1" applyBorder="1" applyAlignment="1">
      <alignment horizontal="center" vertical="center"/>
    </xf>
    <xf numFmtId="175" fontId="24" fillId="0" borderId="40" xfId="26" applyNumberFormat="1" applyFont="1" applyFill="1" applyBorder="1" applyAlignment="1">
      <alignment horizontal="right" vertical="distributed"/>
    </xf>
    <xf numFmtId="175" fontId="24" fillId="0" borderId="43" xfId="26" applyNumberFormat="1" applyFont="1" applyFill="1" applyBorder="1" applyAlignment="1">
      <alignment horizontal="right" vertical="distributed"/>
    </xf>
    <xf numFmtId="175" fontId="31" fillId="0" borderId="40" xfId="26" applyNumberFormat="1" applyFont="1" applyFill="1" applyBorder="1" applyAlignment="1">
      <alignment horizontal="right" vertical="distributed"/>
    </xf>
    <xf numFmtId="175" fontId="31" fillId="0" borderId="43" xfId="26" applyNumberFormat="1" applyFont="1" applyFill="1" applyBorder="1" applyAlignment="1">
      <alignment horizontal="right" vertical="distributed"/>
    </xf>
    <xf numFmtId="175" fontId="31" fillId="0" borderId="11" xfId="26" applyNumberFormat="1" applyFont="1" applyFill="1" applyBorder="1" applyAlignment="1">
      <alignment horizontal="right" vertical="distributed"/>
    </xf>
    <xf numFmtId="176" fontId="24" fillId="0" borderId="11" xfId="26" applyNumberFormat="1" applyFont="1" applyFill="1" applyBorder="1" applyAlignment="1">
      <alignment horizontal="distributed" vertical="distributed"/>
    </xf>
    <xf numFmtId="176" fontId="31" fillId="0" borderId="40" xfId="26" applyNumberFormat="1" applyFont="1" applyFill="1" applyBorder="1" applyAlignment="1">
      <alignment horizontal="distributed" vertical="distributed"/>
    </xf>
    <xf numFmtId="176" fontId="31" fillId="0" borderId="11" xfId="26" applyNumberFormat="1" applyFont="1" applyFill="1" applyBorder="1" applyAlignment="1">
      <alignment horizontal="distributed" vertical="distributed"/>
    </xf>
    <xf numFmtId="176" fontId="31" fillId="0" borderId="43" xfId="26" applyNumberFormat="1" applyFont="1" applyFill="1" applyBorder="1" applyAlignment="1">
      <alignment horizontal="distributed" vertical="distributed"/>
    </xf>
    <xf numFmtId="0" fontId="11" fillId="0" borderId="40" xfId="0" applyFont="1" applyFill="1" applyBorder="1" applyAlignment="1">
      <alignment horizontal="distributed" vertical="distributed"/>
    </xf>
    <xf numFmtId="0" fontId="11" fillId="0" borderId="11" xfId="0" applyFont="1" applyFill="1" applyBorder="1" applyAlignment="1">
      <alignment horizontal="distributed" vertical="distributed"/>
    </xf>
    <xf numFmtId="0" fontId="11" fillId="0" borderId="17" xfId="0" applyFont="1" applyFill="1" applyBorder="1" applyAlignment="1">
      <alignment horizontal="distributed" vertical="distributed"/>
    </xf>
    <xf numFmtId="176" fontId="31" fillId="0" borderId="22" xfId="26" applyNumberFormat="1" applyFont="1" applyFill="1" applyBorder="1" applyAlignment="1">
      <alignment horizontal="distributed" vertical="distributed"/>
    </xf>
    <xf numFmtId="176" fontId="31" fillId="0" borderId="45" xfId="26" applyNumberFormat="1" applyFont="1" applyFill="1" applyBorder="1" applyAlignment="1">
      <alignment horizontal="center" vertical="distributed"/>
    </xf>
    <xf numFmtId="176" fontId="31" fillId="0" borderId="47" xfId="26" applyNumberFormat="1" applyFont="1" applyFill="1" applyBorder="1" applyAlignment="1">
      <alignment horizontal="center" vertical="distributed"/>
    </xf>
    <xf numFmtId="168" fontId="52" fillId="0" borderId="23" xfId="25" applyNumberFormat="1" applyFont="1" applyFill="1" applyBorder="1" applyAlignment="1"/>
    <xf numFmtId="168" fontId="52" fillId="0" borderId="2" xfId="25" applyNumberFormat="1" applyFont="1" applyFill="1" applyBorder="1" applyAlignment="1"/>
    <xf numFmtId="168" fontId="52" fillId="0" borderId="1" xfId="25" applyNumberFormat="1" applyFont="1" applyFill="1" applyBorder="1" applyAlignment="1"/>
    <xf numFmtId="177" fontId="54" fillId="0" borderId="39" xfId="26" applyNumberFormat="1" applyFont="1" applyFill="1" applyBorder="1" applyAlignment="1">
      <alignment horizontal="right"/>
    </xf>
    <xf numFmtId="177" fontId="54" fillId="0" borderId="40" xfId="26" applyNumberFormat="1" applyFont="1" applyFill="1" applyBorder="1" applyAlignment="1">
      <alignment horizontal="right"/>
    </xf>
    <xf numFmtId="177" fontId="54" fillId="0" borderId="42" xfId="26" applyNumberFormat="1" applyFont="1" applyFill="1" applyBorder="1" applyAlignment="1">
      <alignment horizontal="right"/>
    </xf>
    <xf numFmtId="177" fontId="54" fillId="0" borderId="43" xfId="26" applyNumberFormat="1" applyFont="1" applyFill="1" applyBorder="1" applyAlignment="1">
      <alignment horizontal="right"/>
    </xf>
    <xf numFmtId="43" fontId="52" fillId="0" borderId="45" xfId="26" applyFont="1" applyFill="1" applyBorder="1" applyAlignment="1">
      <alignment horizontal="center"/>
    </xf>
    <xf numFmtId="43" fontId="52" fillId="0" borderId="47" xfId="26" applyFont="1" applyFill="1" applyBorder="1" applyAlignment="1">
      <alignment horizontal="center"/>
    </xf>
    <xf numFmtId="176" fontId="52" fillId="0" borderId="39" xfId="26" applyNumberFormat="1" applyFont="1" applyFill="1" applyBorder="1" applyAlignment="1">
      <alignment horizontal="right"/>
    </xf>
    <xf numFmtId="176" fontId="52" fillId="0" borderId="40" xfId="26" applyNumberFormat="1" applyFont="1" applyFill="1" applyBorder="1" applyAlignment="1">
      <alignment horizontal="right"/>
    </xf>
    <xf numFmtId="176" fontId="52" fillId="0" borderId="48" xfId="26" applyNumberFormat="1" applyFont="1" applyFill="1" applyBorder="1" applyAlignment="1">
      <alignment horizontal="right"/>
    </xf>
    <xf numFmtId="176" fontId="52" fillId="0" borderId="11" xfId="26" applyNumberFormat="1" applyFont="1" applyFill="1" applyBorder="1" applyAlignment="1">
      <alignment horizontal="right"/>
    </xf>
    <xf numFmtId="174" fontId="52" fillId="0" borderId="1" xfId="25" applyNumberFormat="1" applyFont="1" applyFill="1" applyBorder="1" applyAlignment="1"/>
    <xf numFmtId="174" fontId="52" fillId="0" borderId="23" xfId="25" applyNumberFormat="1" applyFont="1" applyFill="1" applyBorder="1" applyAlignment="1"/>
    <xf numFmtId="176" fontId="54" fillId="0" borderId="39" xfId="26" applyNumberFormat="1" applyFont="1" applyFill="1" applyBorder="1" applyAlignment="1">
      <alignment horizontal="right"/>
    </xf>
    <xf numFmtId="176" fontId="54" fillId="0" borderId="40" xfId="26" applyNumberFormat="1" applyFont="1" applyFill="1" applyBorder="1" applyAlignment="1">
      <alignment horizontal="right"/>
    </xf>
    <xf numFmtId="176" fontId="54" fillId="0" borderId="42" xfId="26" applyNumberFormat="1" applyFont="1" applyFill="1" applyBorder="1" applyAlignment="1">
      <alignment horizontal="right"/>
    </xf>
    <xf numFmtId="176" fontId="54" fillId="0" borderId="43" xfId="26" applyNumberFormat="1" applyFont="1" applyFill="1" applyBorder="1" applyAlignment="1">
      <alignment horizontal="right"/>
    </xf>
    <xf numFmtId="176" fontId="52" fillId="0" borderId="42" xfId="26" applyNumberFormat="1" applyFont="1" applyFill="1" applyBorder="1" applyAlignment="1">
      <alignment horizontal="right"/>
    </xf>
    <xf numFmtId="176" fontId="52" fillId="0" borderId="43" xfId="26" applyNumberFormat="1" applyFont="1" applyFill="1" applyBorder="1" applyAlignment="1">
      <alignment horizontal="right"/>
    </xf>
    <xf numFmtId="176" fontId="52" fillId="0" borderId="39" xfId="26" applyNumberFormat="1" applyFont="1" applyFill="1" applyBorder="1" applyAlignment="1">
      <alignment horizontal="center"/>
    </xf>
    <xf numFmtId="176" fontId="52" fillId="0" borderId="40" xfId="26" applyNumberFormat="1" applyFont="1" applyFill="1" applyBorder="1" applyAlignment="1">
      <alignment horizontal="center"/>
    </xf>
    <xf numFmtId="176" fontId="52" fillId="0" borderId="48" xfId="26" applyNumberFormat="1" applyFont="1" applyFill="1" applyBorder="1" applyAlignment="1">
      <alignment horizontal="center"/>
    </xf>
    <xf numFmtId="176" fontId="52" fillId="0" borderId="11" xfId="26" applyNumberFormat="1" applyFont="1" applyFill="1" applyBorder="1" applyAlignment="1">
      <alignment horizontal="center"/>
    </xf>
    <xf numFmtId="176" fontId="52" fillId="0" borderId="42" xfId="26" applyNumberFormat="1" applyFont="1" applyFill="1" applyBorder="1" applyAlignment="1">
      <alignment horizontal="center"/>
    </xf>
    <xf numFmtId="176" fontId="52" fillId="0" borderId="43" xfId="26" applyNumberFormat="1" applyFont="1" applyFill="1" applyBorder="1" applyAlignment="1">
      <alignment horizontal="center"/>
    </xf>
    <xf numFmtId="3" fontId="31" fillId="0" borderId="45" xfId="7" applyNumberFormat="1" applyFont="1" applyFill="1" applyBorder="1" applyAlignment="1">
      <alignment horizontal="center" wrapText="1"/>
    </xf>
    <xf numFmtId="0" fontId="31" fillId="0" borderId="46" xfId="7" applyFont="1" applyFill="1" applyBorder="1" applyAlignment="1">
      <alignment horizontal="center" wrapText="1"/>
    </xf>
    <xf numFmtId="0" fontId="31" fillId="0" borderId="47" xfId="7" applyFont="1" applyFill="1" applyBorder="1" applyAlignment="1">
      <alignment horizontal="center" wrapText="1"/>
    </xf>
    <xf numFmtId="0" fontId="31" fillId="0" borderId="45" xfId="7" applyFont="1" applyFill="1" applyBorder="1" applyAlignment="1">
      <alignment wrapText="1"/>
    </xf>
    <xf numFmtId="0" fontId="31" fillId="0" borderId="46" xfId="7" applyFont="1" applyFill="1" applyBorder="1" applyAlignment="1">
      <alignment wrapText="1"/>
    </xf>
    <xf numFmtId="0" fontId="31" fillId="0" borderId="47" xfId="7" applyFont="1" applyFill="1" applyBorder="1" applyAlignment="1">
      <alignment wrapText="1"/>
    </xf>
    <xf numFmtId="176" fontId="31" fillId="0" borderId="45" xfId="26" applyNumberFormat="1" applyFont="1" applyFill="1" applyBorder="1" applyAlignment="1">
      <alignment horizontal="right" vertical="distributed"/>
    </xf>
    <xf numFmtId="176" fontId="31" fillId="0" borderId="47" xfId="26" applyNumberFormat="1" applyFont="1" applyFill="1" applyBorder="1" applyAlignment="1">
      <alignment horizontal="right" vertical="distributed"/>
    </xf>
    <xf numFmtId="176" fontId="52" fillId="0" borderId="45" xfId="26" applyNumberFormat="1" applyFont="1" applyFill="1" applyBorder="1" applyAlignment="1">
      <alignment horizontal="center"/>
    </xf>
    <xf numFmtId="176" fontId="52" fillId="0" borderId="47" xfId="26" applyNumberFormat="1" applyFont="1" applyFill="1" applyBorder="1" applyAlignment="1">
      <alignment horizontal="center"/>
    </xf>
    <xf numFmtId="0" fontId="24" fillId="0" borderId="39" xfId="7" applyFont="1" applyFill="1" applyBorder="1" applyAlignment="1">
      <alignment horizontal="center"/>
    </xf>
    <xf numFmtId="0" fontId="24" fillId="0" borderId="27" xfId="7" applyFont="1" applyFill="1" applyBorder="1" applyAlignment="1">
      <alignment horizontal="center"/>
    </xf>
    <xf numFmtId="0" fontId="24" fillId="0" borderId="40" xfId="7" applyFont="1" applyFill="1" applyBorder="1" applyAlignment="1">
      <alignment horizontal="center"/>
    </xf>
    <xf numFmtId="0" fontId="24" fillId="0" borderId="42" xfId="7" applyFont="1" applyFill="1" applyBorder="1" applyAlignment="1">
      <alignment horizontal="center"/>
    </xf>
    <xf numFmtId="0" fontId="24" fillId="0" borderId="38" xfId="7" applyFont="1" applyFill="1" applyBorder="1" applyAlignment="1">
      <alignment horizontal="center"/>
    </xf>
    <xf numFmtId="0" fontId="24" fillId="0" borderId="43" xfId="7" applyFont="1" applyFill="1" applyBorder="1" applyAlignment="1">
      <alignment horizontal="center"/>
    </xf>
    <xf numFmtId="176" fontId="24" fillId="8" borderId="39" xfId="26" applyNumberFormat="1" applyFont="1" applyFill="1" applyBorder="1" applyAlignment="1">
      <alignment horizontal="distributed" vertical="distributed"/>
    </xf>
    <xf numFmtId="176" fontId="24" fillId="8" borderId="40" xfId="26" applyNumberFormat="1" applyFont="1" applyFill="1" applyBorder="1" applyAlignment="1">
      <alignment horizontal="distributed" vertical="distributed"/>
    </xf>
    <xf numFmtId="176" fontId="24" fillId="8" borderId="42" xfId="26" applyNumberFormat="1" applyFont="1" applyFill="1" applyBorder="1" applyAlignment="1">
      <alignment horizontal="distributed" vertical="distributed"/>
    </xf>
    <xf numFmtId="176" fontId="24" fillId="8" borderId="43" xfId="26" applyNumberFormat="1" applyFont="1" applyFill="1" applyBorder="1" applyAlignment="1">
      <alignment horizontal="distributed" vertical="distributed"/>
    </xf>
    <xf numFmtId="0" fontId="31" fillId="0" borderId="45" xfId="7" applyFont="1" applyFill="1" applyBorder="1" applyAlignment="1">
      <alignment horizontal="left" wrapText="1"/>
    </xf>
    <xf numFmtId="0" fontId="31" fillId="0" borderId="46" xfId="7" applyFont="1" applyFill="1" applyBorder="1" applyAlignment="1">
      <alignment horizontal="left"/>
    </xf>
    <xf numFmtId="0" fontId="31" fillId="0" borderId="47" xfId="7" applyFont="1" applyFill="1" applyBorder="1" applyAlignment="1">
      <alignment horizontal="left"/>
    </xf>
    <xf numFmtId="168" fontId="31" fillId="0" borderId="45" xfId="7" applyNumberFormat="1" applyFont="1" applyFill="1" applyBorder="1" applyAlignment="1">
      <alignment horizontal="right" vertical="distributed"/>
    </xf>
    <xf numFmtId="168" fontId="31" fillId="0" borderId="47" xfId="7" applyNumberFormat="1" applyFont="1" applyFill="1" applyBorder="1" applyAlignment="1">
      <alignment horizontal="right" vertical="distributed"/>
    </xf>
    <xf numFmtId="168" fontId="52" fillId="0" borderId="45" xfId="7" applyNumberFormat="1" applyFont="1" applyFill="1" applyBorder="1" applyAlignment="1">
      <alignment horizontal="center"/>
    </xf>
    <xf numFmtId="168" fontId="52" fillId="0" borderId="47" xfId="7" applyNumberFormat="1" applyFont="1" applyFill="1" applyBorder="1" applyAlignment="1">
      <alignment horizontal="center"/>
    </xf>
    <xf numFmtId="174" fontId="31" fillId="0" borderId="45" xfId="7" applyNumberFormat="1" applyFont="1" applyFill="1" applyBorder="1" applyAlignment="1">
      <alignment horizontal="right" vertical="distributed"/>
    </xf>
    <xf numFmtId="174" fontId="31" fillId="0" borderId="47" xfId="7" applyNumberFormat="1" applyFont="1" applyFill="1" applyBorder="1" applyAlignment="1">
      <alignment horizontal="right" vertical="distributed"/>
    </xf>
    <xf numFmtId="174" fontId="52" fillId="0" borderId="45" xfId="7" applyNumberFormat="1" applyFont="1" applyFill="1" applyBorder="1" applyAlignment="1">
      <alignment horizontal="center"/>
    </xf>
    <xf numFmtId="174" fontId="52" fillId="0" borderId="47" xfId="7" applyNumberFormat="1" applyFont="1" applyFill="1" applyBorder="1" applyAlignment="1">
      <alignment horizontal="center"/>
    </xf>
    <xf numFmtId="168" fontId="31" fillId="8" borderId="45" xfId="7" applyNumberFormat="1" applyFont="1" applyFill="1" applyBorder="1" applyAlignment="1">
      <alignment horizontal="right" vertical="distributed"/>
    </xf>
    <xf numFmtId="168" fontId="31" fillId="8" borderId="47" xfId="7" applyNumberFormat="1" applyFont="1" applyFill="1" applyBorder="1" applyAlignment="1">
      <alignment horizontal="right" vertical="distributed"/>
    </xf>
    <xf numFmtId="168" fontId="52" fillId="8" borderId="45" xfId="7" applyNumberFormat="1" applyFont="1" applyFill="1" applyBorder="1" applyAlignment="1">
      <alignment horizontal="center"/>
    </xf>
    <xf numFmtId="168" fontId="52" fillId="8" borderId="47" xfId="7" applyNumberFormat="1" applyFont="1" applyFill="1" applyBorder="1" applyAlignment="1">
      <alignment horizontal="center"/>
    </xf>
    <xf numFmtId="0" fontId="31" fillId="0" borderId="45" xfId="0" applyFont="1" applyFill="1" applyBorder="1" applyAlignment="1">
      <alignment horizontal="left" wrapText="1"/>
    </xf>
    <xf numFmtId="0" fontId="31" fillId="0" borderId="46" xfId="0" applyFont="1" applyFill="1" applyBorder="1" applyAlignment="1">
      <alignment horizontal="left" wrapText="1"/>
    </xf>
    <xf numFmtId="0" fontId="31" fillId="0" borderId="47" xfId="0" applyFont="1" applyFill="1" applyBorder="1" applyAlignment="1">
      <alignment horizontal="left" wrapText="1"/>
    </xf>
    <xf numFmtId="0" fontId="31" fillId="0" borderId="45" xfId="7" applyNumberFormat="1" applyFont="1" applyFill="1" applyBorder="1" applyAlignment="1">
      <alignment horizontal="left" wrapText="1"/>
    </xf>
    <xf numFmtId="0" fontId="31" fillId="0" borderId="46" xfId="7" applyNumberFormat="1" applyFont="1" applyFill="1" applyBorder="1" applyAlignment="1">
      <alignment horizontal="left" wrapText="1"/>
    </xf>
    <xf numFmtId="0" fontId="31" fillId="0" borderId="47" xfId="7" applyNumberFormat="1" applyFont="1" applyFill="1" applyBorder="1" applyAlignment="1">
      <alignment horizontal="left" wrapText="1"/>
    </xf>
    <xf numFmtId="0" fontId="31" fillId="0" borderId="46" xfId="7" applyFont="1" applyFill="1" applyBorder="1" applyAlignment="1">
      <alignment horizontal="left" wrapText="1"/>
    </xf>
    <xf numFmtId="0" fontId="31" fillId="0" borderId="47" xfId="7" applyFont="1" applyFill="1" applyBorder="1" applyAlignment="1">
      <alignment horizontal="left" wrapText="1"/>
    </xf>
    <xf numFmtId="176" fontId="31" fillId="8" borderId="45" xfId="26" applyNumberFormat="1" applyFont="1" applyFill="1" applyBorder="1" applyAlignment="1">
      <alignment horizontal="right" vertical="distributed"/>
    </xf>
    <xf numFmtId="176" fontId="31" fillId="8" borderId="47" xfId="26" applyNumberFormat="1" applyFont="1" applyFill="1" applyBorder="1" applyAlignment="1">
      <alignment horizontal="right" vertical="distributed"/>
    </xf>
    <xf numFmtId="177" fontId="54" fillId="0" borderId="48" xfId="26" applyNumberFormat="1" applyFont="1" applyFill="1" applyBorder="1" applyAlignment="1">
      <alignment horizontal="right"/>
    </xf>
    <xf numFmtId="177" fontId="54" fillId="0" borderId="11" xfId="26" applyNumberFormat="1" applyFont="1" applyFill="1" applyBorder="1" applyAlignment="1">
      <alignment horizontal="right"/>
    </xf>
    <xf numFmtId="176" fontId="52" fillId="0" borderId="45" xfId="26" applyNumberFormat="1" applyFont="1" applyFill="1" applyBorder="1" applyAlignment="1">
      <alignment horizontal="right"/>
    </xf>
    <xf numFmtId="176" fontId="52" fillId="0" borderId="47" xfId="26" applyNumberFormat="1" applyFont="1" applyFill="1" applyBorder="1" applyAlignment="1">
      <alignment horizontal="right"/>
    </xf>
    <xf numFmtId="0" fontId="24" fillId="0" borderId="48" xfId="7" applyFont="1" applyFill="1" applyBorder="1" applyAlignment="1">
      <alignment horizontal="center"/>
    </xf>
    <xf numFmtId="0" fontId="24" fillId="0" borderId="0" xfId="7" applyFont="1" applyFill="1" applyBorder="1" applyAlignment="1">
      <alignment horizontal="center"/>
    </xf>
    <xf numFmtId="0" fontId="24" fillId="0" borderId="11" xfId="7" applyFont="1" applyFill="1" applyBorder="1" applyAlignment="1">
      <alignment horizontal="center"/>
    </xf>
    <xf numFmtId="176" fontId="24" fillId="0" borderId="39" xfId="26" applyNumberFormat="1" applyFont="1" applyFill="1" applyBorder="1" applyAlignment="1">
      <alignment horizontal="distributed" vertical="distributed"/>
    </xf>
    <xf numFmtId="176" fontId="24" fillId="0" borderId="48" xfId="26" applyNumberFormat="1" applyFont="1" applyFill="1" applyBorder="1" applyAlignment="1">
      <alignment horizontal="distributed" vertical="distributed"/>
    </xf>
    <xf numFmtId="176" fontId="24" fillId="0" borderId="42" xfId="26" applyNumberFormat="1" applyFont="1" applyFill="1" applyBorder="1" applyAlignment="1">
      <alignment horizontal="distributed" vertical="distributed"/>
    </xf>
    <xf numFmtId="43" fontId="31" fillId="0" borderId="45" xfId="26" applyFont="1" applyFill="1" applyBorder="1" applyAlignment="1">
      <alignment horizontal="right" vertical="distributed"/>
    </xf>
    <xf numFmtId="43" fontId="31" fillId="0" borderId="47" xfId="26" applyFont="1" applyFill="1" applyBorder="1" applyAlignment="1">
      <alignment horizontal="right" vertical="distributed"/>
    </xf>
    <xf numFmtId="3" fontId="31" fillId="0" borderId="45" xfId="7" applyNumberFormat="1" applyFont="1" applyFill="1" applyBorder="1" applyAlignment="1">
      <alignment horizontal="center" vertical="center" wrapText="1"/>
    </xf>
    <xf numFmtId="0" fontId="31" fillId="0" borderId="46" xfId="7" applyFont="1" applyFill="1" applyBorder="1" applyAlignment="1">
      <alignment horizontal="center" vertical="center" wrapText="1"/>
    </xf>
    <xf numFmtId="0" fontId="31" fillId="0" borderId="47" xfId="7" applyFont="1" applyFill="1" applyBorder="1" applyAlignment="1">
      <alignment horizontal="center" vertical="center" wrapText="1"/>
    </xf>
    <xf numFmtId="0" fontId="31" fillId="0" borderId="39" xfId="7" applyFont="1" applyFill="1" applyBorder="1" applyAlignment="1">
      <alignment horizontal="center"/>
    </xf>
    <xf numFmtId="0" fontId="31" fillId="0" borderId="27" xfId="7" applyFont="1" applyFill="1" applyBorder="1" applyAlignment="1">
      <alignment horizontal="center"/>
    </xf>
    <xf numFmtId="0" fontId="31" fillId="0" borderId="40" xfId="7" applyFont="1" applyFill="1" applyBorder="1" applyAlignment="1">
      <alignment horizontal="center"/>
    </xf>
    <xf numFmtId="0" fontId="31" fillId="0" borderId="42" xfId="7" applyFont="1" applyFill="1" applyBorder="1" applyAlignment="1">
      <alignment horizontal="center"/>
    </xf>
    <xf numFmtId="0" fontId="31" fillId="0" borderId="38" xfId="7" applyFont="1" applyFill="1" applyBorder="1" applyAlignment="1">
      <alignment horizontal="center"/>
    </xf>
    <xf numFmtId="0" fontId="31" fillId="0" borderId="43" xfId="7" applyFont="1" applyFill="1" applyBorder="1" applyAlignment="1">
      <alignment horizontal="center"/>
    </xf>
    <xf numFmtId="176" fontId="31" fillId="0" borderId="39" xfId="26" applyNumberFormat="1" applyFont="1" applyFill="1" applyBorder="1" applyAlignment="1">
      <alignment horizontal="distributed" vertical="distributed"/>
    </xf>
    <xf numFmtId="176" fontId="31" fillId="0" borderId="42" xfId="26" applyNumberFormat="1" applyFont="1" applyFill="1" applyBorder="1" applyAlignment="1">
      <alignment horizontal="distributed" vertical="distributed"/>
    </xf>
    <xf numFmtId="176" fontId="52" fillId="0" borderId="49" xfId="26" applyNumberFormat="1" applyFont="1" applyFill="1" applyBorder="1" applyAlignment="1">
      <alignment horizontal="right"/>
    </xf>
    <xf numFmtId="176" fontId="52" fillId="0" borderId="17" xfId="26" applyNumberFormat="1" applyFont="1" applyFill="1" applyBorder="1" applyAlignment="1">
      <alignment horizontal="right"/>
    </xf>
    <xf numFmtId="0" fontId="31" fillId="0" borderId="39" xfId="7" applyFont="1" applyFill="1" applyBorder="1" applyAlignment="1">
      <alignment horizontal="center" vertical="center"/>
    </xf>
    <xf numFmtId="0" fontId="31" fillId="0" borderId="27" xfId="7" applyFont="1" applyFill="1" applyBorder="1" applyAlignment="1">
      <alignment horizontal="center" vertical="center"/>
    </xf>
    <xf numFmtId="0" fontId="31" fillId="0" borderId="42" xfId="7" applyFont="1" applyFill="1" applyBorder="1" applyAlignment="1">
      <alignment horizontal="center" vertical="center"/>
    </xf>
    <xf numFmtId="0" fontId="31" fillId="0" borderId="38" xfId="7" applyFont="1" applyFill="1" applyBorder="1" applyAlignment="1">
      <alignment horizontal="center" vertical="center"/>
    </xf>
    <xf numFmtId="0" fontId="31" fillId="0" borderId="39" xfId="7" applyFont="1" applyFill="1" applyBorder="1" applyAlignment="1">
      <alignment horizontal="left" wrapText="1"/>
    </xf>
    <xf numFmtId="0" fontId="31" fillId="0" borderId="27" xfId="7" applyFont="1" applyFill="1" applyBorder="1" applyAlignment="1">
      <alignment horizontal="left" wrapText="1"/>
    </xf>
    <xf numFmtId="0" fontId="31" fillId="0" borderId="40" xfId="7" applyFont="1" applyFill="1" applyBorder="1" applyAlignment="1">
      <alignment horizontal="left" wrapText="1"/>
    </xf>
    <xf numFmtId="0" fontId="31" fillId="0" borderId="42" xfId="7" applyFont="1" applyFill="1" applyBorder="1" applyAlignment="1">
      <alignment horizontal="left" wrapText="1"/>
    </xf>
    <xf numFmtId="0" fontId="31" fillId="0" borderId="38" xfId="7" applyFont="1" applyFill="1" applyBorder="1" applyAlignment="1">
      <alignment horizontal="left" wrapText="1"/>
    </xf>
    <xf numFmtId="0" fontId="31" fillId="0" borderId="43" xfId="7" applyFont="1" applyFill="1" applyBorder="1" applyAlignment="1">
      <alignment horizontal="left" wrapText="1"/>
    </xf>
    <xf numFmtId="176" fontId="54" fillId="0" borderId="49" xfId="26" applyNumberFormat="1" applyFont="1" applyFill="1" applyBorder="1" applyAlignment="1">
      <alignment horizontal="right"/>
    </xf>
    <xf numFmtId="176" fontId="54" fillId="0" borderId="17" xfId="26" applyNumberFormat="1" applyFont="1" applyFill="1" applyBorder="1" applyAlignment="1">
      <alignment horizontal="right"/>
    </xf>
    <xf numFmtId="0" fontId="24" fillId="0" borderId="39" xfId="7" applyFont="1" applyFill="1" applyBorder="1" applyAlignment="1">
      <alignment horizontal="center" vertical="center"/>
    </xf>
    <xf numFmtId="0" fontId="24" fillId="0" borderId="27" xfId="7" applyFont="1" applyFill="1" applyBorder="1" applyAlignment="1">
      <alignment horizontal="center" vertical="center"/>
    </xf>
    <xf numFmtId="0" fontId="24" fillId="0" borderId="40" xfId="7" applyFont="1" applyFill="1" applyBorder="1" applyAlignment="1">
      <alignment horizontal="center" vertical="center"/>
    </xf>
    <xf numFmtId="0" fontId="24" fillId="0" borderId="42" xfId="7" applyFont="1" applyFill="1" applyBorder="1" applyAlignment="1">
      <alignment horizontal="center" vertical="center"/>
    </xf>
    <xf numFmtId="0" fontId="24" fillId="0" borderId="38" xfId="7" applyFont="1" applyFill="1" applyBorder="1" applyAlignment="1">
      <alignment horizontal="center" vertical="center"/>
    </xf>
    <xf numFmtId="0" fontId="24" fillId="0" borderId="43" xfId="7" applyFont="1" applyFill="1" applyBorder="1" applyAlignment="1">
      <alignment horizontal="center" vertical="center"/>
    </xf>
    <xf numFmtId="0" fontId="24" fillId="0" borderId="39" xfId="7" applyFont="1" applyFill="1" applyBorder="1" applyAlignment="1">
      <alignment horizontal="left" vertical="center"/>
    </xf>
    <xf numFmtId="0" fontId="24" fillId="0" borderId="27" xfId="7" applyFont="1" applyFill="1" applyBorder="1" applyAlignment="1">
      <alignment horizontal="left" vertical="center"/>
    </xf>
    <xf numFmtId="0" fontId="24" fillId="0" borderId="40" xfId="7" applyFont="1" applyFill="1" applyBorder="1" applyAlignment="1">
      <alignment horizontal="left" vertical="center"/>
    </xf>
    <xf numFmtId="0" fontId="24" fillId="0" borderId="42" xfId="7" applyFont="1" applyFill="1" applyBorder="1" applyAlignment="1">
      <alignment horizontal="left" vertical="center"/>
    </xf>
    <xf numFmtId="0" fontId="24" fillId="0" borderId="38" xfId="7" applyFont="1" applyFill="1" applyBorder="1" applyAlignment="1">
      <alignment horizontal="left" vertical="center"/>
    </xf>
    <xf numFmtId="0" fontId="24" fillId="0" borderId="43" xfId="7" applyFont="1" applyFill="1" applyBorder="1" applyAlignment="1">
      <alignment horizontal="left" vertical="center"/>
    </xf>
    <xf numFmtId="174" fontId="52" fillId="0" borderId="2" xfId="25" applyNumberFormat="1" applyFont="1" applyFill="1" applyBorder="1" applyAlignment="1"/>
    <xf numFmtId="0" fontId="31" fillId="0" borderId="48" xfId="7" applyFont="1" applyFill="1" applyBorder="1" applyAlignment="1">
      <alignment horizontal="center" vertical="center"/>
    </xf>
    <xf numFmtId="0" fontId="31" fillId="0" borderId="0" xfId="7" applyFont="1" applyFill="1" applyBorder="1" applyAlignment="1">
      <alignment horizontal="center" vertical="center"/>
    </xf>
    <xf numFmtId="0" fontId="31" fillId="0" borderId="11" xfId="7" applyFont="1" applyFill="1" applyBorder="1" applyAlignment="1">
      <alignment horizontal="center" vertical="center"/>
    </xf>
    <xf numFmtId="176" fontId="31" fillId="0" borderId="48" xfId="26" applyNumberFormat="1" applyFont="1" applyFill="1" applyBorder="1" applyAlignment="1">
      <alignment horizontal="distributed" vertical="distributed"/>
    </xf>
    <xf numFmtId="0" fontId="31" fillId="0" borderId="56" xfId="7" applyFont="1" applyFill="1" applyBorder="1" applyAlignment="1">
      <alignment horizontal="center" vertical="center"/>
    </xf>
    <xf numFmtId="0" fontId="31" fillId="0" borderId="16" xfId="7" applyFont="1" applyFill="1" applyBorder="1" applyAlignment="1">
      <alignment horizontal="center" vertical="center"/>
    </xf>
    <xf numFmtId="0" fontId="31" fillId="0" borderId="22" xfId="7" applyFont="1" applyFill="1" applyBorder="1" applyAlignment="1">
      <alignment horizontal="center" vertical="center"/>
    </xf>
    <xf numFmtId="176" fontId="31" fillId="0" borderId="56" xfId="26" applyNumberFormat="1" applyFont="1" applyFill="1" applyBorder="1" applyAlignment="1">
      <alignment horizontal="distributed" vertical="distributed"/>
    </xf>
    <xf numFmtId="0" fontId="31" fillId="0" borderId="53" xfId="7" applyFont="1" applyFill="1" applyBorder="1" applyAlignment="1">
      <alignment horizontal="center"/>
    </xf>
    <xf numFmtId="0" fontId="31" fillId="0" borderId="54" xfId="7" applyFont="1" applyFill="1" applyBorder="1" applyAlignment="1">
      <alignment horizontal="center"/>
    </xf>
    <xf numFmtId="0" fontId="31" fillId="0" borderId="55" xfId="7" applyFont="1" applyFill="1" applyBorder="1" applyAlignment="1">
      <alignment horizontal="center"/>
    </xf>
    <xf numFmtId="176" fontId="31" fillId="0" borderId="53" xfId="26" applyNumberFormat="1" applyFont="1" applyFill="1" applyBorder="1" applyAlignment="1">
      <alignment horizontal="distributed" vertical="distributed"/>
    </xf>
    <xf numFmtId="176" fontId="31" fillId="0" borderId="55" xfId="26" applyNumberFormat="1" applyFont="1" applyFill="1" applyBorder="1" applyAlignment="1">
      <alignment horizontal="distributed" vertical="distributed"/>
    </xf>
    <xf numFmtId="176" fontId="52" fillId="0" borderId="53" xfId="26" applyNumberFormat="1" applyFont="1" applyFill="1" applyBorder="1" applyAlignment="1">
      <alignment horizontal="center"/>
    </xf>
    <xf numFmtId="176" fontId="52" fillId="0" borderId="55" xfId="26" applyNumberFormat="1" applyFont="1" applyFill="1" applyBorder="1" applyAlignment="1">
      <alignment horizontal="center"/>
    </xf>
    <xf numFmtId="0" fontId="31" fillId="0" borderId="50" xfId="7" applyFont="1" applyFill="1" applyBorder="1" applyAlignment="1">
      <alignment horizontal="center" vertical="center"/>
    </xf>
    <xf numFmtId="0" fontId="31" fillId="0" borderId="51" xfId="7" applyFont="1" applyFill="1" applyBorder="1" applyAlignment="1">
      <alignment horizontal="center" vertical="center"/>
    </xf>
    <xf numFmtId="0" fontId="31" fillId="0" borderId="52" xfId="7" applyFont="1" applyFill="1" applyBorder="1" applyAlignment="1">
      <alignment horizontal="center" vertical="center"/>
    </xf>
    <xf numFmtId="176" fontId="31" fillId="0" borderId="50" xfId="26" applyNumberFormat="1" applyFont="1" applyFill="1" applyBorder="1" applyAlignment="1">
      <alignment horizontal="distributed" vertical="distributed"/>
    </xf>
    <xf numFmtId="0" fontId="11" fillId="0" borderId="52" xfId="0" applyFont="1" applyFill="1" applyBorder="1" applyAlignment="1">
      <alignment horizontal="distributed" vertical="distributed"/>
    </xf>
    <xf numFmtId="176" fontId="52" fillId="0" borderId="50" xfId="26" applyNumberFormat="1" applyFont="1" applyFill="1" applyBorder="1" applyAlignment="1">
      <alignment horizontal="right"/>
    </xf>
    <xf numFmtId="0" fontId="0" fillId="0" borderId="52" xfId="0" applyFill="1" applyBorder="1"/>
    <xf numFmtId="0" fontId="31" fillId="0" borderId="49" xfId="7" applyFont="1" applyFill="1" applyBorder="1" applyAlignment="1">
      <alignment horizontal="center" vertical="center"/>
    </xf>
    <xf numFmtId="0" fontId="31" fillId="0" borderId="10" xfId="7" applyFont="1" applyFill="1" applyBorder="1" applyAlignment="1">
      <alignment horizontal="center" vertical="center"/>
    </xf>
    <xf numFmtId="0" fontId="31" fillId="0" borderId="17" xfId="7" applyFont="1" applyFill="1" applyBorder="1" applyAlignment="1">
      <alignment horizontal="center" vertical="center"/>
    </xf>
    <xf numFmtId="0" fontId="11" fillId="0" borderId="48" xfId="0" applyFont="1" applyFill="1" applyBorder="1" applyAlignment="1">
      <alignment horizontal="distributed" vertical="distributed"/>
    </xf>
    <xf numFmtId="0" fontId="11" fillId="0" borderId="49" xfId="0" applyFont="1" applyFill="1" applyBorder="1" applyAlignment="1">
      <alignment horizontal="distributed" vertical="distributed"/>
    </xf>
    <xf numFmtId="0" fontId="0" fillId="0" borderId="40" xfId="0" applyFill="1" applyBorder="1"/>
    <xf numFmtId="0" fontId="0" fillId="0" borderId="48" xfId="0" applyFill="1" applyBorder="1"/>
    <xf numFmtId="0" fontId="0" fillId="0" borderId="11" xfId="0" applyFill="1" applyBorder="1"/>
    <xf numFmtId="0" fontId="0" fillId="0" borderId="49" xfId="0" applyFill="1" applyBorder="1"/>
    <xf numFmtId="0" fontId="0" fillId="0" borderId="17" xfId="0" applyFill="1" applyBorder="1"/>
    <xf numFmtId="168" fontId="52" fillId="0" borderId="24" xfId="25" applyNumberFormat="1" applyFont="1" applyFill="1" applyBorder="1" applyAlignment="1">
      <alignment horizontal="right"/>
    </xf>
    <xf numFmtId="168" fontId="52" fillId="0" borderId="35" xfId="25" applyNumberFormat="1" applyFont="1" applyFill="1" applyBorder="1" applyAlignment="1">
      <alignment horizontal="right"/>
    </xf>
    <xf numFmtId="168" fontId="52" fillId="0" borderId="21" xfId="25" applyNumberFormat="1" applyFont="1" applyFill="1" applyBorder="1" applyAlignment="1">
      <alignment horizontal="right"/>
    </xf>
    <xf numFmtId="168" fontId="52" fillId="0" borderId="23" xfId="25" applyNumberFormat="1" applyFont="1" applyFill="1" applyBorder="1" applyAlignment="1">
      <alignment horizontal="right"/>
    </xf>
    <xf numFmtId="168" fontId="52" fillId="0" borderId="36" xfId="25" applyNumberFormat="1" applyFont="1" applyFill="1" applyBorder="1" applyAlignment="1">
      <alignment horizontal="right"/>
    </xf>
    <xf numFmtId="168" fontId="52" fillId="0" borderId="2" xfId="25" applyNumberFormat="1" applyFont="1" applyFill="1" applyBorder="1" applyAlignment="1">
      <alignment horizontal="right"/>
    </xf>
    <xf numFmtId="168" fontId="52" fillId="0" borderId="36" xfId="25" applyNumberFormat="1" applyFont="1" applyFill="1" applyBorder="1" applyAlignment="1"/>
    <xf numFmtId="0" fontId="24" fillId="0" borderId="48" xfId="7" applyFont="1" applyFill="1" applyBorder="1" applyAlignment="1">
      <alignment horizontal="center" vertical="center"/>
    </xf>
    <xf numFmtId="0" fontId="24" fillId="0" borderId="0" xfId="7" applyFont="1" applyFill="1" applyBorder="1" applyAlignment="1">
      <alignment horizontal="center" vertical="center"/>
    </xf>
    <xf numFmtId="0" fontId="24" fillId="0" borderId="11" xfId="7" applyFont="1" applyFill="1" applyBorder="1" applyAlignment="1">
      <alignment horizontal="center" vertical="center"/>
    </xf>
    <xf numFmtId="176" fontId="54" fillId="0" borderId="39" xfId="26" applyNumberFormat="1" applyFont="1" applyFill="1" applyBorder="1" applyAlignment="1">
      <alignment horizontal="center"/>
    </xf>
    <xf numFmtId="176" fontId="54" fillId="0" borderId="40" xfId="26" applyNumberFormat="1" applyFont="1" applyFill="1" applyBorder="1" applyAlignment="1">
      <alignment horizontal="center"/>
    </xf>
    <xf numFmtId="176" fontId="54" fillId="0" borderId="48" xfId="26" applyNumberFormat="1" applyFont="1" applyFill="1" applyBorder="1" applyAlignment="1">
      <alignment horizontal="center"/>
    </xf>
    <xf numFmtId="176" fontId="54" fillId="0" borderId="11" xfId="26" applyNumberFormat="1" applyFont="1" applyFill="1" applyBorder="1" applyAlignment="1">
      <alignment horizontal="center"/>
    </xf>
    <xf numFmtId="176" fontId="54" fillId="0" borderId="42" xfId="26" applyNumberFormat="1" applyFont="1" applyFill="1" applyBorder="1" applyAlignment="1">
      <alignment horizontal="center"/>
    </xf>
    <xf numFmtId="176" fontId="54" fillId="0" borderId="43" xfId="26" applyNumberFormat="1" applyFont="1" applyFill="1" applyBorder="1" applyAlignment="1">
      <alignment horizontal="center"/>
    </xf>
    <xf numFmtId="175" fontId="54" fillId="0" borderId="39" xfId="26" applyNumberFormat="1" applyFont="1" applyFill="1" applyBorder="1" applyAlignment="1">
      <alignment horizontal="center"/>
    </xf>
    <xf numFmtId="175" fontId="54" fillId="0" borderId="40" xfId="26" applyNumberFormat="1" applyFont="1" applyFill="1" applyBorder="1" applyAlignment="1">
      <alignment horizontal="center"/>
    </xf>
    <xf numFmtId="175" fontId="54" fillId="0" borderId="42" xfId="26" applyNumberFormat="1" applyFont="1" applyFill="1" applyBorder="1" applyAlignment="1">
      <alignment horizontal="center"/>
    </xf>
    <xf numFmtId="175" fontId="54" fillId="0" borderId="43" xfId="26" applyNumberFormat="1" applyFont="1" applyFill="1" applyBorder="1" applyAlignment="1">
      <alignment horizontal="center"/>
    </xf>
    <xf numFmtId="175" fontId="31" fillId="0" borderId="39" xfId="26" applyNumberFormat="1" applyFont="1" applyFill="1" applyBorder="1" applyAlignment="1">
      <alignment horizontal="right" vertical="distributed"/>
    </xf>
    <xf numFmtId="175" fontId="31" fillId="0" borderId="48" xfId="26" applyNumberFormat="1" applyFont="1" applyFill="1" applyBorder="1" applyAlignment="1">
      <alignment horizontal="right" vertical="distributed"/>
    </xf>
    <xf numFmtId="175" fontId="31" fillId="0" borderId="42" xfId="26" applyNumberFormat="1" applyFont="1" applyFill="1" applyBorder="1" applyAlignment="1">
      <alignment horizontal="right" vertical="distributed"/>
    </xf>
    <xf numFmtId="175" fontId="24" fillId="0" borderId="39" xfId="26" applyNumberFormat="1" applyFont="1" applyFill="1" applyBorder="1" applyAlignment="1">
      <alignment horizontal="right" vertical="distributed"/>
    </xf>
    <xf numFmtId="175" fontId="24" fillId="0" borderId="42" xfId="26" applyNumberFormat="1" applyFont="1" applyFill="1" applyBorder="1" applyAlignment="1">
      <alignment horizontal="right" vertical="distributed"/>
    </xf>
    <xf numFmtId="175" fontId="52" fillId="0" borderId="39" xfId="26" applyNumberFormat="1" applyFont="1" applyFill="1" applyBorder="1" applyAlignment="1">
      <alignment horizontal="center"/>
    </xf>
    <xf numFmtId="175" fontId="52" fillId="0" borderId="40" xfId="26" applyNumberFormat="1" applyFont="1" applyFill="1" applyBorder="1" applyAlignment="1">
      <alignment horizontal="center"/>
    </xf>
    <xf numFmtId="175" fontId="52" fillId="0" borderId="48" xfId="26" applyNumberFormat="1" applyFont="1" applyFill="1" applyBorder="1" applyAlignment="1">
      <alignment horizontal="center"/>
    </xf>
    <xf numFmtId="175" fontId="52" fillId="0" borderId="11" xfId="26" applyNumberFormat="1" applyFont="1" applyFill="1" applyBorder="1" applyAlignment="1">
      <alignment horizontal="center"/>
    </xf>
    <xf numFmtId="175" fontId="52" fillId="0" borderId="42" xfId="26" applyNumberFormat="1" applyFont="1" applyFill="1" applyBorder="1" applyAlignment="1">
      <alignment horizontal="center"/>
    </xf>
    <xf numFmtId="175" fontId="52" fillId="0" borderId="43" xfId="26" applyNumberFormat="1" applyFont="1" applyFill="1" applyBorder="1" applyAlignment="1">
      <alignment horizontal="center"/>
    </xf>
    <xf numFmtId="0" fontId="31" fillId="0" borderId="45" xfId="7" applyFont="1" applyFill="1" applyBorder="1" applyAlignment="1">
      <alignment horizontal="center"/>
    </xf>
    <xf numFmtId="0" fontId="31" fillId="0" borderId="46" xfId="7" applyFont="1" applyFill="1" applyBorder="1" applyAlignment="1">
      <alignment horizontal="center"/>
    </xf>
    <xf numFmtId="0" fontId="31" fillId="0" borderId="47" xfId="7" applyFont="1" applyFill="1" applyBorder="1" applyAlignment="1">
      <alignment horizontal="center"/>
    </xf>
    <xf numFmtId="175" fontId="31" fillId="0" borderId="45" xfId="26" applyNumberFormat="1" applyFont="1" applyFill="1" applyBorder="1" applyAlignment="1">
      <alignment horizontal="right" vertical="distributed"/>
    </xf>
    <xf numFmtId="175" fontId="31" fillId="0" borderId="47" xfId="26" applyNumberFormat="1" applyFont="1" applyFill="1" applyBorder="1" applyAlignment="1">
      <alignment horizontal="right" vertical="distributed"/>
    </xf>
    <xf numFmtId="175" fontId="52" fillId="0" borderId="45" xfId="26" applyNumberFormat="1" applyFont="1" applyFill="1" applyBorder="1" applyAlignment="1">
      <alignment horizontal="center"/>
    </xf>
    <xf numFmtId="175" fontId="52" fillId="0" borderId="47" xfId="26" applyNumberFormat="1" applyFont="1" applyFill="1" applyBorder="1" applyAlignment="1">
      <alignment horizontal="center"/>
    </xf>
    <xf numFmtId="175" fontId="31" fillId="8" borderId="45" xfId="26" applyNumberFormat="1" applyFont="1" applyFill="1" applyBorder="1" applyAlignment="1">
      <alignment horizontal="right" vertical="distributed"/>
    </xf>
    <xf numFmtId="175" fontId="31" fillId="8" borderId="47" xfId="26" applyNumberFormat="1" applyFont="1" applyFill="1" applyBorder="1" applyAlignment="1">
      <alignment horizontal="right" vertical="distributed"/>
    </xf>
    <xf numFmtId="175" fontId="52" fillId="8" borderId="45" xfId="26" applyNumberFormat="1" applyFont="1" applyFill="1" applyBorder="1" applyAlignment="1">
      <alignment horizontal="center"/>
    </xf>
    <xf numFmtId="175" fontId="52" fillId="8" borderId="47" xfId="26" applyNumberFormat="1" applyFont="1" applyFill="1" applyBorder="1" applyAlignment="1">
      <alignment horizontal="center"/>
    </xf>
    <xf numFmtId="174" fontId="52" fillId="0" borderId="1" xfId="7" applyNumberFormat="1" applyFont="1" applyFill="1" applyBorder="1" applyAlignment="1"/>
    <xf numFmtId="0" fontId="31" fillId="0" borderId="45" xfId="7" applyFont="1" applyFill="1" applyBorder="1" applyAlignment="1">
      <alignment horizontal="left" vertical="center"/>
    </xf>
    <xf numFmtId="0" fontId="31" fillId="0" borderId="46" xfId="7" applyFont="1" applyFill="1" applyBorder="1" applyAlignment="1">
      <alignment horizontal="left" vertical="center"/>
    </xf>
    <xf numFmtId="0" fontId="31" fillId="0" borderId="47" xfId="7" applyFont="1" applyFill="1" applyBorder="1" applyAlignment="1">
      <alignment horizontal="left" vertical="center"/>
    </xf>
    <xf numFmtId="0" fontId="31" fillId="0" borderId="45" xfId="7" applyFont="1" applyFill="1" applyBorder="1" applyAlignment="1">
      <alignment horizontal="center" vertical="center"/>
    </xf>
    <xf numFmtId="0" fontId="31" fillId="0" borderId="46" xfId="7" applyFont="1" applyFill="1" applyBorder="1" applyAlignment="1">
      <alignment horizontal="center" vertical="center"/>
    </xf>
    <xf numFmtId="0" fontId="31" fillId="0" borderId="47" xfId="7" applyFont="1" applyFill="1" applyBorder="1" applyAlignment="1">
      <alignment horizontal="center" vertical="center"/>
    </xf>
    <xf numFmtId="0" fontId="55" fillId="0" borderId="45" xfId="0" applyFont="1" applyFill="1" applyBorder="1" applyAlignment="1">
      <alignment horizontal="left" vertical="center" wrapText="1"/>
    </xf>
    <xf numFmtId="0" fontId="55" fillId="0" borderId="46" xfId="0" applyFont="1" applyFill="1" applyBorder="1" applyAlignment="1">
      <alignment horizontal="left" vertical="center" wrapText="1"/>
    </xf>
    <xf numFmtId="0" fontId="55" fillId="0" borderId="47" xfId="0" applyFont="1" applyFill="1" applyBorder="1" applyAlignment="1">
      <alignment horizontal="left" vertical="center" wrapText="1"/>
    </xf>
    <xf numFmtId="0" fontId="55" fillId="0" borderId="39" xfId="0" applyFont="1" applyFill="1" applyBorder="1" applyAlignment="1">
      <alignment horizontal="left" wrapText="1"/>
    </xf>
    <xf numFmtId="0" fontId="55" fillId="0" borderId="27" xfId="0" applyFont="1" applyFill="1" applyBorder="1" applyAlignment="1">
      <alignment horizontal="left" wrapText="1"/>
    </xf>
    <xf numFmtId="0" fontId="55" fillId="0" borderId="40" xfId="0" applyFont="1" applyFill="1" applyBorder="1" applyAlignment="1">
      <alignment horizontal="left" wrapText="1"/>
    </xf>
    <xf numFmtId="0" fontId="55" fillId="0" borderId="42" xfId="0" applyFont="1" applyFill="1" applyBorder="1" applyAlignment="1">
      <alignment horizontal="left" wrapText="1"/>
    </xf>
    <xf numFmtId="0" fontId="55" fillId="0" borderId="38" xfId="0" applyFont="1" applyFill="1" applyBorder="1" applyAlignment="1">
      <alignment horizontal="left" wrapText="1"/>
    </xf>
    <xf numFmtId="0" fontId="55" fillId="0" borderId="43" xfId="0" applyFont="1" applyFill="1" applyBorder="1" applyAlignment="1">
      <alignment horizontal="left" wrapText="1"/>
    </xf>
    <xf numFmtId="168" fontId="52" fillId="0" borderId="1" xfId="7" applyNumberFormat="1" applyFont="1" applyFill="1" applyBorder="1" applyAlignment="1"/>
    <xf numFmtId="0" fontId="24" fillId="0" borderId="39" xfId="7" applyFont="1" applyFill="1" applyBorder="1" applyAlignment="1">
      <alignment horizontal="left"/>
    </xf>
    <xf numFmtId="0" fontId="24" fillId="0" borderId="27" xfId="7" applyFont="1" applyFill="1" applyBorder="1" applyAlignment="1">
      <alignment horizontal="left"/>
    </xf>
    <xf numFmtId="0" fontId="24" fillId="0" borderId="40" xfId="7" applyFont="1" applyFill="1" applyBorder="1" applyAlignment="1">
      <alignment horizontal="left"/>
    </xf>
    <xf numFmtId="0" fontId="24" fillId="0" borderId="42" xfId="7" applyFont="1" applyFill="1" applyBorder="1" applyAlignment="1">
      <alignment horizontal="left"/>
    </xf>
    <xf numFmtId="0" fontId="24" fillId="0" borderId="38" xfId="7" applyFont="1" applyFill="1" applyBorder="1" applyAlignment="1">
      <alignment horizontal="left"/>
    </xf>
    <xf numFmtId="0" fontId="24" fillId="0" borderId="43" xfId="7" applyFont="1" applyFill="1" applyBorder="1" applyAlignment="1">
      <alignment horizontal="left"/>
    </xf>
    <xf numFmtId="168" fontId="52" fillId="0" borderId="41" xfId="25" applyNumberFormat="1" applyFont="1" applyFill="1" applyBorder="1" applyAlignment="1"/>
    <xf numFmtId="168" fontId="52" fillId="0" borderId="44" xfId="25" applyNumberFormat="1" applyFont="1" applyFill="1" applyBorder="1" applyAlignment="1"/>
    <xf numFmtId="168" fontId="52" fillId="0" borderId="41" xfId="7" applyNumberFormat="1" applyFont="1" applyFill="1" applyBorder="1" applyAlignment="1"/>
    <xf numFmtId="168" fontId="52" fillId="0" borderId="44" xfId="7" applyNumberFormat="1" applyFont="1" applyFill="1" applyBorder="1" applyAlignment="1"/>
    <xf numFmtId="0" fontId="52" fillId="0" borderId="39" xfId="7" applyFont="1" applyFill="1" applyBorder="1" applyAlignment="1">
      <alignment horizontal="center" vertical="center"/>
    </xf>
    <xf numFmtId="0" fontId="52" fillId="0" borderId="40" xfId="7" applyFont="1" applyFill="1" applyBorder="1" applyAlignment="1">
      <alignment horizontal="center" vertical="center"/>
    </xf>
    <xf numFmtId="0" fontId="52" fillId="0" borderId="42" xfId="7" applyFont="1" applyFill="1" applyBorder="1" applyAlignment="1">
      <alignment horizontal="center" vertical="center"/>
    </xf>
    <xf numFmtId="0" fontId="52" fillId="0" borderId="43" xfId="7" applyFont="1" applyFill="1" applyBorder="1" applyAlignment="1">
      <alignment horizontal="center" vertical="center"/>
    </xf>
    <xf numFmtId="0" fontId="52" fillId="0" borderId="45" xfId="7" applyFont="1" applyFill="1" applyBorder="1" applyAlignment="1">
      <alignment horizontal="center"/>
    </xf>
    <xf numFmtId="0" fontId="52" fillId="0" borderId="47" xfId="7" applyFont="1" applyFill="1" applyBorder="1" applyAlignment="1">
      <alignment horizontal="center"/>
    </xf>
    <xf numFmtId="0" fontId="7" fillId="0" borderId="41" xfId="7" applyFont="1" applyFill="1" applyBorder="1" applyAlignment="1">
      <alignment horizontal="center"/>
    </xf>
    <xf numFmtId="0" fontId="7" fillId="0" borderId="44" xfId="7" applyFill="1" applyBorder="1" applyAlignment="1">
      <alignment horizontal="center"/>
    </xf>
    <xf numFmtId="0" fontId="35" fillId="0" borderId="0" xfId="7" applyFont="1" applyFill="1" applyAlignment="1">
      <alignment horizontal="right"/>
    </xf>
    <xf numFmtId="0" fontId="52" fillId="0" borderId="38" xfId="7" applyFont="1" applyFill="1" applyBorder="1" applyAlignment="1">
      <alignment horizontal="right"/>
    </xf>
    <xf numFmtId="0" fontId="31" fillId="0" borderId="0" xfId="0" applyFont="1" applyFill="1" applyAlignment="1">
      <alignment horizontal="right" vertical="center"/>
    </xf>
    <xf numFmtId="168" fontId="31" fillId="0" borderId="1" xfId="24" applyNumberFormat="1" applyFont="1" applyFill="1" applyBorder="1" applyAlignment="1">
      <alignment horizontal="right" vertical="distributed"/>
    </xf>
    <xf numFmtId="168" fontId="24" fillId="0" borderId="39" xfId="26" applyNumberFormat="1" applyFont="1" applyFill="1" applyBorder="1" applyAlignment="1">
      <alignment horizontal="right" vertical="distributed"/>
    </xf>
    <xf numFmtId="168" fontId="24" fillId="0" borderId="40" xfId="26" applyNumberFormat="1" applyFont="1" applyFill="1" applyBorder="1" applyAlignment="1">
      <alignment horizontal="right" vertical="distributed"/>
    </xf>
    <xf numFmtId="168" fontId="24" fillId="0" borderId="42" xfId="26" applyNumberFormat="1" applyFont="1" applyFill="1" applyBorder="1" applyAlignment="1">
      <alignment horizontal="right" vertical="distributed"/>
    </xf>
    <xf numFmtId="168" fontId="24" fillId="0" borderId="43" xfId="26" applyNumberFormat="1" applyFont="1" applyFill="1" applyBorder="1" applyAlignment="1">
      <alignment horizontal="right" vertical="distributed"/>
    </xf>
    <xf numFmtId="168" fontId="31" fillId="0" borderId="45" xfId="26" applyNumberFormat="1" applyFont="1" applyFill="1" applyBorder="1" applyAlignment="1">
      <alignment horizontal="right" vertical="distributed"/>
    </xf>
    <xf numFmtId="168" fontId="31" fillId="0" borderId="47" xfId="26" applyNumberFormat="1" applyFont="1" applyFill="1" applyBorder="1" applyAlignment="1">
      <alignment horizontal="right" vertical="distributed"/>
    </xf>
    <xf numFmtId="168" fontId="31" fillId="0" borderId="23" xfId="24" applyNumberFormat="1" applyFont="1" applyFill="1" applyBorder="1" applyAlignment="1">
      <alignment horizontal="right" vertical="distributed"/>
    </xf>
    <xf numFmtId="168" fontId="31" fillId="0" borderId="2" xfId="24" applyNumberFormat="1" applyFont="1" applyFill="1" applyBorder="1" applyAlignment="1">
      <alignment horizontal="right" vertical="distributed"/>
    </xf>
    <xf numFmtId="0" fontId="31" fillId="0" borderId="45" xfId="9" applyFont="1" applyFill="1" applyBorder="1" applyAlignment="1">
      <alignment horizontal="left" wrapText="1"/>
    </xf>
    <xf numFmtId="0" fontId="31" fillId="0" borderId="46" xfId="9" applyFont="1" applyFill="1" applyBorder="1" applyAlignment="1">
      <alignment horizontal="left" wrapText="1"/>
    </xf>
    <xf numFmtId="0" fontId="31" fillId="0" borderId="47" xfId="9" applyFont="1" applyFill="1" applyBorder="1" applyAlignment="1">
      <alignment horizontal="left" wrapText="1"/>
    </xf>
    <xf numFmtId="168" fontId="24" fillId="0" borderId="48" xfId="26" applyNumberFormat="1" applyFont="1" applyFill="1" applyBorder="1" applyAlignment="1">
      <alignment horizontal="right" vertical="distributed"/>
    </xf>
    <xf numFmtId="168" fontId="24" fillId="0" borderId="11" xfId="26" applyNumberFormat="1" applyFont="1" applyFill="1" applyBorder="1" applyAlignment="1">
      <alignment horizontal="right" vertical="distributed"/>
    </xf>
    <xf numFmtId="168" fontId="24" fillId="0" borderId="49" xfId="26" applyNumberFormat="1" applyFont="1" applyFill="1" applyBorder="1" applyAlignment="1">
      <alignment horizontal="right" vertical="distributed"/>
    </xf>
    <xf numFmtId="168" fontId="24" fillId="0" borderId="17" xfId="26" applyNumberFormat="1" applyFont="1" applyFill="1" applyBorder="1" applyAlignment="1">
      <alignment horizontal="right" vertical="distributed"/>
    </xf>
    <xf numFmtId="168" fontId="31" fillId="0" borderId="39" xfId="26" applyNumberFormat="1" applyFont="1" applyFill="1" applyBorder="1" applyAlignment="1">
      <alignment horizontal="right" vertical="distributed"/>
    </xf>
    <xf numFmtId="168" fontId="31" fillId="0" borderId="40" xfId="26" applyNumberFormat="1" applyFont="1" applyFill="1" applyBorder="1" applyAlignment="1">
      <alignment horizontal="right" vertical="distributed"/>
    </xf>
    <xf numFmtId="168" fontId="31" fillId="0" borderId="49" xfId="26" applyNumberFormat="1" applyFont="1" applyFill="1" applyBorder="1" applyAlignment="1">
      <alignment horizontal="right" vertical="distributed"/>
    </xf>
    <xf numFmtId="168" fontId="31" fillId="0" borderId="17" xfId="26" applyNumberFormat="1" applyFont="1" applyFill="1" applyBorder="1" applyAlignment="1">
      <alignment horizontal="right" vertical="distributed"/>
    </xf>
    <xf numFmtId="168" fontId="31" fillId="0" borderId="48" xfId="26" applyNumberFormat="1" applyFont="1" applyFill="1" applyBorder="1" applyAlignment="1">
      <alignment horizontal="right" vertical="distributed"/>
    </xf>
    <xf numFmtId="168" fontId="31" fillId="0" borderId="11" xfId="26" applyNumberFormat="1" applyFont="1" applyFill="1" applyBorder="1" applyAlignment="1">
      <alignment horizontal="right" vertical="distributed"/>
    </xf>
    <xf numFmtId="168" fontId="31" fillId="0" borderId="42" xfId="26" applyNumberFormat="1" applyFont="1" applyFill="1" applyBorder="1" applyAlignment="1">
      <alignment horizontal="right" vertical="distributed"/>
    </xf>
    <xf numFmtId="168" fontId="31" fillId="0" borderId="43" xfId="26" applyNumberFormat="1" applyFont="1" applyFill="1" applyBorder="1" applyAlignment="1">
      <alignment horizontal="right" vertical="distributed"/>
    </xf>
    <xf numFmtId="168" fontId="31" fillId="0" borderId="53" xfId="26" applyNumberFormat="1" applyFont="1" applyFill="1" applyBorder="1" applyAlignment="1">
      <alignment horizontal="right" vertical="distributed"/>
    </xf>
    <xf numFmtId="168" fontId="31" fillId="0" borderId="55" xfId="26" applyNumberFormat="1" applyFont="1" applyFill="1" applyBorder="1" applyAlignment="1">
      <alignment horizontal="right" vertical="distributed"/>
    </xf>
    <xf numFmtId="168" fontId="31" fillId="0" borderId="50" xfId="26" applyNumberFormat="1" applyFont="1" applyFill="1" applyBorder="1" applyAlignment="1">
      <alignment horizontal="right" vertical="distributed"/>
    </xf>
    <xf numFmtId="168" fontId="11" fillId="0" borderId="52" xfId="9" applyNumberFormat="1" applyFont="1" applyFill="1" applyBorder="1" applyAlignment="1">
      <alignment horizontal="right" vertical="distributed"/>
    </xf>
    <xf numFmtId="168" fontId="11" fillId="0" borderId="40" xfId="9" applyNumberFormat="1" applyFont="1" applyFill="1" applyBorder="1" applyAlignment="1">
      <alignment horizontal="right" vertical="distributed"/>
    </xf>
    <xf numFmtId="168" fontId="11" fillId="0" borderId="48" xfId="9" applyNumberFormat="1" applyFont="1" applyFill="1" applyBorder="1" applyAlignment="1">
      <alignment horizontal="right" vertical="distributed"/>
    </xf>
    <xf numFmtId="168" fontId="11" fillId="0" borderId="11" xfId="9" applyNumberFormat="1" applyFont="1" applyFill="1" applyBorder="1" applyAlignment="1">
      <alignment horizontal="right" vertical="distributed"/>
    </xf>
    <xf numFmtId="168" fontId="11" fillId="0" borderId="49" xfId="9" applyNumberFormat="1" applyFont="1" applyFill="1" applyBorder="1" applyAlignment="1">
      <alignment horizontal="right" vertical="distributed"/>
    </xf>
    <xf numFmtId="168" fontId="11" fillId="0" borderId="17" xfId="9" applyNumberFormat="1" applyFont="1" applyFill="1" applyBorder="1" applyAlignment="1">
      <alignment horizontal="right" vertical="distributed"/>
    </xf>
    <xf numFmtId="168" fontId="31" fillId="0" borderId="24" xfId="24" applyNumberFormat="1" applyFont="1" applyFill="1" applyBorder="1" applyAlignment="1">
      <alignment horizontal="right" vertical="distributed"/>
    </xf>
    <xf numFmtId="168" fontId="31" fillId="0" borderId="35" xfId="24" applyNumberFormat="1" applyFont="1" applyFill="1" applyBorder="1" applyAlignment="1">
      <alignment horizontal="right" vertical="distributed"/>
    </xf>
    <xf numFmtId="168" fontId="31" fillId="0" borderId="21" xfId="24" applyNumberFormat="1" applyFont="1" applyFill="1" applyBorder="1" applyAlignment="1">
      <alignment horizontal="right" vertical="distributed"/>
    </xf>
    <xf numFmtId="168" fontId="31" fillId="0" borderId="36" xfId="24" applyNumberFormat="1" applyFont="1" applyFill="1" applyBorder="1" applyAlignment="1">
      <alignment horizontal="right" vertical="distributed"/>
    </xf>
    <xf numFmtId="168" fontId="31" fillId="0" borderId="1" xfId="7" applyNumberFormat="1" applyFont="1" applyFill="1" applyBorder="1" applyAlignment="1">
      <alignment horizontal="right" vertical="distributed"/>
    </xf>
    <xf numFmtId="0" fontId="55" fillId="0" borderId="45" xfId="9" applyFont="1" applyFill="1" applyBorder="1" applyAlignment="1">
      <alignment horizontal="left" wrapText="1"/>
    </xf>
    <xf numFmtId="0" fontId="55" fillId="0" borderId="46" xfId="9" applyFont="1" applyFill="1" applyBorder="1" applyAlignment="1">
      <alignment horizontal="left" wrapText="1"/>
    </xf>
    <xf numFmtId="0" fontId="55" fillId="0" borderId="47" xfId="9" applyFont="1" applyFill="1" applyBorder="1" applyAlignment="1">
      <alignment horizontal="left" wrapText="1"/>
    </xf>
    <xf numFmtId="0" fontId="55" fillId="0" borderId="39" xfId="9" applyFont="1" applyFill="1" applyBorder="1" applyAlignment="1">
      <alignment horizontal="left" wrapText="1"/>
    </xf>
    <xf numFmtId="0" fontId="55" fillId="0" borderId="27" xfId="9" applyFont="1" applyFill="1" applyBorder="1" applyAlignment="1">
      <alignment horizontal="left" wrapText="1"/>
    </xf>
    <xf numFmtId="0" fontId="55" fillId="0" borderId="40" xfId="9" applyFont="1" applyFill="1" applyBorder="1" applyAlignment="1">
      <alignment horizontal="left" wrapText="1"/>
    </xf>
    <xf numFmtId="0" fontId="55" fillId="0" borderId="42" xfId="9" applyFont="1" applyFill="1" applyBorder="1" applyAlignment="1">
      <alignment horizontal="left" wrapText="1"/>
    </xf>
    <xf numFmtId="0" fontId="55" fillId="0" borderId="38" xfId="9" applyFont="1" applyFill="1" applyBorder="1" applyAlignment="1">
      <alignment horizontal="left" wrapText="1"/>
    </xf>
    <xf numFmtId="0" fontId="55" fillId="0" borderId="43" xfId="9" applyFont="1" applyFill="1" applyBorder="1" applyAlignment="1">
      <alignment horizontal="left" wrapText="1"/>
    </xf>
    <xf numFmtId="0" fontId="31" fillId="0" borderId="0" xfId="9" applyFont="1" applyFill="1" applyAlignment="1">
      <alignment horizontal="right" vertical="center"/>
    </xf>
    <xf numFmtId="0" fontId="36" fillId="0" borderId="0" xfId="9" applyFont="1" applyFill="1" applyAlignment="1">
      <alignment horizontal="right" vertical="center"/>
    </xf>
    <xf numFmtId="168" fontId="24" fillId="0" borderId="41" xfId="24" applyNumberFormat="1" applyFont="1" applyFill="1" applyBorder="1" applyAlignment="1"/>
    <xf numFmtId="168" fontId="24" fillId="0" borderId="44" xfId="24" applyNumberFormat="1" applyFont="1" applyFill="1" applyBorder="1" applyAlignment="1"/>
    <xf numFmtId="0" fontId="12" fillId="0" borderId="41" xfId="7" applyFont="1" applyFill="1" applyBorder="1" applyAlignment="1">
      <alignment horizontal="center"/>
    </xf>
    <xf numFmtId="0" fontId="12" fillId="0" borderId="44" xfId="7" applyFont="1" applyFill="1" applyBorder="1" applyAlignment="1">
      <alignment horizontal="center"/>
    </xf>
    <xf numFmtId="168" fontId="24" fillId="0" borderId="41" xfId="7" applyNumberFormat="1" applyFont="1" applyFill="1" applyBorder="1" applyAlignment="1"/>
    <xf numFmtId="168" fontId="24" fillId="0" borderId="44" xfId="7" applyNumberFormat="1" applyFont="1" applyFill="1" applyBorder="1" applyAlignment="1"/>
    <xf numFmtId="177" fontId="24" fillId="0" borderId="40" xfId="26" applyNumberFormat="1" applyFont="1" applyFill="1" applyBorder="1" applyAlignment="1">
      <alignment horizontal="distributed" vertical="distributed"/>
    </xf>
    <xf numFmtId="177" fontId="24" fillId="0" borderId="43" xfId="26" applyNumberFormat="1" applyFont="1" applyFill="1" applyBorder="1" applyAlignment="1">
      <alignment horizontal="distributed" vertical="distributed"/>
    </xf>
    <xf numFmtId="168" fontId="52" fillId="0" borderId="45" xfId="26" applyNumberFormat="1" applyFont="1" applyFill="1" applyBorder="1" applyAlignment="1">
      <alignment horizontal="center"/>
    </xf>
    <xf numFmtId="168" fontId="52" fillId="0" borderId="47" xfId="26" applyNumberFormat="1" applyFont="1" applyFill="1" applyBorder="1" applyAlignment="1">
      <alignment horizontal="center"/>
    </xf>
    <xf numFmtId="0" fontId="24" fillId="0" borderId="39" xfId="7" applyFont="1" applyFill="1" applyBorder="1" applyAlignment="1">
      <alignment horizontal="right"/>
    </xf>
    <xf numFmtId="0" fontId="24" fillId="0" borderId="27" xfId="7" applyFont="1" applyFill="1" applyBorder="1" applyAlignment="1">
      <alignment horizontal="right"/>
    </xf>
    <xf numFmtId="0" fontId="24" fillId="0" borderId="40" xfId="7" applyFont="1" applyFill="1" applyBorder="1" applyAlignment="1">
      <alignment horizontal="right"/>
    </xf>
    <xf numFmtId="0" fontId="24" fillId="0" borderId="42" xfId="7" applyFont="1" applyFill="1" applyBorder="1" applyAlignment="1">
      <alignment horizontal="right"/>
    </xf>
    <xf numFmtId="0" fontId="24" fillId="0" borderId="38" xfId="7" applyFont="1" applyFill="1" applyBorder="1" applyAlignment="1">
      <alignment horizontal="right"/>
    </xf>
    <xf numFmtId="0" fontId="24" fillId="0" borderId="43" xfId="7" applyFont="1" applyFill="1" applyBorder="1" applyAlignment="1">
      <alignment horizontal="right"/>
    </xf>
    <xf numFmtId="177" fontId="24" fillId="0" borderId="39" xfId="26" applyNumberFormat="1" applyFont="1" applyFill="1" applyBorder="1" applyAlignment="1">
      <alignment horizontal="distributed" vertical="distributed"/>
    </xf>
    <xf numFmtId="177" fontId="24" fillId="0" borderId="42" xfId="26" applyNumberFormat="1" applyFont="1" applyFill="1" applyBorder="1" applyAlignment="1">
      <alignment horizontal="distributed" vertical="distributed"/>
    </xf>
    <xf numFmtId="168" fontId="52" fillId="0" borderId="1" xfId="34" applyNumberFormat="1" applyFont="1" applyFill="1" applyBorder="1" applyAlignment="1"/>
    <xf numFmtId="168" fontId="52" fillId="0" borderId="4" xfId="34" applyNumberFormat="1" applyFont="1" applyFill="1" applyBorder="1" applyAlignment="1"/>
    <xf numFmtId="0" fontId="31" fillId="0" borderId="45" xfId="7" applyFont="1" applyFill="1" applyBorder="1" applyAlignment="1">
      <alignment horizontal="left" vertical="center" wrapText="1"/>
    </xf>
    <xf numFmtId="168" fontId="52" fillId="0" borderId="23" xfId="34" applyNumberFormat="1" applyFont="1" applyFill="1" applyBorder="1" applyAlignment="1"/>
    <xf numFmtId="168" fontId="52" fillId="0" borderId="75" xfId="34" applyNumberFormat="1" applyFont="1" applyFill="1" applyBorder="1" applyAlignment="1"/>
    <xf numFmtId="0" fontId="31" fillId="0" borderId="46" xfId="7" applyFont="1" applyFill="1" applyBorder="1" applyAlignment="1">
      <alignment horizontal="left" vertical="center" wrapText="1"/>
    </xf>
    <xf numFmtId="0" fontId="31" fillId="0" borderId="47" xfId="7" applyFont="1" applyFill="1" applyBorder="1" applyAlignment="1">
      <alignment horizontal="left" vertical="center" wrapText="1"/>
    </xf>
    <xf numFmtId="183" fontId="31" fillId="0" borderId="45" xfId="26" applyNumberFormat="1" applyFont="1" applyFill="1" applyBorder="1" applyAlignment="1">
      <alignment horizontal="right" vertical="distributed"/>
    </xf>
    <xf numFmtId="183" fontId="31" fillId="0" borderId="47" xfId="26" applyNumberFormat="1" applyFont="1" applyFill="1" applyBorder="1" applyAlignment="1">
      <alignment horizontal="right" vertical="distributed"/>
    </xf>
    <xf numFmtId="183" fontId="31" fillId="0" borderId="45" xfId="26" applyNumberFormat="1" applyFont="1" applyFill="1" applyBorder="1" applyAlignment="1">
      <alignment vertical="distributed"/>
    </xf>
    <xf numFmtId="183" fontId="31" fillId="0" borderId="47" xfId="26" applyNumberFormat="1" applyFont="1" applyFill="1" applyBorder="1" applyAlignment="1">
      <alignment vertical="distributed"/>
    </xf>
    <xf numFmtId="177" fontId="24" fillId="0" borderId="11" xfId="26" applyNumberFormat="1" applyFont="1" applyFill="1" applyBorder="1" applyAlignment="1">
      <alignment horizontal="distributed" vertical="distributed"/>
    </xf>
    <xf numFmtId="177" fontId="31" fillId="0" borderId="45" xfId="26" applyNumberFormat="1" applyFont="1" applyFill="1" applyBorder="1" applyAlignment="1">
      <alignment horizontal="right" vertical="distributed"/>
    </xf>
    <xf numFmtId="177" fontId="31" fillId="0" borderId="47" xfId="26" applyNumberFormat="1" applyFont="1" applyFill="1" applyBorder="1" applyAlignment="1">
      <alignment horizontal="right" vertical="distributed"/>
    </xf>
    <xf numFmtId="177" fontId="52" fillId="0" borderId="45" xfId="26" applyNumberFormat="1" applyFont="1" applyFill="1" applyBorder="1" applyAlignment="1">
      <alignment horizontal="right"/>
    </xf>
    <xf numFmtId="177" fontId="52" fillId="0" borderId="47" xfId="26" applyNumberFormat="1" applyFont="1" applyFill="1" applyBorder="1" applyAlignment="1">
      <alignment horizontal="right"/>
    </xf>
    <xf numFmtId="177" fontId="24" fillId="0" borderId="48" xfId="26" applyNumberFormat="1" applyFont="1" applyFill="1" applyBorder="1" applyAlignment="1">
      <alignment horizontal="distributed" vertical="distributed"/>
    </xf>
    <xf numFmtId="177" fontId="52" fillId="0" borderId="1" xfId="34" applyNumberFormat="1" applyFont="1" applyFill="1" applyBorder="1" applyAlignment="1"/>
    <xf numFmtId="177" fontId="52" fillId="0" borderId="39" xfId="26" applyNumberFormat="1" applyFont="1" applyFill="1" applyBorder="1" applyAlignment="1">
      <alignment horizontal="right"/>
    </xf>
    <xf numFmtId="177" fontId="52" fillId="0" borderId="40" xfId="26" applyNumberFormat="1" applyFont="1" applyFill="1" applyBorder="1" applyAlignment="1">
      <alignment horizontal="right"/>
    </xf>
    <xf numFmtId="177" fontId="52" fillId="0" borderId="49" xfId="26" applyNumberFormat="1" applyFont="1" applyFill="1" applyBorder="1" applyAlignment="1">
      <alignment horizontal="right"/>
    </xf>
    <xf numFmtId="177" fontId="52" fillId="0" borderId="17" xfId="26" applyNumberFormat="1" applyFont="1" applyFill="1" applyBorder="1" applyAlignment="1">
      <alignment horizontal="right"/>
    </xf>
    <xf numFmtId="177" fontId="31" fillId="0" borderId="40" xfId="26" applyNumberFormat="1" applyFont="1" applyFill="1" applyBorder="1" applyAlignment="1">
      <alignment horizontal="distributed" vertical="distributed"/>
    </xf>
    <xf numFmtId="177" fontId="31" fillId="0" borderId="11" xfId="26" applyNumberFormat="1" applyFont="1" applyFill="1" applyBorder="1" applyAlignment="1">
      <alignment horizontal="distributed" vertical="distributed"/>
    </xf>
    <xf numFmtId="177" fontId="54" fillId="0" borderId="27" xfId="26" applyNumberFormat="1" applyFont="1" applyFill="1" applyBorder="1" applyAlignment="1">
      <alignment horizontal="right"/>
    </xf>
    <xf numFmtId="177" fontId="54" fillId="0" borderId="0" xfId="26" applyNumberFormat="1" applyFont="1" applyFill="1" applyBorder="1" applyAlignment="1">
      <alignment horizontal="right"/>
    </xf>
    <xf numFmtId="177" fontId="54" fillId="0" borderId="38" xfId="26" applyNumberFormat="1" applyFont="1" applyFill="1" applyBorder="1" applyAlignment="1">
      <alignment horizontal="right"/>
    </xf>
    <xf numFmtId="177" fontId="24" fillId="0" borderId="41" xfId="26" applyNumberFormat="1" applyFont="1" applyFill="1" applyBorder="1" applyAlignment="1">
      <alignment horizontal="distributed" vertical="distributed"/>
    </xf>
    <xf numFmtId="177" fontId="24" fillId="0" borderId="72" xfId="26" applyNumberFormat="1" applyFont="1" applyFill="1" applyBorder="1" applyAlignment="1">
      <alignment horizontal="distributed" vertical="distributed"/>
    </xf>
    <xf numFmtId="177" fontId="24" fillId="0" borderId="44" xfId="26" applyNumberFormat="1" applyFont="1" applyFill="1" applyBorder="1" applyAlignment="1">
      <alignment horizontal="distributed" vertical="distributed"/>
    </xf>
    <xf numFmtId="177" fontId="31" fillId="0" borderId="43" xfId="26" applyNumberFormat="1" applyFont="1" applyFill="1" applyBorder="1" applyAlignment="1">
      <alignment horizontal="distributed" vertical="distributed"/>
    </xf>
    <xf numFmtId="177" fontId="54" fillId="0" borderId="49" xfId="26" applyNumberFormat="1" applyFont="1" applyFill="1" applyBorder="1" applyAlignment="1">
      <alignment horizontal="right"/>
    </xf>
    <xf numFmtId="177" fontId="54" fillId="0" borderId="17" xfId="26" applyNumberFormat="1" applyFont="1" applyFill="1" applyBorder="1" applyAlignment="1">
      <alignment horizontal="right"/>
    </xf>
    <xf numFmtId="177" fontId="52" fillId="0" borderId="48" xfId="26" applyNumberFormat="1" applyFont="1" applyFill="1" applyBorder="1" applyAlignment="1">
      <alignment horizontal="right"/>
    </xf>
    <xf numFmtId="177" fontId="52" fillId="0" borderId="11" xfId="26" applyNumberFormat="1" applyFont="1" applyFill="1" applyBorder="1" applyAlignment="1">
      <alignment horizontal="right"/>
    </xf>
    <xf numFmtId="177" fontId="52" fillId="0" borderId="42" xfId="26" applyNumberFormat="1" applyFont="1" applyFill="1" applyBorder="1" applyAlignment="1">
      <alignment horizontal="right"/>
    </xf>
    <xf numFmtId="177" fontId="52" fillId="0" borderId="43" xfId="26" applyNumberFormat="1" applyFont="1" applyFill="1" applyBorder="1" applyAlignment="1">
      <alignment horizontal="right"/>
    </xf>
    <xf numFmtId="177" fontId="31" fillId="0" borderId="22" xfId="26" applyNumberFormat="1" applyFont="1" applyFill="1" applyBorder="1" applyAlignment="1">
      <alignment horizontal="distributed" vertical="distributed"/>
    </xf>
    <xf numFmtId="177" fontId="52" fillId="0" borderId="2" xfId="34" applyNumberFormat="1" applyFont="1" applyFill="1" applyBorder="1" applyAlignment="1"/>
    <xf numFmtId="177" fontId="31" fillId="0" borderId="39" xfId="26" applyNumberFormat="1" applyFont="1" applyFill="1" applyBorder="1" applyAlignment="1">
      <alignment horizontal="distributed" vertical="distributed"/>
    </xf>
    <xf numFmtId="177" fontId="31" fillId="0" borderId="42" xfId="26" applyNumberFormat="1" applyFont="1" applyFill="1" applyBorder="1" applyAlignment="1">
      <alignment horizontal="distributed" vertical="distributed"/>
    </xf>
    <xf numFmtId="177" fontId="31" fillId="0" borderId="53" xfId="26" applyNumberFormat="1" applyFont="1" applyFill="1" applyBorder="1" applyAlignment="1">
      <alignment horizontal="distributed" vertical="distributed"/>
    </xf>
    <xf numFmtId="177" fontId="31" fillId="0" borderId="55" xfId="26" applyNumberFormat="1" applyFont="1" applyFill="1" applyBorder="1" applyAlignment="1">
      <alignment horizontal="distributed" vertical="distributed"/>
    </xf>
    <xf numFmtId="177" fontId="52" fillId="0" borderId="53" xfId="26" applyNumberFormat="1" applyFont="1" applyFill="1" applyBorder="1" applyAlignment="1">
      <alignment horizontal="center"/>
    </xf>
    <xf numFmtId="177" fontId="52" fillId="0" borderId="55" xfId="26" applyNumberFormat="1" applyFont="1" applyFill="1" applyBorder="1" applyAlignment="1">
      <alignment horizontal="center"/>
    </xf>
    <xf numFmtId="177" fontId="31" fillId="0" borderId="48" xfId="26" applyNumberFormat="1" applyFont="1" applyFill="1" applyBorder="1" applyAlignment="1">
      <alignment horizontal="distributed" vertical="distributed"/>
    </xf>
    <xf numFmtId="177" fontId="31" fillId="0" borderId="56" xfId="26" applyNumberFormat="1" applyFont="1" applyFill="1" applyBorder="1" applyAlignment="1">
      <alignment horizontal="distributed" vertical="distributed"/>
    </xf>
    <xf numFmtId="177" fontId="31" fillId="0" borderId="50" xfId="26" applyNumberFormat="1" applyFont="1" applyFill="1" applyBorder="1" applyAlignment="1">
      <alignment horizontal="distributed" vertical="distributed"/>
    </xf>
    <xf numFmtId="177" fontId="11" fillId="0" borderId="52" xfId="9" applyNumberFormat="1" applyFont="1" applyFill="1" applyBorder="1" applyAlignment="1">
      <alignment horizontal="distributed" vertical="distributed"/>
    </xf>
    <xf numFmtId="177" fontId="52" fillId="0" borderId="50" xfId="26" applyNumberFormat="1" applyFont="1" applyFill="1" applyBorder="1" applyAlignment="1">
      <alignment horizontal="right"/>
    </xf>
    <xf numFmtId="177" fontId="8" fillId="0" borderId="52" xfId="9" applyNumberFormat="1" applyFill="1" applyBorder="1"/>
    <xf numFmtId="177" fontId="52" fillId="0" borderId="23" xfId="34" applyNumberFormat="1" applyFont="1" applyFill="1" applyBorder="1" applyAlignment="1"/>
    <xf numFmtId="177" fontId="8" fillId="0" borderId="40" xfId="9" applyNumberFormat="1" applyFill="1" applyBorder="1"/>
    <xf numFmtId="177" fontId="8" fillId="0" borderId="48" xfId="9" applyNumberFormat="1" applyFill="1" applyBorder="1"/>
    <xf numFmtId="177" fontId="8" fillId="0" borderId="11" xfId="9" applyNumberFormat="1" applyFill="1" applyBorder="1"/>
    <xf numFmtId="177" fontId="8" fillId="0" borderId="49" xfId="9" applyNumberFormat="1" applyFill="1" applyBorder="1"/>
    <xf numFmtId="177" fontId="8" fillId="0" borderId="17" xfId="9" applyNumberFormat="1" applyFill="1" applyBorder="1"/>
    <xf numFmtId="177" fontId="11" fillId="0" borderId="40" xfId="9" applyNumberFormat="1" applyFont="1" applyFill="1" applyBorder="1" applyAlignment="1">
      <alignment horizontal="distributed" vertical="distributed"/>
    </xf>
    <xf numFmtId="177" fontId="11" fillId="0" borderId="11" xfId="9" applyNumberFormat="1" applyFont="1" applyFill="1" applyBorder="1" applyAlignment="1">
      <alignment horizontal="distributed" vertical="distributed"/>
    </xf>
    <xf numFmtId="177" fontId="11" fillId="0" borderId="17" xfId="9" applyNumberFormat="1" applyFont="1" applyFill="1" applyBorder="1" applyAlignment="1">
      <alignment horizontal="distributed" vertical="distributed"/>
    </xf>
    <xf numFmtId="177" fontId="11" fillId="0" borderId="48" xfId="9" applyNumberFormat="1" applyFont="1" applyFill="1" applyBorder="1" applyAlignment="1">
      <alignment horizontal="distributed" vertical="distributed"/>
    </xf>
    <xf numFmtId="177" fontId="11" fillId="0" borderId="49" xfId="9" applyNumberFormat="1" applyFont="1" applyFill="1" applyBorder="1" applyAlignment="1">
      <alignment horizontal="distributed" vertical="distributed"/>
    </xf>
    <xf numFmtId="177" fontId="52" fillId="0" borderId="36" xfId="34" applyNumberFormat="1" applyFont="1" applyFill="1" applyBorder="1" applyAlignment="1"/>
    <xf numFmtId="177" fontId="52" fillId="0" borderId="23" xfId="34" applyNumberFormat="1" applyFont="1" applyFill="1" applyBorder="1" applyAlignment="1">
      <alignment horizontal="right"/>
    </xf>
    <xf numFmtId="177" fontId="52" fillId="0" borderId="36" xfId="34" applyNumberFormat="1" applyFont="1" applyFill="1" applyBorder="1" applyAlignment="1">
      <alignment horizontal="right"/>
    </xf>
    <xf numFmtId="177" fontId="52" fillId="0" borderId="2" xfId="34" applyNumberFormat="1" applyFont="1" applyFill="1" applyBorder="1" applyAlignment="1">
      <alignment horizontal="right"/>
    </xf>
    <xf numFmtId="177" fontId="52" fillId="0" borderId="39" xfId="26" applyNumberFormat="1" applyFont="1" applyFill="1" applyBorder="1" applyAlignment="1">
      <alignment horizontal="center"/>
    </xf>
    <xf numFmtId="177" fontId="52" fillId="0" borderId="40" xfId="26" applyNumberFormat="1" applyFont="1" applyFill="1" applyBorder="1" applyAlignment="1">
      <alignment horizontal="center"/>
    </xf>
    <xf numFmtId="177" fontId="52" fillId="0" borderId="48" xfId="26" applyNumberFormat="1" applyFont="1" applyFill="1" applyBorder="1" applyAlignment="1">
      <alignment horizontal="center"/>
    </xf>
    <xf numFmtId="177" fontId="52" fillId="0" borderId="11" xfId="26" applyNumberFormat="1" applyFont="1" applyFill="1" applyBorder="1" applyAlignment="1">
      <alignment horizontal="center"/>
    </xf>
    <xf numFmtId="177" fontId="52" fillId="0" borderId="42" xfId="26" applyNumberFormat="1" applyFont="1" applyFill="1" applyBorder="1" applyAlignment="1">
      <alignment horizontal="center"/>
    </xf>
    <xf numFmtId="177" fontId="52" fillId="0" borderId="43" xfId="26" applyNumberFormat="1" applyFont="1" applyFill="1" applyBorder="1" applyAlignment="1">
      <alignment horizontal="center"/>
    </xf>
    <xf numFmtId="183" fontId="52" fillId="0" borderId="1" xfId="34" applyNumberFormat="1" applyFont="1" applyFill="1" applyBorder="1" applyAlignment="1">
      <alignment horizontal="right"/>
    </xf>
    <xf numFmtId="183" fontId="52" fillId="0" borderId="39" xfId="26" applyNumberFormat="1" applyFont="1" applyFill="1" applyBorder="1" applyAlignment="1">
      <alignment horizontal="right"/>
    </xf>
    <xf numFmtId="183" fontId="52" fillId="0" borderId="40" xfId="26" applyNumberFormat="1" applyFont="1" applyFill="1" applyBorder="1" applyAlignment="1">
      <alignment horizontal="right"/>
    </xf>
    <xf numFmtId="183" fontId="52" fillId="0" borderId="48" xfId="26" applyNumberFormat="1" applyFont="1" applyFill="1" applyBorder="1" applyAlignment="1">
      <alignment horizontal="right"/>
    </xf>
    <xf numFmtId="183" fontId="52" fillId="0" borderId="11" xfId="26" applyNumberFormat="1" applyFont="1" applyFill="1" applyBorder="1" applyAlignment="1">
      <alignment horizontal="right"/>
    </xf>
    <xf numFmtId="183" fontId="52" fillId="0" borderId="42" xfId="26" applyNumberFormat="1" applyFont="1" applyFill="1" applyBorder="1" applyAlignment="1">
      <alignment horizontal="right"/>
    </xf>
    <xf numFmtId="183" fontId="52" fillId="0" borderId="43" xfId="26" applyNumberFormat="1" applyFont="1" applyFill="1" applyBorder="1" applyAlignment="1">
      <alignment horizontal="right"/>
    </xf>
    <xf numFmtId="183" fontId="31" fillId="0" borderId="40" xfId="26" applyNumberFormat="1" applyFont="1" applyFill="1" applyBorder="1" applyAlignment="1">
      <alignment horizontal="right" vertical="distributed"/>
    </xf>
    <xf numFmtId="183" fontId="31" fillId="0" borderId="11" xfId="26" applyNumberFormat="1" applyFont="1" applyFill="1" applyBorder="1" applyAlignment="1">
      <alignment horizontal="right" vertical="distributed"/>
    </xf>
    <xf numFmtId="183" fontId="31" fillId="0" borderId="43" xfId="26" applyNumberFormat="1" applyFont="1" applyFill="1" applyBorder="1" applyAlignment="1">
      <alignment horizontal="right" vertical="distributed"/>
    </xf>
    <xf numFmtId="177" fontId="52" fillId="0" borderId="24" xfId="34" applyNumberFormat="1" applyFont="1" applyFill="1" applyBorder="1" applyAlignment="1">
      <alignment horizontal="right"/>
    </xf>
    <xf numFmtId="177" fontId="52" fillId="0" borderId="35" xfId="34" applyNumberFormat="1" applyFont="1" applyFill="1" applyBorder="1" applyAlignment="1">
      <alignment horizontal="right"/>
    </xf>
    <xf numFmtId="177" fontId="52" fillId="0" borderId="21" xfId="34" applyNumberFormat="1" applyFont="1" applyFill="1" applyBorder="1" applyAlignment="1">
      <alignment horizontal="right"/>
    </xf>
    <xf numFmtId="183" fontId="31" fillId="0" borderId="39" xfId="26" applyNumberFormat="1" applyFont="1" applyFill="1" applyBorder="1" applyAlignment="1">
      <alignment horizontal="right" vertical="distributed"/>
    </xf>
    <xf numFmtId="183" fontId="31" fillId="0" borderId="48" xfId="26" applyNumberFormat="1" applyFont="1" applyFill="1" applyBorder="1" applyAlignment="1">
      <alignment horizontal="right" vertical="distributed"/>
    </xf>
    <xf numFmtId="183" fontId="31" fillId="0" borderId="42" xfId="26" applyNumberFormat="1" applyFont="1" applyFill="1" applyBorder="1" applyAlignment="1">
      <alignment horizontal="right" vertical="distributed"/>
    </xf>
    <xf numFmtId="183" fontId="52" fillId="0" borderId="1" xfId="34" applyNumberFormat="1" applyFont="1" applyFill="1" applyBorder="1" applyAlignment="1"/>
    <xf numFmtId="183" fontId="31" fillId="0" borderId="40" xfId="26" applyNumberFormat="1" applyFont="1" applyFill="1" applyBorder="1" applyAlignment="1">
      <alignment horizontal="distributed" vertical="distributed"/>
    </xf>
    <xf numFmtId="183" fontId="31" fillId="0" borderId="11" xfId="26" applyNumberFormat="1" applyFont="1" applyFill="1" applyBorder="1" applyAlignment="1">
      <alignment horizontal="distributed" vertical="distributed"/>
    </xf>
    <xf numFmtId="183" fontId="31" fillId="0" borderId="43" xfId="26" applyNumberFormat="1" applyFont="1" applyFill="1" applyBorder="1" applyAlignment="1">
      <alignment horizontal="distributed" vertical="distributed"/>
    </xf>
    <xf numFmtId="183" fontId="31" fillId="0" borderId="39" xfId="26" applyNumberFormat="1" applyFont="1" applyFill="1" applyBorder="1" applyAlignment="1">
      <alignment horizontal="distributed" vertical="distributed"/>
    </xf>
    <xf numFmtId="183" fontId="31" fillId="0" borderId="48" xfId="26" applyNumberFormat="1" applyFont="1" applyFill="1" applyBorder="1" applyAlignment="1">
      <alignment horizontal="distributed" vertical="distributed"/>
    </xf>
    <xf numFmtId="183" fontId="31" fillId="0" borderId="42" xfId="26" applyNumberFormat="1" applyFont="1" applyFill="1" applyBorder="1" applyAlignment="1">
      <alignment horizontal="distributed" vertical="distributed"/>
    </xf>
    <xf numFmtId="183" fontId="54" fillId="0" borderId="39" xfId="26" applyNumberFormat="1" applyFont="1" applyFill="1" applyBorder="1" applyAlignment="1">
      <alignment horizontal="center"/>
    </xf>
    <xf numFmtId="183" fontId="54" fillId="0" borderId="40" xfId="26" applyNumberFormat="1" applyFont="1" applyFill="1" applyBorder="1" applyAlignment="1">
      <alignment horizontal="center"/>
    </xf>
    <xf numFmtId="183" fontId="54" fillId="0" borderId="48" xfId="26" applyNumberFormat="1" applyFont="1" applyFill="1" applyBorder="1" applyAlignment="1">
      <alignment horizontal="center"/>
    </xf>
    <xf numFmtId="183" fontId="54" fillId="0" borderId="11" xfId="26" applyNumberFormat="1" applyFont="1" applyFill="1" applyBorder="1" applyAlignment="1">
      <alignment horizontal="center"/>
    </xf>
    <xf numFmtId="183" fontId="54" fillId="0" borderId="42" xfId="26" applyNumberFormat="1" applyFont="1" applyFill="1" applyBorder="1" applyAlignment="1">
      <alignment horizontal="center"/>
    </xf>
    <xf numFmtId="183" fontId="54" fillId="0" borderId="43" xfId="26" applyNumberFormat="1" applyFont="1" applyFill="1" applyBorder="1" applyAlignment="1">
      <alignment horizontal="center"/>
    </xf>
    <xf numFmtId="183" fontId="24" fillId="0" borderId="40" xfId="26" applyNumberFormat="1" applyFont="1" applyFill="1" applyBorder="1" applyAlignment="1">
      <alignment horizontal="distributed" vertical="distributed"/>
    </xf>
    <xf numFmtId="183" fontId="24" fillId="0" borderId="11" xfId="26" applyNumberFormat="1" applyFont="1" applyFill="1" applyBorder="1" applyAlignment="1">
      <alignment horizontal="distributed" vertical="distributed"/>
    </xf>
    <xf numFmtId="183" fontId="24" fillId="0" borderId="43" xfId="26" applyNumberFormat="1" applyFont="1" applyFill="1" applyBorder="1" applyAlignment="1">
      <alignment horizontal="distributed" vertical="distributed"/>
    </xf>
    <xf numFmtId="183" fontId="52" fillId="0" borderId="39" xfId="26" applyNumberFormat="1" applyFont="1" applyFill="1" applyBorder="1" applyAlignment="1">
      <alignment horizontal="center"/>
    </xf>
    <xf numFmtId="183" fontId="52" fillId="0" borderId="40" xfId="26" applyNumberFormat="1" applyFont="1" applyFill="1" applyBorder="1" applyAlignment="1">
      <alignment horizontal="center"/>
    </xf>
    <xf numFmtId="183" fontId="52" fillId="0" borderId="48" xfId="26" applyNumberFormat="1" applyFont="1" applyFill="1" applyBorder="1" applyAlignment="1">
      <alignment horizontal="center"/>
    </xf>
    <xf numFmtId="183" fontId="52" fillId="0" borderId="11" xfId="26" applyNumberFormat="1" applyFont="1" applyFill="1" applyBorder="1" applyAlignment="1">
      <alignment horizontal="center"/>
    </xf>
    <xf numFmtId="183" fontId="52" fillId="0" borderId="42" xfId="26" applyNumberFormat="1" applyFont="1" applyFill="1" applyBorder="1" applyAlignment="1">
      <alignment horizontal="center"/>
    </xf>
    <xf numFmtId="183" fontId="52" fillId="0" borderId="43" xfId="26" applyNumberFormat="1" applyFont="1" applyFill="1" applyBorder="1" applyAlignment="1">
      <alignment horizontal="center"/>
    </xf>
    <xf numFmtId="183" fontId="24" fillId="0" borderId="39" xfId="26" applyNumberFormat="1" applyFont="1" applyFill="1" applyBorder="1" applyAlignment="1">
      <alignment horizontal="distributed" vertical="distributed"/>
    </xf>
    <xf numFmtId="183" fontId="24" fillId="0" borderId="48" xfId="26" applyNumberFormat="1" applyFont="1" applyFill="1" applyBorder="1" applyAlignment="1">
      <alignment horizontal="distributed" vertical="distributed"/>
    </xf>
    <xf numFmtId="183" fontId="24" fillId="0" borderId="42" xfId="26" applyNumberFormat="1" applyFont="1" applyFill="1" applyBorder="1" applyAlignment="1">
      <alignment horizontal="distributed" vertical="distributed"/>
    </xf>
    <xf numFmtId="183" fontId="24" fillId="0" borderId="40" xfId="26" applyNumberFormat="1" applyFont="1" applyFill="1" applyBorder="1" applyAlignment="1">
      <alignment horizontal="right" vertical="distributed"/>
    </xf>
    <xf numFmtId="183" fontId="24" fillId="0" borderId="43" xfId="26" applyNumberFormat="1" applyFont="1" applyFill="1" applyBorder="1" applyAlignment="1">
      <alignment horizontal="right" vertical="distributed"/>
    </xf>
    <xf numFmtId="183" fontId="24" fillId="0" borderId="39" xfId="26" applyNumberFormat="1" applyFont="1" applyFill="1" applyBorder="1" applyAlignment="1">
      <alignment horizontal="right" vertical="distributed"/>
    </xf>
    <xf numFmtId="183" fontId="24" fillId="0" borderId="42" xfId="26" applyNumberFormat="1" applyFont="1" applyFill="1" applyBorder="1" applyAlignment="1">
      <alignment horizontal="right" vertical="distributed"/>
    </xf>
    <xf numFmtId="183" fontId="52" fillId="0" borderId="1" xfId="7" applyNumberFormat="1" applyFont="1" applyFill="1" applyBorder="1" applyAlignment="1"/>
    <xf numFmtId="183" fontId="52" fillId="0" borderId="45" xfId="26" applyNumberFormat="1" applyFont="1" applyFill="1" applyBorder="1" applyAlignment="1">
      <alignment horizontal="center"/>
    </xf>
    <xf numFmtId="183" fontId="52" fillId="0" borderId="47" xfId="26" applyNumberFormat="1" applyFont="1" applyFill="1" applyBorder="1" applyAlignment="1">
      <alignment horizontal="center"/>
    </xf>
    <xf numFmtId="0" fontId="55" fillId="0" borderId="45" xfId="9" applyFont="1" applyFill="1" applyBorder="1" applyAlignment="1">
      <alignment horizontal="left" vertical="center" wrapText="1"/>
    </xf>
    <xf numFmtId="0" fontId="55" fillId="0" borderId="46" xfId="9" applyFont="1" applyFill="1" applyBorder="1" applyAlignment="1">
      <alignment horizontal="left" vertical="center" wrapText="1"/>
    </xf>
    <xf numFmtId="0" fontId="55" fillId="0" borderId="47" xfId="9" applyFont="1" applyFill="1" applyBorder="1" applyAlignment="1">
      <alignment horizontal="left" vertical="center" wrapText="1"/>
    </xf>
    <xf numFmtId="168" fontId="52" fillId="0" borderId="41" xfId="34" applyNumberFormat="1" applyFont="1" applyFill="1" applyBorder="1" applyAlignment="1"/>
    <xf numFmtId="168" fontId="52" fillId="0" borderId="44" xfId="34" applyNumberFormat="1" applyFont="1" applyFill="1" applyBorder="1" applyAlignment="1"/>
    <xf numFmtId="168" fontId="31" fillId="0" borderId="0" xfId="9" applyNumberFormat="1" applyFont="1" applyFill="1" applyAlignment="1">
      <alignment horizontal="right" vertical="center"/>
    </xf>
    <xf numFmtId="0" fontId="31" fillId="0" borderId="0" xfId="3" applyFont="1" applyFill="1" applyAlignment="1">
      <alignment horizontal="right"/>
    </xf>
    <xf numFmtId="168" fontId="31" fillId="0" borderId="0" xfId="24" applyNumberFormat="1" applyFont="1" applyFill="1" applyAlignment="1">
      <alignment horizontal="right"/>
    </xf>
    <xf numFmtId="0" fontId="31" fillId="0" borderId="53" xfId="7" applyFont="1" applyFill="1" applyBorder="1" applyAlignment="1">
      <alignment horizontal="left" wrapText="1"/>
    </xf>
    <xf numFmtId="0" fontId="31" fillId="0" borderId="54" xfId="7" applyFont="1" applyFill="1" applyBorder="1" applyAlignment="1">
      <alignment horizontal="left" wrapText="1"/>
    </xf>
    <xf numFmtId="0" fontId="31" fillId="0" borderId="55" xfId="7" applyFont="1" applyFill="1" applyBorder="1" applyAlignment="1">
      <alignment horizontal="left" wrapText="1"/>
    </xf>
    <xf numFmtId="168" fontId="52" fillId="0" borderId="75" xfId="25" applyNumberFormat="1" applyFont="1" applyFill="1" applyBorder="1" applyAlignment="1"/>
    <xf numFmtId="168" fontId="52" fillId="0" borderId="4" xfId="25" applyNumberFormat="1" applyFont="1" applyFill="1" applyBorder="1" applyAlignment="1"/>
    <xf numFmtId="0" fontId="31" fillId="0" borderId="45" xfId="0" applyFont="1" applyBorder="1" applyAlignment="1">
      <alignment horizontal="left" wrapText="1"/>
    </xf>
    <xf numFmtId="0" fontId="31" fillId="0" borderId="46" xfId="0" applyFont="1" applyBorder="1" applyAlignment="1">
      <alignment horizontal="left" wrapText="1"/>
    </xf>
    <xf numFmtId="0" fontId="31" fillId="0" borderId="47" xfId="0" applyFont="1" applyBorder="1" applyAlignment="1">
      <alignment horizontal="left" wrapText="1"/>
    </xf>
    <xf numFmtId="175" fontId="31" fillId="0" borderId="45" xfId="26" applyNumberFormat="1" applyFont="1" applyFill="1" applyBorder="1" applyAlignment="1">
      <alignment vertical="distributed"/>
    </xf>
    <xf numFmtId="175" fontId="31" fillId="0" borderId="47" xfId="26" applyNumberFormat="1" applyFont="1" applyFill="1" applyBorder="1" applyAlignment="1">
      <alignment vertical="distributed"/>
    </xf>
    <xf numFmtId="176" fontId="24" fillId="0" borderId="41" xfId="26" applyNumberFormat="1" applyFont="1" applyFill="1" applyBorder="1" applyAlignment="1">
      <alignment horizontal="distributed" vertical="distributed"/>
    </xf>
    <xf numFmtId="176" fontId="24" fillId="0" borderId="72" xfId="26" applyNumberFormat="1" applyFont="1" applyFill="1" applyBorder="1" applyAlignment="1">
      <alignment horizontal="distributed" vertical="distributed"/>
    </xf>
    <xf numFmtId="176" fontId="24" fillId="0" borderId="44" xfId="26" applyNumberFormat="1" applyFont="1" applyFill="1" applyBorder="1" applyAlignment="1">
      <alignment horizontal="distributed" vertical="distributed"/>
    </xf>
    <xf numFmtId="49" fontId="14" fillId="0" borderId="14" xfId="3" applyNumberFormat="1" applyFont="1" applyFill="1" applyBorder="1" applyAlignment="1">
      <alignment horizontal="center" vertical="center" wrapText="1"/>
    </xf>
    <xf numFmtId="49" fontId="14" fillId="0" borderId="13" xfId="3" applyNumberFormat="1" applyFont="1" applyFill="1" applyBorder="1" applyAlignment="1">
      <alignment horizontal="center" vertical="center" wrapText="1"/>
    </xf>
    <xf numFmtId="49" fontId="14" fillId="0" borderId="7" xfId="3" applyNumberFormat="1" applyFont="1" applyFill="1" applyBorder="1" applyAlignment="1">
      <alignment horizontal="center" vertical="center" wrapText="1"/>
    </xf>
    <xf numFmtId="0" fontId="33" fillId="0" borderId="0" xfId="3" applyFont="1" applyFill="1" applyAlignment="1">
      <alignment horizontal="right" vertical="center" wrapText="1"/>
    </xf>
    <xf numFmtId="0" fontId="24" fillId="0" borderId="0" xfId="35" applyFont="1" applyFill="1" applyAlignment="1">
      <alignment horizontal="center"/>
    </xf>
    <xf numFmtId="174" fontId="24" fillId="0" borderId="0" xfId="35" applyNumberFormat="1" applyFont="1" applyFill="1" applyAlignment="1">
      <alignment horizontal="center"/>
    </xf>
    <xf numFmtId="49" fontId="14" fillId="0" borderId="30" xfId="3" applyNumberFormat="1" applyFont="1" applyFill="1" applyBorder="1" applyAlignment="1">
      <alignment horizontal="center" vertical="center" wrapText="1"/>
    </xf>
    <xf numFmtId="49" fontId="14" fillId="0" borderId="10" xfId="3" applyNumberFormat="1" applyFont="1" applyFill="1" applyBorder="1" applyAlignment="1">
      <alignment horizontal="center" vertical="center" wrapText="1"/>
    </xf>
    <xf numFmtId="49" fontId="14" fillId="0" borderId="18" xfId="3" applyNumberFormat="1" applyFont="1" applyFill="1" applyBorder="1" applyAlignment="1">
      <alignment horizontal="center" vertical="center" wrapText="1"/>
    </xf>
    <xf numFmtId="176" fontId="31" fillId="0" borderId="0" xfId="9" applyNumberFormat="1" applyFont="1" applyFill="1" applyAlignment="1">
      <alignment horizontal="right" vertical="center"/>
    </xf>
    <xf numFmtId="176" fontId="35" fillId="0" borderId="0" xfId="7" applyNumberFormat="1" applyFont="1" applyFill="1" applyAlignment="1">
      <alignment horizontal="right"/>
    </xf>
    <xf numFmtId="176" fontId="31" fillId="0" borderId="0" xfId="46" applyNumberFormat="1" applyFont="1" applyFill="1" applyAlignment="1">
      <alignment horizontal="right"/>
    </xf>
    <xf numFmtId="0" fontId="24" fillId="0" borderId="0" xfId="29" applyFont="1" applyFill="1" applyAlignment="1">
      <alignment horizontal="center"/>
    </xf>
    <xf numFmtId="0" fontId="24" fillId="0" borderId="0" xfId="6" applyFont="1" applyFill="1" applyAlignment="1">
      <alignment horizontal="center"/>
    </xf>
    <xf numFmtId="0" fontId="31" fillId="0" borderId="0" xfId="3" applyFont="1" applyFill="1" applyAlignment="1">
      <alignment horizontal="right" vertical="center" wrapText="1"/>
    </xf>
    <xf numFmtId="0" fontId="46" fillId="0" borderId="0" xfId="9" applyFont="1" applyFill="1" applyAlignment="1">
      <alignment horizontal="center" vertical="top"/>
    </xf>
    <xf numFmtId="172" fontId="11" fillId="0" borderId="1" xfId="11" applyNumberFormat="1" applyFont="1" applyFill="1" applyBorder="1" applyAlignment="1" applyProtection="1">
      <alignment horizontal="left" vertical="center" wrapText="1"/>
    </xf>
    <xf numFmtId="0" fontId="12" fillId="0" borderId="1" xfId="27" applyFont="1" applyBorder="1" applyAlignment="1">
      <alignment horizontal="right"/>
    </xf>
    <xf numFmtId="0" fontId="24" fillId="0" borderId="0" xfId="27" applyFont="1" applyAlignment="1">
      <alignment horizontal="center" wrapText="1"/>
    </xf>
    <xf numFmtId="0" fontId="15" fillId="3" borderId="1" xfId="3" applyFont="1" applyFill="1" applyBorder="1" applyAlignment="1">
      <alignment horizontal="center" vertical="center"/>
    </xf>
    <xf numFmtId="0" fontId="11" fillId="0" borderId="1" xfId="9" applyFont="1" applyFill="1" applyBorder="1" applyAlignment="1">
      <alignment horizontal="left" vertical="center" wrapText="1"/>
    </xf>
    <xf numFmtId="0" fontId="11" fillId="0" borderId="1" xfId="9" applyNumberFormat="1" applyFont="1" applyFill="1" applyBorder="1" applyAlignment="1" applyProtection="1">
      <alignment horizontal="left" vertical="center" wrapText="1"/>
    </xf>
    <xf numFmtId="169" fontId="11" fillId="0" borderId="1" xfId="10" applyNumberFormat="1" applyFont="1" applyFill="1" applyBorder="1" applyAlignment="1" applyProtection="1">
      <alignment horizontal="left" vertical="center" wrapText="1"/>
    </xf>
    <xf numFmtId="0" fontId="59" fillId="0" borderId="0" xfId="27" applyFont="1" applyAlignment="1">
      <alignment horizontal="center"/>
    </xf>
    <xf numFmtId="0" fontId="31" fillId="0" borderId="0" xfId="27" applyFont="1" applyAlignment="1">
      <alignment horizontal="right"/>
    </xf>
    <xf numFmtId="0" fontId="53" fillId="0" borderId="0" xfId="42" applyFont="1" applyFill="1" applyAlignment="1">
      <alignment horizontal="center" vertical="center" wrapText="1"/>
    </xf>
    <xf numFmtId="0" fontId="53" fillId="0" borderId="0" xfId="32" applyFont="1" applyAlignment="1">
      <alignment horizontal="center"/>
    </xf>
    <xf numFmtId="0" fontId="7" fillId="0" borderId="0" xfId="41" applyAlignment="1">
      <alignment horizontal="right"/>
    </xf>
    <xf numFmtId="0" fontId="31" fillId="0" borderId="50" xfId="9" applyFont="1" applyBorder="1" applyAlignment="1">
      <alignment horizontal="left" vertical="center"/>
    </xf>
    <xf numFmtId="0" fontId="31" fillId="0" borderId="59" xfId="9" applyFont="1" applyBorder="1" applyAlignment="1">
      <alignment horizontal="left" vertical="center"/>
    </xf>
    <xf numFmtId="0" fontId="31" fillId="0" borderId="57" xfId="9" applyFont="1" applyBorder="1" applyAlignment="1">
      <alignment horizontal="left" vertical="center"/>
    </xf>
    <xf numFmtId="0" fontId="31" fillId="0" borderId="7" xfId="9" applyFont="1" applyBorder="1" applyAlignment="1">
      <alignment horizontal="left" vertical="center"/>
    </xf>
    <xf numFmtId="0" fontId="31" fillId="0" borderId="57" xfId="9" applyFont="1" applyFill="1" applyBorder="1" applyAlignment="1">
      <alignment horizontal="left" vertical="center"/>
    </xf>
    <xf numFmtId="0" fontId="31" fillId="0" borderId="7" xfId="9" applyFont="1" applyFill="1" applyBorder="1" applyAlignment="1">
      <alignment horizontal="left" vertical="center"/>
    </xf>
    <xf numFmtId="0" fontId="31" fillId="0" borderId="49" xfId="9" applyFont="1" applyBorder="1" applyAlignment="1">
      <alignment horizontal="left" vertical="center"/>
    </xf>
    <xf numFmtId="0" fontId="31" fillId="0" borderId="18" xfId="9" applyFont="1" applyBorder="1" applyAlignment="1">
      <alignment horizontal="left" vertical="center"/>
    </xf>
    <xf numFmtId="0" fontId="31" fillId="0" borderId="0" xfId="28" applyFont="1" applyAlignment="1">
      <alignment horizontal="right"/>
    </xf>
    <xf numFmtId="0" fontId="31" fillId="0" borderId="0" xfId="9" applyFont="1" applyAlignment="1">
      <alignment horizontal="right"/>
    </xf>
    <xf numFmtId="0" fontId="61" fillId="0" borderId="0" xfId="9" applyFont="1" applyAlignment="1">
      <alignment horizontal="center"/>
    </xf>
    <xf numFmtId="0" fontId="24" fillId="0" borderId="0" xfId="9" applyFont="1" applyAlignment="1">
      <alignment horizontal="center"/>
    </xf>
    <xf numFmtId="0" fontId="24" fillId="0" borderId="45" xfId="9" applyFont="1" applyBorder="1" applyAlignment="1">
      <alignment horizontal="center" vertical="center" wrapText="1"/>
    </xf>
    <xf numFmtId="0" fontId="24" fillId="0" borderId="60" xfId="9" applyFont="1" applyBorder="1" applyAlignment="1">
      <alignment horizontal="center" vertical="center" wrapText="1"/>
    </xf>
    <xf numFmtId="0" fontId="31" fillId="0" borderId="53" xfId="9" applyFont="1" applyBorder="1" applyAlignment="1">
      <alignment horizontal="left" vertical="center"/>
    </xf>
    <xf numFmtId="0" fontId="31" fillId="0" borderId="28" xfId="9" applyFont="1" applyBorder="1" applyAlignment="1">
      <alignment horizontal="left" vertical="center"/>
    </xf>
    <xf numFmtId="0" fontId="11" fillId="0" borderId="14" xfId="3" applyFont="1" applyBorder="1" applyAlignment="1">
      <alignment horizontal="right"/>
    </xf>
    <xf numFmtId="0" fontId="11" fillId="0" borderId="13" xfId="3" applyFont="1" applyBorder="1" applyAlignment="1">
      <alignment horizontal="right"/>
    </xf>
    <xf numFmtId="0" fontId="11" fillId="0" borderId="7" xfId="3" applyFont="1" applyBorder="1" applyAlignment="1">
      <alignment horizontal="right"/>
    </xf>
    <xf numFmtId="0" fontId="12" fillId="0" borderId="58" xfId="3" applyFont="1" applyFill="1" applyBorder="1" applyAlignment="1">
      <alignment horizontal="center" wrapText="1"/>
    </xf>
    <xf numFmtId="0" fontId="12" fillId="0" borderId="0" xfId="3" applyFont="1" applyFill="1" applyBorder="1" applyAlignment="1">
      <alignment horizontal="center" wrapText="1"/>
    </xf>
    <xf numFmtId="0" fontId="12" fillId="0" borderId="12" xfId="3" applyFont="1" applyFill="1" applyBorder="1" applyAlignment="1">
      <alignment horizontal="center" wrapText="1"/>
    </xf>
    <xf numFmtId="0" fontId="12" fillId="0" borderId="58" xfId="3" applyFont="1" applyBorder="1" applyAlignment="1">
      <alignment horizontal="center" wrapText="1"/>
    </xf>
    <xf numFmtId="0" fontId="12" fillId="0" borderId="0" xfId="3" applyFont="1" applyBorder="1" applyAlignment="1">
      <alignment horizontal="center" wrapText="1"/>
    </xf>
    <xf numFmtId="0" fontId="12" fillId="0" borderId="12" xfId="3" applyFont="1" applyBorder="1" applyAlignment="1">
      <alignment horizontal="center" wrapText="1"/>
    </xf>
    <xf numFmtId="0" fontId="11" fillId="0" borderId="65" xfId="3" applyFont="1" applyBorder="1" applyAlignment="1">
      <alignment horizontal="left" vertical="center" wrapText="1"/>
    </xf>
    <xf numFmtId="0" fontId="11" fillId="0" borderId="16" xfId="3" applyFont="1" applyBorder="1" applyAlignment="1">
      <alignment horizontal="left" vertical="center" wrapText="1"/>
    </xf>
    <xf numFmtId="0" fontId="11" fillId="0" borderId="30" xfId="3" applyFont="1" applyBorder="1" applyAlignment="1">
      <alignment horizontal="left" vertical="center" wrapText="1"/>
    </xf>
    <xf numFmtId="0" fontId="11" fillId="0" borderId="10" xfId="3" applyFont="1" applyBorder="1" applyAlignment="1">
      <alignment horizontal="left" vertical="center" wrapText="1"/>
    </xf>
    <xf numFmtId="0" fontId="11" fillId="0" borderId="23" xfId="3" applyFont="1" applyFill="1" applyBorder="1" applyAlignment="1">
      <alignment horizontal="center" vertical="top" wrapText="1"/>
    </xf>
    <xf numFmtId="0" fontId="11" fillId="0" borderId="2" xfId="3" applyFont="1" applyFill="1" applyBorder="1" applyAlignment="1">
      <alignment horizontal="center" vertical="top" wrapText="1"/>
    </xf>
    <xf numFmtId="0" fontId="11" fillId="0" borderId="23" xfId="3" applyFont="1" applyFill="1" applyBorder="1" applyAlignment="1">
      <alignment horizontal="center" vertical="center" wrapText="1"/>
    </xf>
    <xf numFmtId="0" fontId="11" fillId="0" borderId="2" xfId="3" applyFont="1" applyFill="1" applyBorder="1" applyAlignment="1">
      <alignment horizontal="center" vertical="center" wrapText="1"/>
    </xf>
    <xf numFmtId="0" fontId="11" fillId="0" borderId="23" xfId="9" applyFont="1" applyBorder="1" applyAlignment="1">
      <alignment horizontal="center" vertical="center" wrapText="1"/>
    </xf>
    <xf numFmtId="0" fontId="11" fillId="0" borderId="2" xfId="9" applyFont="1" applyBorder="1" applyAlignment="1">
      <alignment horizontal="center" vertical="center" wrapText="1"/>
    </xf>
    <xf numFmtId="0" fontId="12" fillId="0" borderId="30" xfId="3" applyFont="1" applyBorder="1" applyAlignment="1">
      <alignment horizontal="center" vertical="center" wrapText="1"/>
    </xf>
    <xf numFmtId="0" fontId="11" fillId="0" borderId="10" xfId="3" applyFont="1" applyBorder="1" applyAlignment="1">
      <alignment horizontal="center" vertical="center" wrapText="1"/>
    </xf>
    <xf numFmtId="0" fontId="11" fillId="0" borderId="18" xfId="3" applyFont="1" applyBorder="1" applyAlignment="1">
      <alignment horizontal="center" vertical="center" wrapText="1"/>
    </xf>
    <xf numFmtId="0" fontId="11" fillId="0" borderId="14" xfId="3" applyFont="1" applyBorder="1" applyAlignment="1">
      <alignment horizontal="left" vertical="center" wrapText="1"/>
    </xf>
    <xf numFmtId="0" fontId="11" fillId="0" borderId="7" xfId="3" applyFont="1" applyBorder="1" applyAlignment="1">
      <alignment horizontal="left" vertical="center" wrapText="1"/>
    </xf>
    <xf numFmtId="0" fontId="11" fillId="0" borderId="23" xfId="3" applyFont="1" applyBorder="1" applyAlignment="1">
      <alignment horizontal="center" vertical="center" wrapText="1"/>
    </xf>
    <xf numFmtId="0" fontId="11" fillId="0" borderId="2" xfId="3" applyFont="1" applyBorder="1" applyAlignment="1">
      <alignment horizontal="center" vertical="center" wrapText="1"/>
    </xf>
    <xf numFmtId="0" fontId="35" fillId="0" borderId="0" xfId="7" applyFont="1" applyAlignment="1">
      <alignment horizontal="right"/>
    </xf>
    <xf numFmtId="0" fontId="11" fillId="0" borderId="14" xfId="3" applyFont="1" applyFill="1" applyBorder="1" applyAlignment="1">
      <alignment horizontal="center"/>
    </xf>
    <xf numFmtId="0" fontId="11" fillId="0" borderId="13" xfId="3" applyFont="1" applyFill="1" applyBorder="1" applyAlignment="1">
      <alignment horizontal="center"/>
    </xf>
    <xf numFmtId="0" fontId="33" fillId="0" borderId="0" xfId="3" applyFont="1" applyAlignment="1">
      <alignment horizontal="right" vertical="center" wrapText="1"/>
    </xf>
    <xf numFmtId="166" fontId="31" fillId="0" borderId="0" xfId="24" applyNumberFormat="1" applyFont="1" applyFill="1" applyAlignment="1">
      <alignment horizontal="right"/>
    </xf>
    <xf numFmtId="0" fontId="11" fillId="0" borderId="23" xfId="3" applyFont="1" applyFill="1" applyBorder="1" applyAlignment="1">
      <alignment horizontal="center" vertical="center"/>
    </xf>
    <xf numFmtId="0" fontId="11" fillId="0" borderId="2" xfId="3" applyFont="1" applyFill="1" applyBorder="1" applyAlignment="1">
      <alignment horizontal="center" vertical="center"/>
    </xf>
    <xf numFmtId="166" fontId="11" fillId="0" borderId="23" xfId="3" applyNumberFormat="1" applyFont="1" applyBorder="1" applyAlignment="1">
      <alignment horizontal="center" vertical="center"/>
    </xf>
    <xf numFmtId="166" fontId="11" fillId="0" borderId="2" xfId="3" applyNumberFormat="1" applyFont="1" applyBorder="1" applyAlignment="1">
      <alignment horizontal="center" vertical="center"/>
    </xf>
    <xf numFmtId="168" fontId="11" fillId="0" borderId="23" xfId="3" applyNumberFormat="1" applyFont="1" applyBorder="1" applyAlignment="1">
      <alignment horizontal="center" vertical="center"/>
    </xf>
    <xf numFmtId="168" fontId="11" fillId="0" borderId="2" xfId="3" applyNumberFormat="1" applyFont="1" applyBorder="1" applyAlignment="1">
      <alignment horizontal="center" vertical="center"/>
    </xf>
    <xf numFmtId="0" fontId="11" fillId="7" borderId="79" xfId="9" applyFont="1" applyFill="1" applyBorder="1" applyAlignment="1">
      <alignment horizontal="left" vertical="center" wrapText="1"/>
    </xf>
    <xf numFmtId="0" fontId="11" fillId="7" borderId="8" xfId="9" applyFont="1" applyFill="1" applyBorder="1" applyAlignment="1">
      <alignment horizontal="left" vertical="center" wrapText="1"/>
    </xf>
    <xf numFmtId="0" fontId="11" fillId="7" borderId="5" xfId="9" applyFont="1" applyFill="1" applyBorder="1" applyAlignment="1">
      <alignment horizontal="left" vertical="center" wrapText="1"/>
    </xf>
    <xf numFmtId="0" fontId="11" fillId="0" borderId="80" xfId="9" applyFont="1" applyBorder="1" applyAlignment="1">
      <alignment horizontal="center" vertical="center" wrapText="1"/>
    </xf>
    <xf numFmtId="0" fontId="11" fillId="0" borderId="1" xfId="9" applyFont="1" applyBorder="1" applyAlignment="1">
      <alignment horizontal="center" vertical="center" wrapText="1"/>
    </xf>
    <xf numFmtId="0" fontId="11" fillId="0" borderId="4" xfId="9" applyFont="1" applyBorder="1" applyAlignment="1">
      <alignment horizontal="center" vertical="center" wrapText="1"/>
    </xf>
    <xf numFmtId="0" fontId="19" fillId="0" borderId="8" xfId="9" applyFont="1" applyBorder="1" applyAlignment="1">
      <alignment horizontal="left" vertical="center" wrapText="1"/>
    </xf>
    <xf numFmtId="0" fontId="19" fillId="0" borderId="1" xfId="9" applyFont="1" applyBorder="1" applyAlignment="1">
      <alignment horizontal="center" vertical="center" wrapText="1"/>
    </xf>
    <xf numFmtId="0" fontId="12" fillId="0" borderId="63" xfId="9" applyFont="1" applyBorder="1" applyAlignment="1">
      <alignment horizontal="center" vertical="center" wrapText="1"/>
    </xf>
    <xf numFmtId="0" fontId="12" fillId="0" borderId="37" xfId="9" applyFont="1" applyBorder="1" applyAlignment="1">
      <alignment horizontal="center" vertical="center" wrapText="1"/>
    </xf>
    <xf numFmtId="0" fontId="11" fillId="7" borderId="21" xfId="9" applyFont="1" applyFill="1" applyBorder="1" applyAlignment="1">
      <alignment horizontal="left" vertical="center" wrapText="1"/>
    </xf>
    <xf numFmtId="0" fontId="24" fillId="0" borderId="0" xfId="32" applyFont="1" applyAlignment="1">
      <alignment horizontal="center"/>
    </xf>
    <xf numFmtId="0" fontId="11" fillId="0" borderId="41" xfId="9" applyFont="1" applyBorder="1" applyAlignment="1">
      <alignment horizontal="center" vertical="center"/>
    </xf>
    <xf numFmtId="0" fontId="11" fillId="0" borderId="72" xfId="9" applyFont="1" applyBorder="1" applyAlignment="1">
      <alignment horizontal="center" vertical="center"/>
    </xf>
    <xf numFmtId="0" fontId="11" fillId="0" borderId="44" xfId="9" applyFont="1" applyBorder="1" applyAlignment="1">
      <alignment horizontal="center" vertical="center"/>
    </xf>
    <xf numFmtId="49" fontId="12" fillId="0" borderId="45" xfId="9" applyNumberFormat="1" applyFont="1" applyBorder="1" applyAlignment="1">
      <alignment horizontal="left" vertical="center" wrapText="1"/>
    </xf>
    <xf numFmtId="49" fontId="12" fillId="0" borderId="46" xfId="9" applyNumberFormat="1" applyFont="1" applyBorder="1" applyAlignment="1">
      <alignment horizontal="left" vertical="center" wrapText="1"/>
    </xf>
    <xf numFmtId="49" fontId="12" fillId="0" borderId="47" xfId="9" applyNumberFormat="1" applyFont="1" applyBorder="1" applyAlignment="1">
      <alignment horizontal="left" vertical="center" wrapText="1"/>
    </xf>
    <xf numFmtId="0" fontId="12" fillId="0" borderId="21" xfId="9" applyFont="1" applyBorder="1" applyAlignment="1">
      <alignment horizontal="left" vertical="center" wrapText="1"/>
    </xf>
    <xf numFmtId="0" fontId="12" fillId="0" borderId="8" xfId="9" applyFont="1" applyBorder="1" applyAlignment="1">
      <alignment horizontal="left" vertical="center" wrapText="1"/>
    </xf>
    <xf numFmtId="0" fontId="12" fillId="0" borderId="5" xfId="9" applyFont="1" applyBorder="1" applyAlignment="1">
      <alignment horizontal="left" vertical="center" wrapText="1"/>
    </xf>
    <xf numFmtId="0" fontId="12" fillId="0" borderId="2" xfId="9" applyFont="1" applyBorder="1" applyAlignment="1">
      <alignment horizontal="center" vertical="center" wrapText="1"/>
    </xf>
    <xf numFmtId="0" fontId="12" fillId="0" borderId="1" xfId="9" applyFont="1" applyBorder="1" applyAlignment="1">
      <alignment horizontal="center" vertical="center" wrapText="1"/>
    </xf>
    <xf numFmtId="0" fontId="12" fillId="0" borderId="4" xfId="9" applyFont="1" applyBorder="1" applyAlignment="1">
      <alignment horizontal="center" vertical="center" wrapText="1"/>
    </xf>
    <xf numFmtId="0" fontId="12" fillId="0" borderId="63" xfId="9" applyFont="1" applyBorder="1" applyAlignment="1">
      <alignment horizontal="center" vertical="center"/>
    </xf>
    <xf numFmtId="0" fontId="12" fillId="0" borderId="37" xfId="9" applyFont="1" applyBorder="1" applyAlignment="1">
      <alignment horizontal="center" vertical="center"/>
    </xf>
    <xf numFmtId="0" fontId="12" fillId="0" borderId="77" xfId="9" applyFont="1" applyBorder="1" applyAlignment="1">
      <alignment horizontal="center" vertical="center"/>
    </xf>
    <xf numFmtId="0" fontId="12" fillId="0" borderId="39" xfId="9" applyFont="1" applyBorder="1" applyAlignment="1">
      <alignment horizontal="left" vertical="center" wrapText="1"/>
    </xf>
    <xf numFmtId="0" fontId="12" fillId="0" borderId="27" xfId="9" applyFont="1" applyBorder="1" applyAlignment="1">
      <alignment horizontal="left" vertical="center" wrapText="1"/>
    </xf>
    <xf numFmtId="0" fontId="12" fillId="0" borderId="40" xfId="9" applyFont="1" applyBorder="1" applyAlignment="1">
      <alignment horizontal="left" vertical="center" wrapText="1"/>
    </xf>
    <xf numFmtId="0" fontId="12" fillId="0" borderId="48" xfId="9" applyFont="1" applyBorder="1" applyAlignment="1">
      <alignment horizontal="left" vertical="center" wrapText="1"/>
    </xf>
    <xf numFmtId="0" fontId="12" fillId="0" borderId="0" xfId="9" applyFont="1" applyBorder="1" applyAlignment="1">
      <alignment horizontal="left" vertical="center" wrapText="1"/>
    </xf>
    <xf numFmtId="0" fontId="12" fillId="0" borderId="11" xfId="9" applyFont="1" applyBorder="1" applyAlignment="1">
      <alignment horizontal="left" vertical="center" wrapText="1"/>
    </xf>
    <xf numFmtId="0" fontId="11" fillId="0" borderId="82" xfId="9" applyFont="1" applyBorder="1" applyAlignment="1">
      <alignment horizontal="center" vertical="center"/>
    </xf>
    <xf numFmtId="0" fontId="69" fillId="7" borderId="8" xfId="9" applyFont="1" applyFill="1" applyBorder="1" applyAlignment="1">
      <alignment horizontal="center" vertical="center" wrapText="1"/>
    </xf>
    <xf numFmtId="0" fontId="69" fillId="7" borderId="1" xfId="9" applyFont="1" applyFill="1" applyBorder="1" applyAlignment="1">
      <alignment horizontal="center" vertical="center" wrapText="1"/>
    </xf>
    <xf numFmtId="0" fontId="11" fillId="0" borderId="37" xfId="9" applyFont="1" applyBorder="1" applyAlignment="1">
      <alignment horizontal="center"/>
    </xf>
    <xf numFmtId="0" fontId="12" fillId="0" borderId="29" xfId="9" applyFont="1" applyBorder="1" applyAlignment="1">
      <alignment horizontal="center" vertical="center" wrapText="1"/>
    </xf>
    <xf numFmtId="0" fontId="12" fillId="0" borderId="24" xfId="9" applyFont="1" applyBorder="1" applyAlignment="1">
      <alignment horizontal="center" vertical="center" wrapText="1"/>
    </xf>
    <xf numFmtId="0" fontId="12" fillId="0" borderId="26" xfId="9" applyFont="1" applyBorder="1" applyAlignment="1">
      <alignment horizontal="center" vertical="center" wrapText="1"/>
    </xf>
    <xf numFmtId="0" fontId="12" fillId="0" borderId="23" xfId="9" applyFont="1" applyBorder="1" applyAlignment="1">
      <alignment horizontal="center" vertical="center" wrapText="1"/>
    </xf>
    <xf numFmtId="0" fontId="11" fillId="0" borderId="36" xfId="9" applyFont="1" applyBorder="1" applyAlignment="1">
      <alignment horizontal="center" vertical="center" wrapText="1"/>
    </xf>
    <xf numFmtId="0" fontId="11" fillId="0" borderId="75" xfId="9" applyFont="1" applyBorder="1" applyAlignment="1">
      <alignment horizontal="center" vertical="center" wrapText="1"/>
    </xf>
    <xf numFmtId="0" fontId="11" fillId="0" borderId="24" xfId="9" applyFont="1" applyBorder="1" applyAlignment="1">
      <alignment horizontal="left" vertical="center" wrapText="1"/>
    </xf>
    <xf numFmtId="0" fontId="11" fillId="0" borderId="35" xfId="9" applyFont="1" applyBorder="1" applyAlignment="1">
      <alignment horizontal="left" vertical="center" wrapText="1"/>
    </xf>
    <xf numFmtId="0" fontId="11" fillId="0" borderId="78" xfId="9" applyFont="1" applyBorder="1" applyAlignment="1">
      <alignment horizontal="left" vertical="center" wrapText="1"/>
    </xf>
    <xf numFmtId="0" fontId="53" fillId="0" borderId="0" xfId="52" applyFont="1" applyFill="1" applyAlignment="1">
      <alignment horizontal="center" vertical="center" wrapText="1"/>
    </xf>
    <xf numFmtId="0" fontId="53" fillId="0" borderId="0" xfId="32" applyFont="1" applyFill="1" applyAlignment="1">
      <alignment horizontal="center"/>
    </xf>
    <xf numFmtId="0" fontId="31" fillId="0" borderId="0" xfId="41" applyFont="1" applyFill="1" applyAlignment="1">
      <alignment horizontal="right"/>
    </xf>
    <xf numFmtId="0" fontId="53" fillId="0" borderId="0" xfId="54" applyFont="1" applyFill="1" applyAlignment="1">
      <alignment horizontal="center" vertical="center" wrapText="1"/>
    </xf>
    <xf numFmtId="0" fontId="24" fillId="0" borderId="0" xfId="32" applyFont="1" applyFill="1" applyAlignment="1">
      <alignment horizontal="center"/>
    </xf>
    <xf numFmtId="0" fontId="24" fillId="0" borderId="0" xfId="9" applyFont="1" applyFill="1" applyAlignment="1">
      <alignment horizontal="center"/>
    </xf>
    <xf numFmtId="0" fontId="12" fillId="0" borderId="29" xfId="9" applyFont="1" applyFill="1" applyBorder="1" applyAlignment="1">
      <alignment horizontal="center" vertical="center" wrapText="1"/>
    </xf>
    <xf numFmtId="0" fontId="12" fillId="0" borderId="24" xfId="9" applyFont="1" applyFill="1" applyBorder="1" applyAlignment="1">
      <alignment horizontal="center" vertical="center" wrapText="1"/>
    </xf>
    <xf numFmtId="0" fontId="12" fillId="0" borderId="26" xfId="9" applyFont="1" applyFill="1" applyBorder="1" applyAlignment="1">
      <alignment horizontal="center" vertical="center" wrapText="1"/>
    </xf>
    <xf numFmtId="0" fontId="12" fillId="0" borderId="23" xfId="9" applyFont="1" applyFill="1" applyBorder="1" applyAlignment="1">
      <alignment horizontal="center" vertical="center" wrapText="1"/>
    </xf>
    <xf numFmtId="0" fontId="12" fillId="0" borderId="63" xfId="9" applyFont="1" applyFill="1" applyBorder="1" applyAlignment="1">
      <alignment horizontal="center" vertical="center" wrapText="1"/>
    </xf>
    <xf numFmtId="0" fontId="12" fillId="0" borderId="37" xfId="9" applyFont="1" applyFill="1" applyBorder="1" applyAlignment="1">
      <alignment horizontal="center" vertical="center" wrapText="1"/>
    </xf>
    <xf numFmtId="0" fontId="31" fillId="0" borderId="0" xfId="7" applyFont="1" applyFill="1" applyAlignment="1">
      <alignment horizontal="right"/>
    </xf>
    <xf numFmtId="0" fontId="11" fillId="0" borderId="41" xfId="9" applyFont="1" applyFill="1" applyBorder="1" applyAlignment="1">
      <alignment horizontal="center" vertical="center"/>
    </xf>
    <xf numFmtId="0" fontId="11" fillId="0" borderId="72" xfId="9" applyFont="1" applyFill="1" applyBorder="1" applyAlignment="1">
      <alignment horizontal="center" vertical="center"/>
    </xf>
    <xf numFmtId="0" fontId="11" fillId="0" borderId="44" xfId="9" applyFont="1" applyFill="1" applyBorder="1" applyAlignment="1">
      <alignment horizontal="center" vertical="center"/>
    </xf>
    <xf numFmtId="49" fontId="12" fillId="0" borderId="45" xfId="9" applyNumberFormat="1" applyFont="1" applyFill="1" applyBorder="1" applyAlignment="1">
      <alignment horizontal="left" vertical="center" wrapText="1"/>
    </xf>
    <xf numFmtId="49" fontId="12" fillId="0" borderId="46" xfId="9" applyNumberFormat="1" applyFont="1" applyFill="1" applyBorder="1" applyAlignment="1">
      <alignment horizontal="left" vertical="center" wrapText="1"/>
    </xf>
    <xf numFmtId="49" fontId="12" fillId="0" borderId="47" xfId="9" applyNumberFormat="1" applyFont="1" applyFill="1" applyBorder="1" applyAlignment="1">
      <alignment horizontal="left" vertical="center" wrapText="1"/>
    </xf>
    <xf numFmtId="0" fontId="11" fillId="0" borderId="53" xfId="9" applyFont="1" applyFill="1" applyBorder="1" applyAlignment="1">
      <alignment horizontal="left" vertical="center" wrapText="1"/>
    </xf>
    <xf numFmtId="0" fontId="11" fillId="0" borderId="57" xfId="9" applyFont="1" applyFill="1" applyBorder="1" applyAlignment="1">
      <alignment horizontal="left" vertical="center" wrapText="1"/>
    </xf>
    <xf numFmtId="0" fontId="11" fillId="0" borderId="50" xfId="9" applyFont="1" applyFill="1" applyBorder="1" applyAlignment="1">
      <alignment horizontal="left" vertical="center" wrapText="1"/>
    </xf>
    <xf numFmtId="0" fontId="11" fillId="0" borderId="69" xfId="9" applyFont="1" applyFill="1" applyBorder="1" applyAlignment="1">
      <alignment horizontal="center" vertical="center" wrapText="1"/>
    </xf>
    <xf numFmtId="0" fontId="11" fillId="0" borderId="19" xfId="9" applyFont="1" applyFill="1" applyBorder="1" applyAlignment="1">
      <alignment horizontal="center" vertical="center" wrapText="1"/>
    </xf>
    <xf numFmtId="0" fontId="11" fillId="0" borderId="66" xfId="9" applyFont="1" applyFill="1" applyBorder="1" applyAlignment="1">
      <alignment horizontal="center" vertical="center" wrapText="1"/>
    </xf>
    <xf numFmtId="0" fontId="69" fillId="0" borderId="29" xfId="9" applyFont="1" applyFill="1" applyBorder="1" applyAlignment="1">
      <alignment horizontal="center" vertical="center" wrapText="1"/>
    </xf>
    <xf numFmtId="0" fontId="69" fillId="0" borderId="26" xfId="9" applyFont="1" applyFill="1" applyBorder="1" applyAlignment="1">
      <alignment horizontal="center" vertical="center" wrapText="1"/>
    </xf>
    <xf numFmtId="0" fontId="69" fillId="0" borderId="68" xfId="9" applyFont="1" applyFill="1" applyBorder="1" applyAlignment="1">
      <alignment horizontal="center" vertical="center" wrapText="1"/>
    </xf>
    <xf numFmtId="0" fontId="11" fillId="0" borderId="8" xfId="9" applyFont="1" applyFill="1" applyBorder="1" applyAlignment="1">
      <alignment horizontal="left" vertical="center" wrapText="1"/>
    </xf>
    <xf numFmtId="0" fontId="11" fillId="0" borderId="1" xfId="9" applyFont="1" applyFill="1" applyBorder="1" applyAlignment="1">
      <alignment horizontal="center" vertical="center" wrapText="1"/>
    </xf>
    <xf numFmtId="0" fontId="11" fillId="0" borderId="23" xfId="9" applyFont="1" applyFill="1" applyBorder="1" applyAlignment="1">
      <alignment horizontal="center" vertical="center" wrapText="1"/>
    </xf>
    <xf numFmtId="0" fontId="11" fillId="0" borderId="56" xfId="9" applyFont="1" applyFill="1" applyBorder="1" applyAlignment="1">
      <alignment horizontal="left" vertical="center" wrapText="1"/>
    </xf>
    <xf numFmtId="0" fontId="11" fillId="0" borderId="48" xfId="9" applyFont="1" applyFill="1" applyBorder="1" applyAlignment="1">
      <alignment horizontal="left" vertical="center" wrapText="1"/>
    </xf>
    <xf numFmtId="0" fontId="11" fillId="0" borderId="49" xfId="9" applyFont="1" applyFill="1" applyBorder="1" applyAlignment="1">
      <alignment horizontal="left" vertical="center" wrapText="1"/>
    </xf>
    <xf numFmtId="0" fontId="11" fillId="0" borderId="41" xfId="9" applyFont="1" applyFill="1" applyBorder="1" applyAlignment="1">
      <alignment horizontal="center" vertical="center" wrapText="1"/>
    </xf>
    <xf numFmtId="0" fontId="11" fillId="0" borderId="72" xfId="9" applyFont="1" applyFill="1" applyBorder="1" applyAlignment="1">
      <alignment horizontal="center" vertical="center" wrapText="1"/>
    </xf>
    <xf numFmtId="0" fontId="11" fillId="0" borderId="44" xfId="9" applyFont="1" applyFill="1" applyBorder="1" applyAlignment="1">
      <alignment horizontal="center" vertical="center" wrapText="1"/>
    </xf>
    <xf numFmtId="0" fontId="11" fillId="0" borderId="42" xfId="9" applyFont="1" applyFill="1" applyBorder="1" applyAlignment="1">
      <alignment horizontal="left" vertical="center" wrapText="1"/>
    </xf>
    <xf numFmtId="0" fontId="12" fillId="0" borderId="39" xfId="9" applyFont="1" applyFill="1" applyBorder="1" applyAlignment="1">
      <alignment horizontal="left" vertical="center" wrapText="1"/>
    </xf>
    <xf numFmtId="0" fontId="12" fillId="0" borderId="27" xfId="9" applyFont="1" applyFill="1" applyBorder="1" applyAlignment="1">
      <alignment horizontal="left" vertical="center" wrapText="1"/>
    </xf>
    <xf numFmtId="0" fontId="12" fillId="0" borderId="40" xfId="9" applyFont="1" applyFill="1" applyBorder="1" applyAlignment="1">
      <alignment horizontal="left" vertical="center" wrapText="1"/>
    </xf>
    <xf numFmtId="0" fontId="12" fillId="0" borderId="48" xfId="9" applyFont="1" applyFill="1" applyBorder="1" applyAlignment="1">
      <alignment horizontal="left" vertical="center" wrapText="1"/>
    </xf>
    <xf numFmtId="0" fontId="12" fillId="0" borderId="0" xfId="9" applyFont="1" applyFill="1" applyBorder="1" applyAlignment="1">
      <alignment horizontal="left" vertical="center" wrapText="1"/>
    </xf>
    <xf numFmtId="0" fontId="12" fillId="0" borderId="11" xfId="9" applyFont="1" applyFill="1" applyBorder="1" applyAlignment="1">
      <alignment horizontal="left" vertical="center" wrapText="1"/>
    </xf>
    <xf numFmtId="0" fontId="12" fillId="0" borderId="53" xfId="9" applyFont="1" applyFill="1" applyBorder="1" applyAlignment="1">
      <alignment horizontal="left" vertical="center" wrapText="1"/>
    </xf>
    <xf numFmtId="0" fontId="12" fillId="0" borderId="57" xfId="9" applyFont="1" applyFill="1" applyBorder="1" applyAlignment="1">
      <alignment horizontal="left" vertical="center" wrapText="1"/>
    </xf>
    <xf numFmtId="0" fontId="12" fillId="0" borderId="50" xfId="9" applyFont="1" applyFill="1" applyBorder="1" applyAlignment="1">
      <alignment horizontal="left" vertical="center" wrapText="1"/>
    </xf>
    <xf numFmtId="0" fontId="12" fillId="0" borderId="69" xfId="9" applyFont="1" applyFill="1" applyBorder="1" applyAlignment="1">
      <alignment horizontal="center" vertical="center" wrapText="1"/>
    </xf>
    <xf numFmtId="0" fontId="12" fillId="0" borderId="19" xfId="9" applyFont="1" applyFill="1" applyBorder="1" applyAlignment="1">
      <alignment horizontal="center" vertical="center" wrapText="1"/>
    </xf>
    <xf numFmtId="0" fontId="12" fillId="0" borderId="66" xfId="9" applyFont="1" applyFill="1" applyBorder="1" applyAlignment="1">
      <alignment horizontal="center" vertical="center" wrapText="1"/>
    </xf>
    <xf numFmtId="0" fontId="12" fillId="0" borderId="41" xfId="9" applyFont="1" applyFill="1" applyBorder="1" applyAlignment="1">
      <alignment horizontal="center" vertical="center"/>
    </xf>
    <xf numFmtId="0" fontId="12" fillId="0" borderId="72" xfId="9" applyFont="1" applyFill="1" applyBorder="1" applyAlignment="1">
      <alignment horizontal="center" vertical="center"/>
    </xf>
    <xf numFmtId="0" fontId="12" fillId="0" borderId="44" xfId="9" applyFont="1" applyFill="1" applyBorder="1" applyAlignment="1">
      <alignment horizontal="center" vertical="center"/>
    </xf>
    <xf numFmtId="0" fontId="11" fillId="0" borderId="83" xfId="9" applyFont="1" applyFill="1" applyBorder="1" applyAlignment="1">
      <alignment horizontal="center" vertical="center" wrapText="1"/>
    </xf>
    <xf numFmtId="0" fontId="11" fillId="0" borderId="35" xfId="9" applyFont="1" applyFill="1" applyBorder="1" applyAlignment="1">
      <alignment horizontal="center" vertical="center" wrapText="1"/>
    </xf>
    <xf numFmtId="0" fontId="11" fillId="0" borderId="21" xfId="9" applyFont="1" applyFill="1" applyBorder="1" applyAlignment="1">
      <alignment horizontal="center" vertical="center" wrapText="1"/>
    </xf>
    <xf numFmtId="0" fontId="11" fillId="0" borderId="84" xfId="9" applyFont="1" applyFill="1" applyBorder="1" applyAlignment="1">
      <alignment horizontal="center" vertical="center" wrapText="1"/>
    </xf>
    <xf numFmtId="0" fontId="11" fillId="0" borderId="36" xfId="9" applyFont="1" applyFill="1" applyBorder="1" applyAlignment="1">
      <alignment horizontal="center" vertical="center" wrapText="1"/>
    </xf>
    <xf numFmtId="0" fontId="11" fillId="0" borderId="30" xfId="9" applyFont="1" applyFill="1" applyBorder="1" applyAlignment="1">
      <alignment horizontal="center" vertical="center" wrapText="1"/>
    </xf>
    <xf numFmtId="0" fontId="11" fillId="0" borderId="24" xfId="9" applyFont="1" applyFill="1" applyBorder="1" applyAlignment="1">
      <alignment horizontal="center" vertical="center" wrapText="1"/>
    </xf>
    <xf numFmtId="0" fontId="11" fillId="0" borderId="82" xfId="9" applyFont="1" applyFill="1" applyBorder="1" applyAlignment="1">
      <alignment horizontal="center" vertical="center"/>
    </xf>
  </cellXfs>
  <cellStyles count="56">
    <cellStyle name="Денежный" xfId="2" builtinId="4"/>
    <cellStyle name="Денежный 2" xfId="30"/>
    <cellStyle name="Денежный 2 2" xfId="36"/>
    <cellStyle name="Денежный 3" xfId="33"/>
    <cellStyle name="Обычный" xfId="0" builtinId="0"/>
    <cellStyle name="Обычный 2" xfId="4"/>
    <cellStyle name="Обычный 2 2" xfId="9"/>
    <cellStyle name="Обычный 2 2 2" xfId="44"/>
    <cellStyle name="Обычный 2 3" xfId="31"/>
    <cellStyle name="Обычный 2 3 2" xfId="37"/>
    <cellStyle name="Обычный 2 4" xfId="41"/>
    <cellStyle name="Обычный 2_классификация" xfId="10"/>
    <cellStyle name="Обычный 3" xfId="11"/>
    <cellStyle name="Обычный 3 2" xfId="12"/>
    <cellStyle name="Обычный 3 3" xfId="45"/>
    <cellStyle name="Обычный 3 4" xfId="51"/>
    <cellStyle name="Обычный 4" xfId="13"/>
    <cellStyle name="Обычный 5" xfId="39"/>
    <cellStyle name="Обычный 5 2" xfId="40"/>
    <cellStyle name="Обычный 5 2 2" xfId="43"/>
    <cellStyle name="Обычный 5 2 2 2" xfId="47"/>
    <cellStyle name="Обычный 5 2 2 3" xfId="50"/>
    <cellStyle name="Обычный 5 2 2 4" xfId="53"/>
    <cellStyle name="Обычный 5 2 2 4 2" xfId="55"/>
    <cellStyle name="Обычный 6" xfId="42"/>
    <cellStyle name="Обычный 6 2" xfId="48"/>
    <cellStyle name="Обычный 6 3" xfId="49"/>
    <cellStyle name="Обычный 6 4" xfId="52"/>
    <cellStyle name="Обычный 6 4 2" xfId="54"/>
    <cellStyle name="Обычный_3 и 4 2012 г" xfId="7"/>
    <cellStyle name="Обычный_pril k resh_07092011" xfId="8"/>
    <cellStyle name="Обычный_Бюджет 2007" xfId="27"/>
    <cellStyle name="Обычный_Исполнение бюджета 2 квартал ПЕЧАТЬ" xfId="28"/>
    <cellStyle name="Обычный_классификация" xfId="3"/>
    <cellStyle name="Обычный_прил 12_pril181_01062011" xfId="6"/>
    <cellStyle name="Обычный_прил 12_pril181_01062011 2" xfId="29"/>
    <cellStyle name="Обычный_прил 12_pril181_01062011 2 2" xfId="35"/>
    <cellStyle name="Обычный_прил 12_pril181_01062011 3" xfId="32"/>
    <cellStyle name="Обычный_Приложения 1-9 к бюджету 2007 Поправка" xfId="5"/>
    <cellStyle name="Обычный_Приложения 9-15" xfId="14"/>
    <cellStyle name="Процентный 2" xfId="15"/>
    <cellStyle name="Процентный 2 2" xfId="16"/>
    <cellStyle name="Процентный 3" xfId="38"/>
    <cellStyle name="Тысячи [0]_Лист1" xfId="17"/>
    <cellStyle name="Тысячи_Лист1" xfId="18"/>
    <cellStyle name="Финансовый" xfId="1" builtinId="3"/>
    <cellStyle name="Финансовый 2" xfId="19"/>
    <cellStyle name="Финансовый 2 10" xfId="20"/>
    <cellStyle name="Финансовый 2 11" xfId="21"/>
    <cellStyle name="Финансовый 2 8" xfId="22"/>
    <cellStyle name="Финансовый 2 9" xfId="23"/>
    <cellStyle name="Финансовый 3" xfId="24"/>
    <cellStyle name="Финансовый 4" xfId="25"/>
    <cellStyle name="Финансовый 4 2" xfId="34"/>
    <cellStyle name="Финансовый 5" xfId="46"/>
    <cellStyle name="Финансовый_3 и 4 2012 г" xfId="2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122"/>
  <sheetViews>
    <sheetView view="pageBreakPreview" topLeftCell="A88" zoomScale="60" zoomScaleNormal="75" workbookViewId="0">
      <selection activeCell="AC112" sqref="AC112"/>
    </sheetView>
  </sheetViews>
  <sheetFormatPr defaultColWidth="9.1796875" defaultRowHeight="15.5" x14ac:dyDescent="0.35"/>
  <cols>
    <col min="1" max="2" width="9.1796875" style="547" customWidth="1"/>
    <col min="3" max="3" width="15.54296875" style="547" customWidth="1"/>
    <col min="4" max="5" width="9.1796875" style="547" customWidth="1"/>
    <col min="6" max="6" width="19" style="547" customWidth="1"/>
    <col min="7" max="7" width="15.453125" style="547" customWidth="1"/>
    <col min="8" max="8" width="18.26953125" style="547" customWidth="1"/>
    <col min="9" max="9" width="9.1796875" style="547" customWidth="1"/>
    <col min="10" max="10" width="26.453125" style="547" customWidth="1"/>
    <col min="11" max="11" width="9.1796875" style="443" customWidth="1"/>
    <col min="12" max="12" width="5.81640625" style="443" customWidth="1"/>
    <col min="13" max="16" width="17.453125" style="875" hidden="1" customWidth="1"/>
    <col min="17" max="17" width="18.26953125" style="549" hidden="1" customWidth="1"/>
    <col min="18" max="18" width="9.1796875" style="547" hidden="1" customWidth="1"/>
    <col min="19" max="19" width="17.1796875" style="547" hidden="1" customWidth="1"/>
    <col min="20" max="20" width="4.26953125" style="547" hidden="1" customWidth="1"/>
    <col min="21" max="21" width="17.1796875" style="547" hidden="1" customWidth="1"/>
    <col min="22" max="23" width="14.81640625" style="547" customWidth="1"/>
    <col min="24" max="255" width="9.1796875" style="547"/>
    <col min="256" max="257" width="9.1796875" style="547" customWidth="1"/>
    <col min="258" max="258" width="15.54296875" style="547" customWidth="1"/>
    <col min="259" max="260" width="9.1796875" style="547" customWidth="1"/>
    <col min="261" max="261" width="19" style="547" customWidth="1"/>
    <col min="262" max="262" width="15.453125" style="547" customWidth="1"/>
    <col min="263" max="263" width="18.26953125" style="547" customWidth="1"/>
    <col min="264" max="264" width="9.1796875" style="547" customWidth="1"/>
    <col min="265" max="265" width="26.453125" style="547" customWidth="1"/>
    <col min="266" max="266" width="9.1796875" style="547" customWidth="1"/>
    <col min="267" max="267" width="7.54296875" style="547" customWidth="1"/>
    <col min="268" max="276" width="0" style="547" hidden="1" customWidth="1"/>
    <col min="277" max="277" width="9.1796875" style="547" customWidth="1"/>
    <col min="278" max="278" width="21" style="547" customWidth="1"/>
    <col min="279" max="511" width="9.1796875" style="547"/>
    <col min="512" max="513" width="9.1796875" style="547" customWidth="1"/>
    <col min="514" max="514" width="15.54296875" style="547" customWidth="1"/>
    <col min="515" max="516" width="9.1796875" style="547" customWidth="1"/>
    <col min="517" max="517" width="19" style="547" customWidth="1"/>
    <col min="518" max="518" width="15.453125" style="547" customWidth="1"/>
    <col min="519" max="519" width="18.26953125" style="547" customWidth="1"/>
    <col min="520" max="520" width="9.1796875" style="547" customWidth="1"/>
    <col min="521" max="521" width="26.453125" style="547" customWidth="1"/>
    <col min="522" max="522" width="9.1796875" style="547" customWidth="1"/>
    <col min="523" max="523" width="7.54296875" style="547" customWidth="1"/>
    <col min="524" max="532" width="0" style="547" hidden="1" customWidth="1"/>
    <col min="533" max="533" width="9.1796875" style="547" customWidth="1"/>
    <col min="534" max="534" width="21" style="547" customWidth="1"/>
    <col min="535" max="767" width="9.1796875" style="547"/>
    <col min="768" max="769" width="9.1796875" style="547" customWidth="1"/>
    <col min="770" max="770" width="15.54296875" style="547" customWidth="1"/>
    <col min="771" max="772" width="9.1796875" style="547" customWidth="1"/>
    <col min="773" max="773" width="19" style="547" customWidth="1"/>
    <col min="774" max="774" width="15.453125" style="547" customWidth="1"/>
    <col min="775" max="775" width="18.26953125" style="547" customWidth="1"/>
    <col min="776" max="776" width="9.1796875" style="547" customWidth="1"/>
    <col min="777" max="777" width="26.453125" style="547" customWidth="1"/>
    <col min="778" max="778" width="9.1796875" style="547" customWidth="1"/>
    <col min="779" max="779" width="7.54296875" style="547" customWidth="1"/>
    <col min="780" max="788" width="0" style="547" hidden="1" customWidth="1"/>
    <col min="789" max="789" width="9.1796875" style="547" customWidth="1"/>
    <col min="790" max="790" width="21" style="547" customWidth="1"/>
    <col min="791" max="1023" width="9.1796875" style="547"/>
    <col min="1024" max="1025" width="9.1796875" style="547" customWidth="1"/>
    <col min="1026" max="1026" width="15.54296875" style="547" customWidth="1"/>
    <col min="1027" max="1028" width="9.1796875" style="547" customWidth="1"/>
    <col min="1029" max="1029" width="19" style="547" customWidth="1"/>
    <col min="1030" max="1030" width="15.453125" style="547" customWidth="1"/>
    <col min="1031" max="1031" width="18.26953125" style="547" customWidth="1"/>
    <col min="1032" max="1032" width="9.1796875" style="547" customWidth="1"/>
    <col min="1033" max="1033" width="26.453125" style="547" customWidth="1"/>
    <col min="1034" max="1034" width="9.1796875" style="547" customWidth="1"/>
    <col min="1035" max="1035" width="7.54296875" style="547" customWidth="1"/>
    <col min="1036" max="1044" width="0" style="547" hidden="1" customWidth="1"/>
    <col min="1045" max="1045" width="9.1796875" style="547" customWidth="1"/>
    <col min="1046" max="1046" width="21" style="547" customWidth="1"/>
    <col min="1047" max="1279" width="9.1796875" style="547"/>
    <col min="1280" max="1281" width="9.1796875" style="547" customWidth="1"/>
    <col min="1282" max="1282" width="15.54296875" style="547" customWidth="1"/>
    <col min="1283" max="1284" width="9.1796875" style="547" customWidth="1"/>
    <col min="1285" max="1285" width="19" style="547" customWidth="1"/>
    <col min="1286" max="1286" width="15.453125" style="547" customWidth="1"/>
    <col min="1287" max="1287" width="18.26953125" style="547" customWidth="1"/>
    <col min="1288" max="1288" width="9.1796875" style="547" customWidth="1"/>
    <col min="1289" max="1289" width="26.453125" style="547" customWidth="1"/>
    <col min="1290" max="1290" width="9.1796875" style="547" customWidth="1"/>
    <col min="1291" max="1291" width="7.54296875" style="547" customWidth="1"/>
    <col min="1292" max="1300" width="0" style="547" hidden="1" customWidth="1"/>
    <col min="1301" max="1301" width="9.1796875" style="547" customWidth="1"/>
    <col min="1302" max="1302" width="21" style="547" customWidth="1"/>
    <col min="1303" max="1535" width="9.1796875" style="547"/>
    <col min="1536" max="1537" width="9.1796875" style="547" customWidth="1"/>
    <col min="1538" max="1538" width="15.54296875" style="547" customWidth="1"/>
    <col min="1539" max="1540" width="9.1796875" style="547" customWidth="1"/>
    <col min="1541" max="1541" width="19" style="547" customWidth="1"/>
    <col min="1542" max="1542" width="15.453125" style="547" customWidth="1"/>
    <col min="1543" max="1543" width="18.26953125" style="547" customWidth="1"/>
    <col min="1544" max="1544" width="9.1796875" style="547" customWidth="1"/>
    <col min="1545" max="1545" width="26.453125" style="547" customWidth="1"/>
    <col min="1546" max="1546" width="9.1796875" style="547" customWidth="1"/>
    <col min="1547" max="1547" width="7.54296875" style="547" customWidth="1"/>
    <col min="1548" max="1556" width="0" style="547" hidden="1" customWidth="1"/>
    <col min="1557" max="1557" width="9.1796875" style="547" customWidth="1"/>
    <col min="1558" max="1558" width="21" style="547" customWidth="1"/>
    <col min="1559" max="1791" width="9.1796875" style="547"/>
    <col min="1792" max="1793" width="9.1796875" style="547" customWidth="1"/>
    <col min="1794" max="1794" width="15.54296875" style="547" customWidth="1"/>
    <col min="1795" max="1796" width="9.1796875" style="547" customWidth="1"/>
    <col min="1797" max="1797" width="19" style="547" customWidth="1"/>
    <col min="1798" max="1798" width="15.453125" style="547" customWidth="1"/>
    <col min="1799" max="1799" width="18.26953125" style="547" customWidth="1"/>
    <col min="1800" max="1800" width="9.1796875" style="547" customWidth="1"/>
    <col min="1801" max="1801" width="26.453125" style="547" customWidth="1"/>
    <col min="1802" max="1802" width="9.1796875" style="547" customWidth="1"/>
    <col min="1803" max="1803" width="7.54296875" style="547" customWidth="1"/>
    <col min="1804" max="1812" width="0" style="547" hidden="1" customWidth="1"/>
    <col min="1813" max="1813" width="9.1796875" style="547" customWidth="1"/>
    <col min="1814" max="1814" width="21" style="547" customWidth="1"/>
    <col min="1815" max="2047" width="9.1796875" style="547"/>
    <col min="2048" max="2049" width="9.1796875" style="547" customWidth="1"/>
    <col min="2050" max="2050" width="15.54296875" style="547" customWidth="1"/>
    <col min="2051" max="2052" width="9.1796875" style="547" customWidth="1"/>
    <col min="2053" max="2053" width="19" style="547" customWidth="1"/>
    <col min="2054" max="2054" width="15.453125" style="547" customWidth="1"/>
    <col min="2055" max="2055" width="18.26953125" style="547" customWidth="1"/>
    <col min="2056" max="2056" width="9.1796875" style="547" customWidth="1"/>
    <col min="2057" max="2057" width="26.453125" style="547" customWidth="1"/>
    <col min="2058" max="2058" width="9.1796875" style="547" customWidth="1"/>
    <col min="2059" max="2059" width="7.54296875" style="547" customWidth="1"/>
    <col min="2060" max="2068" width="0" style="547" hidden="1" customWidth="1"/>
    <col min="2069" max="2069" width="9.1796875" style="547" customWidth="1"/>
    <col min="2070" max="2070" width="21" style="547" customWidth="1"/>
    <col min="2071" max="2303" width="9.1796875" style="547"/>
    <col min="2304" max="2305" width="9.1796875" style="547" customWidth="1"/>
    <col min="2306" max="2306" width="15.54296875" style="547" customWidth="1"/>
    <col min="2307" max="2308" width="9.1796875" style="547" customWidth="1"/>
    <col min="2309" max="2309" width="19" style="547" customWidth="1"/>
    <col min="2310" max="2310" width="15.453125" style="547" customWidth="1"/>
    <col min="2311" max="2311" width="18.26953125" style="547" customWidth="1"/>
    <col min="2312" max="2312" width="9.1796875" style="547" customWidth="1"/>
    <col min="2313" max="2313" width="26.453125" style="547" customWidth="1"/>
    <col min="2314" max="2314" width="9.1796875" style="547" customWidth="1"/>
    <col min="2315" max="2315" width="7.54296875" style="547" customWidth="1"/>
    <col min="2316" max="2324" width="0" style="547" hidden="1" customWidth="1"/>
    <col min="2325" max="2325" width="9.1796875" style="547" customWidth="1"/>
    <col min="2326" max="2326" width="21" style="547" customWidth="1"/>
    <col min="2327" max="2559" width="9.1796875" style="547"/>
    <col min="2560" max="2561" width="9.1796875" style="547" customWidth="1"/>
    <col min="2562" max="2562" width="15.54296875" style="547" customWidth="1"/>
    <col min="2563" max="2564" width="9.1796875" style="547" customWidth="1"/>
    <col min="2565" max="2565" width="19" style="547" customWidth="1"/>
    <col min="2566" max="2566" width="15.453125" style="547" customWidth="1"/>
    <col min="2567" max="2567" width="18.26953125" style="547" customWidth="1"/>
    <col min="2568" max="2568" width="9.1796875" style="547" customWidth="1"/>
    <col min="2569" max="2569" width="26.453125" style="547" customWidth="1"/>
    <col min="2570" max="2570" width="9.1796875" style="547" customWidth="1"/>
    <col min="2571" max="2571" width="7.54296875" style="547" customWidth="1"/>
    <col min="2572" max="2580" width="0" style="547" hidden="1" customWidth="1"/>
    <col min="2581" max="2581" width="9.1796875" style="547" customWidth="1"/>
    <col min="2582" max="2582" width="21" style="547" customWidth="1"/>
    <col min="2583" max="2815" width="9.1796875" style="547"/>
    <col min="2816" max="2817" width="9.1796875" style="547" customWidth="1"/>
    <col min="2818" max="2818" width="15.54296875" style="547" customWidth="1"/>
    <col min="2819" max="2820" width="9.1796875" style="547" customWidth="1"/>
    <col min="2821" max="2821" width="19" style="547" customWidth="1"/>
    <col min="2822" max="2822" width="15.453125" style="547" customWidth="1"/>
    <col min="2823" max="2823" width="18.26953125" style="547" customWidth="1"/>
    <col min="2824" max="2824" width="9.1796875" style="547" customWidth="1"/>
    <col min="2825" max="2825" width="26.453125" style="547" customWidth="1"/>
    <col min="2826" max="2826" width="9.1796875" style="547" customWidth="1"/>
    <col min="2827" max="2827" width="7.54296875" style="547" customWidth="1"/>
    <col min="2828" max="2836" width="0" style="547" hidden="1" customWidth="1"/>
    <col min="2837" max="2837" width="9.1796875" style="547" customWidth="1"/>
    <col min="2838" max="2838" width="21" style="547" customWidth="1"/>
    <col min="2839" max="3071" width="9.1796875" style="547"/>
    <col min="3072" max="3073" width="9.1796875" style="547" customWidth="1"/>
    <col min="3074" max="3074" width="15.54296875" style="547" customWidth="1"/>
    <col min="3075" max="3076" width="9.1796875" style="547" customWidth="1"/>
    <col min="3077" max="3077" width="19" style="547" customWidth="1"/>
    <col min="3078" max="3078" width="15.453125" style="547" customWidth="1"/>
    <col min="3079" max="3079" width="18.26953125" style="547" customWidth="1"/>
    <col min="3080" max="3080" width="9.1796875" style="547" customWidth="1"/>
    <col min="3081" max="3081" width="26.453125" style="547" customWidth="1"/>
    <col min="3082" max="3082" width="9.1796875" style="547" customWidth="1"/>
    <col min="3083" max="3083" width="7.54296875" style="547" customWidth="1"/>
    <col min="3084" max="3092" width="0" style="547" hidden="1" customWidth="1"/>
    <col min="3093" max="3093" width="9.1796875" style="547" customWidth="1"/>
    <col min="3094" max="3094" width="21" style="547" customWidth="1"/>
    <col min="3095" max="3327" width="9.1796875" style="547"/>
    <col min="3328" max="3329" width="9.1796875" style="547" customWidth="1"/>
    <col min="3330" max="3330" width="15.54296875" style="547" customWidth="1"/>
    <col min="3331" max="3332" width="9.1796875" style="547" customWidth="1"/>
    <col min="3333" max="3333" width="19" style="547" customWidth="1"/>
    <col min="3334" max="3334" width="15.453125" style="547" customWidth="1"/>
    <col min="3335" max="3335" width="18.26953125" style="547" customWidth="1"/>
    <col min="3336" max="3336" width="9.1796875" style="547" customWidth="1"/>
    <col min="3337" max="3337" width="26.453125" style="547" customWidth="1"/>
    <col min="3338" max="3338" width="9.1796875" style="547" customWidth="1"/>
    <col min="3339" max="3339" width="7.54296875" style="547" customWidth="1"/>
    <col min="3340" max="3348" width="0" style="547" hidden="1" customWidth="1"/>
    <col min="3349" max="3349" width="9.1796875" style="547" customWidth="1"/>
    <col min="3350" max="3350" width="21" style="547" customWidth="1"/>
    <col min="3351" max="3583" width="9.1796875" style="547"/>
    <col min="3584" max="3585" width="9.1796875" style="547" customWidth="1"/>
    <col min="3586" max="3586" width="15.54296875" style="547" customWidth="1"/>
    <col min="3587" max="3588" width="9.1796875" style="547" customWidth="1"/>
    <col min="3589" max="3589" width="19" style="547" customWidth="1"/>
    <col min="3590" max="3590" width="15.453125" style="547" customWidth="1"/>
    <col min="3591" max="3591" width="18.26953125" style="547" customWidth="1"/>
    <col min="3592" max="3592" width="9.1796875" style="547" customWidth="1"/>
    <col min="3593" max="3593" width="26.453125" style="547" customWidth="1"/>
    <col min="3594" max="3594" width="9.1796875" style="547" customWidth="1"/>
    <col min="3595" max="3595" width="7.54296875" style="547" customWidth="1"/>
    <col min="3596" max="3604" width="0" style="547" hidden="1" customWidth="1"/>
    <col min="3605" max="3605" width="9.1796875" style="547" customWidth="1"/>
    <col min="3606" max="3606" width="21" style="547" customWidth="1"/>
    <col min="3607" max="3839" width="9.1796875" style="547"/>
    <col min="3840" max="3841" width="9.1796875" style="547" customWidth="1"/>
    <col min="3842" max="3842" width="15.54296875" style="547" customWidth="1"/>
    <col min="3843" max="3844" width="9.1796875" style="547" customWidth="1"/>
    <col min="3845" max="3845" width="19" style="547" customWidth="1"/>
    <col min="3846" max="3846" width="15.453125" style="547" customWidth="1"/>
    <col min="3847" max="3847" width="18.26953125" style="547" customWidth="1"/>
    <col min="3848" max="3848" width="9.1796875" style="547" customWidth="1"/>
    <col min="3849" max="3849" width="26.453125" style="547" customWidth="1"/>
    <col min="3850" max="3850" width="9.1796875" style="547" customWidth="1"/>
    <col min="3851" max="3851" width="7.54296875" style="547" customWidth="1"/>
    <col min="3852" max="3860" width="0" style="547" hidden="1" customWidth="1"/>
    <col min="3861" max="3861" width="9.1796875" style="547" customWidth="1"/>
    <col min="3862" max="3862" width="21" style="547" customWidth="1"/>
    <col min="3863" max="4095" width="9.1796875" style="547"/>
    <col min="4096" max="4097" width="9.1796875" style="547" customWidth="1"/>
    <col min="4098" max="4098" width="15.54296875" style="547" customWidth="1"/>
    <col min="4099" max="4100" width="9.1796875" style="547" customWidth="1"/>
    <col min="4101" max="4101" width="19" style="547" customWidth="1"/>
    <col min="4102" max="4102" width="15.453125" style="547" customWidth="1"/>
    <col min="4103" max="4103" width="18.26953125" style="547" customWidth="1"/>
    <col min="4104" max="4104" width="9.1796875" style="547" customWidth="1"/>
    <col min="4105" max="4105" width="26.453125" style="547" customWidth="1"/>
    <col min="4106" max="4106" width="9.1796875" style="547" customWidth="1"/>
    <col min="4107" max="4107" width="7.54296875" style="547" customWidth="1"/>
    <col min="4108" max="4116" width="0" style="547" hidden="1" customWidth="1"/>
    <col min="4117" max="4117" width="9.1796875" style="547" customWidth="1"/>
    <col min="4118" max="4118" width="21" style="547" customWidth="1"/>
    <col min="4119" max="4351" width="9.1796875" style="547"/>
    <col min="4352" max="4353" width="9.1796875" style="547" customWidth="1"/>
    <col min="4354" max="4354" width="15.54296875" style="547" customWidth="1"/>
    <col min="4355" max="4356" width="9.1796875" style="547" customWidth="1"/>
    <col min="4357" max="4357" width="19" style="547" customWidth="1"/>
    <col min="4358" max="4358" width="15.453125" style="547" customWidth="1"/>
    <col min="4359" max="4359" width="18.26953125" style="547" customWidth="1"/>
    <col min="4360" max="4360" width="9.1796875" style="547" customWidth="1"/>
    <col min="4361" max="4361" width="26.453125" style="547" customWidth="1"/>
    <col min="4362" max="4362" width="9.1796875" style="547" customWidth="1"/>
    <col min="4363" max="4363" width="7.54296875" style="547" customWidth="1"/>
    <col min="4364" max="4372" width="0" style="547" hidden="1" customWidth="1"/>
    <col min="4373" max="4373" width="9.1796875" style="547" customWidth="1"/>
    <col min="4374" max="4374" width="21" style="547" customWidth="1"/>
    <col min="4375" max="4607" width="9.1796875" style="547"/>
    <col min="4608" max="4609" width="9.1796875" style="547" customWidth="1"/>
    <col min="4610" max="4610" width="15.54296875" style="547" customWidth="1"/>
    <col min="4611" max="4612" width="9.1796875" style="547" customWidth="1"/>
    <col min="4613" max="4613" width="19" style="547" customWidth="1"/>
    <col min="4614" max="4614" width="15.453125" style="547" customWidth="1"/>
    <col min="4615" max="4615" width="18.26953125" style="547" customWidth="1"/>
    <col min="4616" max="4616" width="9.1796875" style="547" customWidth="1"/>
    <col min="4617" max="4617" width="26.453125" style="547" customWidth="1"/>
    <col min="4618" max="4618" width="9.1796875" style="547" customWidth="1"/>
    <col min="4619" max="4619" width="7.54296875" style="547" customWidth="1"/>
    <col min="4620" max="4628" width="0" style="547" hidden="1" customWidth="1"/>
    <col min="4629" max="4629" width="9.1796875" style="547" customWidth="1"/>
    <col min="4630" max="4630" width="21" style="547" customWidth="1"/>
    <col min="4631" max="4863" width="9.1796875" style="547"/>
    <col min="4864" max="4865" width="9.1796875" style="547" customWidth="1"/>
    <col min="4866" max="4866" width="15.54296875" style="547" customWidth="1"/>
    <col min="4867" max="4868" width="9.1796875" style="547" customWidth="1"/>
    <col min="4869" max="4869" width="19" style="547" customWidth="1"/>
    <col min="4870" max="4870" width="15.453125" style="547" customWidth="1"/>
    <col min="4871" max="4871" width="18.26953125" style="547" customWidth="1"/>
    <col min="4872" max="4872" width="9.1796875" style="547" customWidth="1"/>
    <col min="4873" max="4873" width="26.453125" style="547" customWidth="1"/>
    <col min="4874" max="4874" width="9.1796875" style="547" customWidth="1"/>
    <col min="4875" max="4875" width="7.54296875" style="547" customWidth="1"/>
    <col min="4876" max="4884" width="0" style="547" hidden="1" customWidth="1"/>
    <col min="4885" max="4885" width="9.1796875" style="547" customWidth="1"/>
    <col min="4886" max="4886" width="21" style="547" customWidth="1"/>
    <col min="4887" max="5119" width="9.1796875" style="547"/>
    <col min="5120" max="5121" width="9.1796875" style="547" customWidth="1"/>
    <col min="5122" max="5122" width="15.54296875" style="547" customWidth="1"/>
    <col min="5123" max="5124" width="9.1796875" style="547" customWidth="1"/>
    <col min="5125" max="5125" width="19" style="547" customWidth="1"/>
    <col min="5126" max="5126" width="15.453125" style="547" customWidth="1"/>
    <col min="5127" max="5127" width="18.26953125" style="547" customWidth="1"/>
    <col min="5128" max="5128" width="9.1796875" style="547" customWidth="1"/>
    <col min="5129" max="5129" width="26.453125" style="547" customWidth="1"/>
    <col min="5130" max="5130" width="9.1796875" style="547" customWidth="1"/>
    <col min="5131" max="5131" width="7.54296875" style="547" customWidth="1"/>
    <col min="5132" max="5140" width="0" style="547" hidden="1" customWidth="1"/>
    <col min="5141" max="5141" width="9.1796875" style="547" customWidth="1"/>
    <col min="5142" max="5142" width="21" style="547" customWidth="1"/>
    <col min="5143" max="5375" width="9.1796875" style="547"/>
    <col min="5376" max="5377" width="9.1796875" style="547" customWidth="1"/>
    <col min="5378" max="5378" width="15.54296875" style="547" customWidth="1"/>
    <col min="5379" max="5380" width="9.1796875" style="547" customWidth="1"/>
    <col min="5381" max="5381" width="19" style="547" customWidth="1"/>
    <col min="5382" max="5382" width="15.453125" style="547" customWidth="1"/>
    <col min="5383" max="5383" width="18.26953125" style="547" customWidth="1"/>
    <col min="5384" max="5384" width="9.1796875" style="547" customWidth="1"/>
    <col min="5385" max="5385" width="26.453125" style="547" customWidth="1"/>
    <col min="5386" max="5386" width="9.1796875" style="547" customWidth="1"/>
    <col min="5387" max="5387" width="7.54296875" style="547" customWidth="1"/>
    <col min="5388" max="5396" width="0" style="547" hidden="1" customWidth="1"/>
    <col min="5397" max="5397" width="9.1796875" style="547" customWidth="1"/>
    <col min="5398" max="5398" width="21" style="547" customWidth="1"/>
    <col min="5399" max="5631" width="9.1796875" style="547"/>
    <col min="5632" max="5633" width="9.1796875" style="547" customWidth="1"/>
    <col min="5634" max="5634" width="15.54296875" style="547" customWidth="1"/>
    <col min="5635" max="5636" width="9.1796875" style="547" customWidth="1"/>
    <col min="5637" max="5637" width="19" style="547" customWidth="1"/>
    <col min="5638" max="5638" width="15.453125" style="547" customWidth="1"/>
    <col min="5639" max="5639" width="18.26953125" style="547" customWidth="1"/>
    <col min="5640" max="5640" width="9.1796875" style="547" customWidth="1"/>
    <col min="5641" max="5641" width="26.453125" style="547" customWidth="1"/>
    <col min="5642" max="5642" width="9.1796875" style="547" customWidth="1"/>
    <col min="5643" max="5643" width="7.54296875" style="547" customWidth="1"/>
    <col min="5644" max="5652" width="0" style="547" hidden="1" customWidth="1"/>
    <col min="5653" max="5653" width="9.1796875" style="547" customWidth="1"/>
    <col min="5654" max="5654" width="21" style="547" customWidth="1"/>
    <col min="5655" max="5887" width="9.1796875" style="547"/>
    <col min="5888" max="5889" width="9.1796875" style="547" customWidth="1"/>
    <col min="5890" max="5890" width="15.54296875" style="547" customWidth="1"/>
    <col min="5891" max="5892" width="9.1796875" style="547" customWidth="1"/>
    <col min="5893" max="5893" width="19" style="547" customWidth="1"/>
    <col min="5894" max="5894" width="15.453125" style="547" customWidth="1"/>
    <col min="5895" max="5895" width="18.26953125" style="547" customWidth="1"/>
    <col min="5896" max="5896" width="9.1796875" style="547" customWidth="1"/>
    <col min="5897" max="5897" width="26.453125" style="547" customWidth="1"/>
    <col min="5898" max="5898" width="9.1796875" style="547" customWidth="1"/>
    <col min="5899" max="5899" width="7.54296875" style="547" customWidth="1"/>
    <col min="5900" max="5908" width="0" style="547" hidden="1" customWidth="1"/>
    <col min="5909" max="5909" width="9.1796875" style="547" customWidth="1"/>
    <col min="5910" max="5910" width="21" style="547" customWidth="1"/>
    <col min="5911" max="6143" width="9.1796875" style="547"/>
    <col min="6144" max="6145" width="9.1796875" style="547" customWidth="1"/>
    <col min="6146" max="6146" width="15.54296875" style="547" customWidth="1"/>
    <col min="6147" max="6148" width="9.1796875" style="547" customWidth="1"/>
    <col min="6149" max="6149" width="19" style="547" customWidth="1"/>
    <col min="6150" max="6150" width="15.453125" style="547" customWidth="1"/>
    <col min="6151" max="6151" width="18.26953125" style="547" customWidth="1"/>
    <col min="6152" max="6152" width="9.1796875" style="547" customWidth="1"/>
    <col min="6153" max="6153" width="26.453125" style="547" customWidth="1"/>
    <col min="6154" max="6154" width="9.1796875" style="547" customWidth="1"/>
    <col min="6155" max="6155" width="7.54296875" style="547" customWidth="1"/>
    <col min="6156" max="6164" width="0" style="547" hidden="1" customWidth="1"/>
    <col min="6165" max="6165" width="9.1796875" style="547" customWidth="1"/>
    <col min="6166" max="6166" width="21" style="547" customWidth="1"/>
    <col min="6167" max="6399" width="9.1796875" style="547"/>
    <col min="6400" max="6401" width="9.1796875" style="547" customWidth="1"/>
    <col min="6402" max="6402" width="15.54296875" style="547" customWidth="1"/>
    <col min="6403" max="6404" width="9.1796875" style="547" customWidth="1"/>
    <col min="6405" max="6405" width="19" style="547" customWidth="1"/>
    <col min="6406" max="6406" width="15.453125" style="547" customWidth="1"/>
    <col min="6407" max="6407" width="18.26953125" style="547" customWidth="1"/>
    <col min="6408" max="6408" width="9.1796875" style="547" customWidth="1"/>
    <col min="6409" max="6409" width="26.453125" style="547" customWidth="1"/>
    <col min="6410" max="6410" width="9.1796875" style="547" customWidth="1"/>
    <col min="6411" max="6411" width="7.54296875" style="547" customWidth="1"/>
    <col min="6412" max="6420" width="0" style="547" hidden="1" customWidth="1"/>
    <col min="6421" max="6421" width="9.1796875" style="547" customWidth="1"/>
    <col min="6422" max="6422" width="21" style="547" customWidth="1"/>
    <col min="6423" max="6655" width="9.1796875" style="547"/>
    <col min="6656" max="6657" width="9.1796875" style="547" customWidth="1"/>
    <col min="6658" max="6658" width="15.54296875" style="547" customWidth="1"/>
    <col min="6659" max="6660" width="9.1796875" style="547" customWidth="1"/>
    <col min="6661" max="6661" width="19" style="547" customWidth="1"/>
    <col min="6662" max="6662" width="15.453125" style="547" customWidth="1"/>
    <col min="6663" max="6663" width="18.26953125" style="547" customWidth="1"/>
    <col min="6664" max="6664" width="9.1796875" style="547" customWidth="1"/>
    <col min="6665" max="6665" width="26.453125" style="547" customWidth="1"/>
    <col min="6666" max="6666" width="9.1796875" style="547" customWidth="1"/>
    <col min="6667" max="6667" width="7.54296875" style="547" customWidth="1"/>
    <col min="6668" max="6676" width="0" style="547" hidden="1" customWidth="1"/>
    <col min="6677" max="6677" width="9.1796875" style="547" customWidth="1"/>
    <col min="6678" max="6678" width="21" style="547" customWidth="1"/>
    <col min="6679" max="6911" width="9.1796875" style="547"/>
    <col min="6912" max="6913" width="9.1796875" style="547" customWidth="1"/>
    <col min="6914" max="6914" width="15.54296875" style="547" customWidth="1"/>
    <col min="6915" max="6916" width="9.1796875" style="547" customWidth="1"/>
    <col min="6917" max="6917" width="19" style="547" customWidth="1"/>
    <col min="6918" max="6918" width="15.453125" style="547" customWidth="1"/>
    <col min="6919" max="6919" width="18.26953125" style="547" customWidth="1"/>
    <col min="6920" max="6920" width="9.1796875" style="547" customWidth="1"/>
    <col min="6921" max="6921" width="26.453125" style="547" customWidth="1"/>
    <col min="6922" max="6922" width="9.1796875" style="547" customWidth="1"/>
    <col min="6923" max="6923" width="7.54296875" style="547" customWidth="1"/>
    <col min="6924" max="6932" width="0" style="547" hidden="1" customWidth="1"/>
    <col min="6933" max="6933" width="9.1796875" style="547" customWidth="1"/>
    <col min="6934" max="6934" width="21" style="547" customWidth="1"/>
    <col min="6935" max="7167" width="9.1796875" style="547"/>
    <col min="7168" max="7169" width="9.1796875" style="547" customWidth="1"/>
    <col min="7170" max="7170" width="15.54296875" style="547" customWidth="1"/>
    <col min="7171" max="7172" width="9.1796875" style="547" customWidth="1"/>
    <col min="7173" max="7173" width="19" style="547" customWidth="1"/>
    <col min="7174" max="7174" width="15.453125" style="547" customWidth="1"/>
    <col min="7175" max="7175" width="18.26953125" style="547" customWidth="1"/>
    <col min="7176" max="7176" width="9.1796875" style="547" customWidth="1"/>
    <col min="7177" max="7177" width="26.453125" style="547" customWidth="1"/>
    <col min="7178" max="7178" width="9.1796875" style="547" customWidth="1"/>
    <col min="7179" max="7179" width="7.54296875" style="547" customWidth="1"/>
    <col min="7180" max="7188" width="0" style="547" hidden="1" customWidth="1"/>
    <col min="7189" max="7189" width="9.1796875" style="547" customWidth="1"/>
    <col min="7190" max="7190" width="21" style="547" customWidth="1"/>
    <col min="7191" max="7423" width="9.1796875" style="547"/>
    <col min="7424" max="7425" width="9.1796875" style="547" customWidth="1"/>
    <col min="7426" max="7426" width="15.54296875" style="547" customWidth="1"/>
    <col min="7427" max="7428" width="9.1796875" style="547" customWidth="1"/>
    <col min="7429" max="7429" width="19" style="547" customWidth="1"/>
    <col min="7430" max="7430" width="15.453125" style="547" customWidth="1"/>
    <col min="7431" max="7431" width="18.26953125" style="547" customWidth="1"/>
    <col min="7432" max="7432" width="9.1796875" style="547" customWidth="1"/>
    <col min="7433" max="7433" width="26.453125" style="547" customWidth="1"/>
    <col min="7434" max="7434" width="9.1796875" style="547" customWidth="1"/>
    <col min="7435" max="7435" width="7.54296875" style="547" customWidth="1"/>
    <col min="7436" max="7444" width="0" style="547" hidden="1" customWidth="1"/>
    <col min="7445" max="7445" width="9.1796875" style="547" customWidth="1"/>
    <col min="7446" max="7446" width="21" style="547" customWidth="1"/>
    <col min="7447" max="7679" width="9.1796875" style="547"/>
    <col min="7680" max="7681" width="9.1796875" style="547" customWidth="1"/>
    <col min="7682" max="7682" width="15.54296875" style="547" customWidth="1"/>
    <col min="7683" max="7684" width="9.1796875" style="547" customWidth="1"/>
    <col min="7685" max="7685" width="19" style="547" customWidth="1"/>
    <col min="7686" max="7686" width="15.453125" style="547" customWidth="1"/>
    <col min="7687" max="7687" width="18.26953125" style="547" customWidth="1"/>
    <col min="7688" max="7688" width="9.1796875" style="547" customWidth="1"/>
    <col min="7689" max="7689" width="26.453125" style="547" customWidth="1"/>
    <col min="7690" max="7690" width="9.1796875" style="547" customWidth="1"/>
    <col min="7691" max="7691" width="7.54296875" style="547" customWidth="1"/>
    <col min="7692" max="7700" width="0" style="547" hidden="1" customWidth="1"/>
    <col min="7701" max="7701" width="9.1796875" style="547" customWidth="1"/>
    <col min="7702" max="7702" width="21" style="547" customWidth="1"/>
    <col min="7703" max="7935" width="9.1796875" style="547"/>
    <col min="7936" max="7937" width="9.1796875" style="547" customWidth="1"/>
    <col min="7938" max="7938" width="15.54296875" style="547" customWidth="1"/>
    <col min="7939" max="7940" width="9.1796875" style="547" customWidth="1"/>
    <col min="7941" max="7941" width="19" style="547" customWidth="1"/>
    <col min="7942" max="7942" width="15.453125" style="547" customWidth="1"/>
    <col min="7943" max="7943" width="18.26953125" style="547" customWidth="1"/>
    <col min="7944" max="7944" width="9.1796875" style="547" customWidth="1"/>
    <col min="7945" max="7945" width="26.453125" style="547" customWidth="1"/>
    <col min="7946" max="7946" width="9.1796875" style="547" customWidth="1"/>
    <col min="7947" max="7947" width="7.54296875" style="547" customWidth="1"/>
    <col min="7948" max="7956" width="0" style="547" hidden="1" customWidth="1"/>
    <col min="7957" max="7957" width="9.1796875" style="547" customWidth="1"/>
    <col min="7958" max="7958" width="21" style="547" customWidth="1"/>
    <col min="7959" max="8191" width="9.1796875" style="547"/>
    <col min="8192" max="8193" width="9.1796875" style="547" customWidth="1"/>
    <col min="8194" max="8194" width="15.54296875" style="547" customWidth="1"/>
    <col min="8195" max="8196" width="9.1796875" style="547" customWidth="1"/>
    <col min="8197" max="8197" width="19" style="547" customWidth="1"/>
    <col min="8198" max="8198" width="15.453125" style="547" customWidth="1"/>
    <col min="8199" max="8199" width="18.26953125" style="547" customWidth="1"/>
    <col min="8200" max="8200" width="9.1796875" style="547" customWidth="1"/>
    <col min="8201" max="8201" width="26.453125" style="547" customWidth="1"/>
    <col min="8202" max="8202" width="9.1796875" style="547" customWidth="1"/>
    <col min="8203" max="8203" width="7.54296875" style="547" customWidth="1"/>
    <col min="8204" max="8212" width="0" style="547" hidden="1" customWidth="1"/>
    <col min="8213" max="8213" width="9.1796875" style="547" customWidth="1"/>
    <col min="8214" max="8214" width="21" style="547" customWidth="1"/>
    <col min="8215" max="8447" width="9.1796875" style="547"/>
    <col min="8448" max="8449" width="9.1796875" style="547" customWidth="1"/>
    <col min="8450" max="8450" width="15.54296875" style="547" customWidth="1"/>
    <col min="8451" max="8452" width="9.1796875" style="547" customWidth="1"/>
    <col min="8453" max="8453" width="19" style="547" customWidth="1"/>
    <col min="8454" max="8454" width="15.453125" style="547" customWidth="1"/>
    <col min="8455" max="8455" width="18.26953125" style="547" customWidth="1"/>
    <col min="8456" max="8456" width="9.1796875" style="547" customWidth="1"/>
    <col min="8457" max="8457" width="26.453125" style="547" customWidth="1"/>
    <col min="8458" max="8458" width="9.1796875" style="547" customWidth="1"/>
    <col min="8459" max="8459" width="7.54296875" style="547" customWidth="1"/>
    <col min="8460" max="8468" width="0" style="547" hidden="1" customWidth="1"/>
    <col min="8469" max="8469" width="9.1796875" style="547" customWidth="1"/>
    <col min="8470" max="8470" width="21" style="547" customWidth="1"/>
    <col min="8471" max="8703" width="9.1796875" style="547"/>
    <col min="8704" max="8705" width="9.1796875" style="547" customWidth="1"/>
    <col min="8706" max="8706" width="15.54296875" style="547" customWidth="1"/>
    <col min="8707" max="8708" width="9.1796875" style="547" customWidth="1"/>
    <col min="8709" max="8709" width="19" style="547" customWidth="1"/>
    <col min="8710" max="8710" width="15.453125" style="547" customWidth="1"/>
    <col min="8711" max="8711" width="18.26953125" style="547" customWidth="1"/>
    <col min="8712" max="8712" width="9.1796875" style="547" customWidth="1"/>
    <col min="8713" max="8713" width="26.453125" style="547" customWidth="1"/>
    <col min="8714" max="8714" width="9.1796875" style="547" customWidth="1"/>
    <col min="8715" max="8715" width="7.54296875" style="547" customWidth="1"/>
    <col min="8716" max="8724" width="0" style="547" hidden="1" customWidth="1"/>
    <col min="8725" max="8725" width="9.1796875" style="547" customWidth="1"/>
    <col min="8726" max="8726" width="21" style="547" customWidth="1"/>
    <col min="8727" max="8959" width="9.1796875" style="547"/>
    <col min="8960" max="8961" width="9.1796875" style="547" customWidth="1"/>
    <col min="8962" max="8962" width="15.54296875" style="547" customWidth="1"/>
    <col min="8963" max="8964" width="9.1796875" style="547" customWidth="1"/>
    <col min="8965" max="8965" width="19" style="547" customWidth="1"/>
    <col min="8966" max="8966" width="15.453125" style="547" customWidth="1"/>
    <col min="8967" max="8967" width="18.26953125" style="547" customWidth="1"/>
    <col min="8968" max="8968" width="9.1796875" style="547" customWidth="1"/>
    <col min="8969" max="8969" width="26.453125" style="547" customWidth="1"/>
    <col min="8970" max="8970" width="9.1796875" style="547" customWidth="1"/>
    <col min="8971" max="8971" width="7.54296875" style="547" customWidth="1"/>
    <col min="8972" max="8980" width="0" style="547" hidden="1" customWidth="1"/>
    <col min="8981" max="8981" width="9.1796875" style="547" customWidth="1"/>
    <col min="8982" max="8982" width="21" style="547" customWidth="1"/>
    <col min="8983" max="9215" width="9.1796875" style="547"/>
    <col min="9216" max="9217" width="9.1796875" style="547" customWidth="1"/>
    <col min="9218" max="9218" width="15.54296875" style="547" customWidth="1"/>
    <col min="9219" max="9220" width="9.1796875" style="547" customWidth="1"/>
    <col min="9221" max="9221" width="19" style="547" customWidth="1"/>
    <col min="9222" max="9222" width="15.453125" style="547" customWidth="1"/>
    <col min="9223" max="9223" width="18.26953125" style="547" customWidth="1"/>
    <col min="9224" max="9224" width="9.1796875" style="547" customWidth="1"/>
    <col min="9225" max="9225" width="26.453125" style="547" customWidth="1"/>
    <col min="9226" max="9226" width="9.1796875" style="547" customWidth="1"/>
    <col min="9227" max="9227" width="7.54296875" style="547" customWidth="1"/>
    <col min="9228" max="9236" width="0" style="547" hidden="1" customWidth="1"/>
    <col min="9237" max="9237" width="9.1796875" style="547" customWidth="1"/>
    <col min="9238" max="9238" width="21" style="547" customWidth="1"/>
    <col min="9239" max="9471" width="9.1796875" style="547"/>
    <col min="9472" max="9473" width="9.1796875" style="547" customWidth="1"/>
    <col min="9474" max="9474" width="15.54296875" style="547" customWidth="1"/>
    <col min="9475" max="9476" width="9.1796875" style="547" customWidth="1"/>
    <col min="9477" max="9477" width="19" style="547" customWidth="1"/>
    <col min="9478" max="9478" width="15.453125" style="547" customWidth="1"/>
    <col min="9479" max="9479" width="18.26953125" style="547" customWidth="1"/>
    <col min="9480" max="9480" width="9.1796875" style="547" customWidth="1"/>
    <col min="9481" max="9481" width="26.453125" style="547" customWidth="1"/>
    <col min="9482" max="9482" width="9.1796875" style="547" customWidth="1"/>
    <col min="9483" max="9483" width="7.54296875" style="547" customWidth="1"/>
    <col min="9484" max="9492" width="0" style="547" hidden="1" customWidth="1"/>
    <col min="9493" max="9493" width="9.1796875" style="547" customWidth="1"/>
    <col min="9494" max="9494" width="21" style="547" customWidth="1"/>
    <col min="9495" max="9727" width="9.1796875" style="547"/>
    <col min="9728" max="9729" width="9.1796875" style="547" customWidth="1"/>
    <col min="9730" max="9730" width="15.54296875" style="547" customWidth="1"/>
    <col min="9731" max="9732" width="9.1796875" style="547" customWidth="1"/>
    <col min="9733" max="9733" width="19" style="547" customWidth="1"/>
    <col min="9734" max="9734" width="15.453125" style="547" customWidth="1"/>
    <col min="9735" max="9735" width="18.26953125" style="547" customWidth="1"/>
    <col min="9736" max="9736" width="9.1796875" style="547" customWidth="1"/>
    <col min="9737" max="9737" width="26.453125" style="547" customWidth="1"/>
    <col min="9738" max="9738" width="9.1796875" style="547" customWidth="1"/>
    <col min="9739" max="9739" width="7.54296875" style="547" customWidth="1"/>
    <col min="9740" max="9748" width="0" style="547" hidden="1" customWidth="1"/>
    <col min="9749" max="9749" width="9.1796875" style="547" customWidth="1"/>
    <col min="9750" max="9750" width="21" style="547" customWidth="1"/>
    <col min="9751" max="9983" width="9.1796875" style="547"/>
    <col min="9984" max="9985" width="9.1796875" style="547" customWidth="1"/>
    <col min="9986" max="9986" width="15.54296875" style="547" customWidth="1"/>
    <col min="9987" max="9988" width="9.1796875" style="547" customWidth="1"/>
    <col min="9989" max="9989" width="19" style="547" customWidth="1"/>
    <col min="9990" max="9990" width="15.453125" style="547" customWidth="1"/>
    <col min="9991" max="9991" width="18.26953125" style="547" customWidth="1"/>
    <col min="9992" max="9992" width="9.1796875" style="547" customWidth="1"/>
    <col min="9993" max="9993" width="26.453125" style="547" customWidth="1"/>
    <col min="9994" max="9994" width="9.1796875" style="547" customWidth="1"/>
    <col min="9995" max="9995" width="7.54296875" style="547" customWidth="1"/>
    <col min="9996" max="10004" width="0" style="547" hidden="1" customWidth="1"/>
    <col min="10005" max="10005" width="9.1796875" style="547" customWidth="1"/>
    <col min="10006" max="10006" width="21" style="547" customWidth="1"/>
    <col min="10007" max="10239" width="9.1796875" style="547"/>
    <col min="10240" max="10241" width="9.1796875" style="547" customWidth="1"/>
    <col min="10242" max="10242" width="15.54296875" style="547" customWidth="1"/>
    <col min="10243" max="10244" width="9.1796875" style="547" customWidth="1"/>
    <col min="10245" max="10245" width="19" style="547" customWidth="1"/>
    <col min="10246" max="10246" width="15.453125" style="547" customWidth="1"/>
    <col min="10247" max="10247" width="18.26953125" style="547" customWidth="1"/>
    <col min="10248" max="10248" width="9.1796875" style="547" customWidth="1"/>
    <col min="10249" max="10249" width="26.453125" style="547" customWidth="1"/>
    <col min="10250" max="10250" width="9.1796875" style="547" customWidth="1"/>
    <col min="10251" max="10251" width="7.54296875" style="547" customWidth="1"/>
    <col min="10252" max="10260" width="0" style="547" hidden="1" customWidth="1"/>
    <col min="10261" max="10261" width="9.1796875" style="547" customWidth="1"/>
    <col min="10262" max="10262" width="21" style="547" customWidth="1"/>
    <col min="10263" max="10495" width="9.1796875" style="547"/>
    <col min="10496" max="10497" width="9.1796875" style="547" customWidth="1"/>
    <col min="10498" max="10498" width="15.54296875" style="547" customWidth="1"/>
    <col min="10499" max="10500" width="9.1796875" style="547" customWidth="1"/>
    <col min="10501" max="10501" width="19" style="547" customWidth="1"/>
    <col min="10502" max="10502" width="15.453125" style="547" customWidth="1"/>
    <col min="10503" max="10503" width="18.26953125" style="547" customWidth="1"/>
    <col min="10504" max="10504" width="9.1796875" style="547" customWidth="1"/>
    <col min="10505" max="10505" width="26.453125" style="547" customWidth="1"/>
    <col min="10506" max="10506" width="9.1796875" style="547" customWidth="1"/>
    <col min="10507" max="10507" width="7.54296875" style="547" customWidth="1"/>
    <col min="10508" max="10516" width="0" style="547" hidden="1" customWidth="1"/>
    <col min="10517" max="10517" width="9.1796875" style="547" customWidth="1"/>
    <col min="10518" max="10518" width="21" style="547" customWidth="1"/>
    <col min="10519" max="10751" width="9.1796875" style="547"/>
    <col min="10752" max="10753" width="9.1796875" style="547" customWidth="1"/>
    <col min="10754" max="10754" width="15.54296875" style="547" customWidth="1"/>
    <col min="10755" max="10756" width="9.1796875" style="547" customWidth="1"/>
    <col min="10757" max="10757" width="19" style="547" customWidth="1"/>
    <col min="10758" max="10758" width="15.453125" style="547" customWidth="1"/>
    <col min="10759" max="10759" width="18.26953125" style="547" customWidth="1"/>
    <col min="10760" max="10760" width="9.1796875" style="547" customWidth="1"/>
    <col min="10761" max="10761" width="26.453125" style="547" customWidth="1"/>
    <col min="10762" max="10762" width="9.1796875" style="547" customWidth="1"/>
    <col min="10763" max="10763" width="7.54296875" style="547" customWidth="1"/>
    <col min="10764" max="10772" width="0" style="547" hidden="1" customWidth="1"/>
    <col min="10773" max="10773" width="9.1796875" style="547" customWidth="1"/>
    <col min="10774" max="10774" width="21" style="547" customWidth="1"/>
    <col min="10775" max="11007" width="9.1796875" style="547"/>
    <col min="11008" max="11009" width="9.1796875" style="547" customWidth="1"/>
    <col min="11010" max="11010" width="15.54296875" style="547" customWidth="1"/>
    <col min="11011" max="11012" width="9.1796875" style="547" customWidth="1"/>
    <col min="11013" max="11013" width="19" style="547" customWidth="1"/>
    <col min="11014" max="11014" width="15.453125" style="547" customWidth="1"/>
    <col min="11015" max="11015" width="18.26953125" style="547" customWidth="1"/>
    <col min="11016" max="11016" width="9.1796875" style="547" customWidth="1"/>
    <col min="11017" max="11017" width="26.453125" style="547" customWidth="1"/>
    <col min="11018" max="11018" width="9.1796875" style="547" customWidth="1"/>
    <col min="11019" max="11019" width="7.54296875" style="547" customWidth="1"/>
    <col min="11020" max="11028" width="0" style="547" hidden="1" customWidth="1"/>
    <col min="11029" max="11029" width="9.1796875" style="547" customWidth="1"/>
    <col min="11030" max="11030" width="21" style="547" customWidth="1"/>
    <col min="11031" max="11263" width="9.1796875" style="547"/>
    <col min="11264" max="11265" width="9.1796875" style="547" customWidth="1"/>
    <col min="11266" max="11266" width="15.54296875" style="547" customWidth="1"/>
    <col min="11267" max="11268" width="9.1796875" style="547" customWidth="1"/>
    <col min="11269" max="11269" width="19" style="547" customWidth="1"/>
    <col min="11270" max="11270" width="15.453125" style="547" customWidth="1"/>
    <col min="11271" max="11271" width="18.26953125" style="547" customWidth="1"/>
    <col min="11272" max="11272" width="9.1796875" style="547" customWidth="1"/>
    <col min="11273" max="11273" width="26.453125" style="547" customWidth="1"/>
    <col min="11274" max="11274" width="9.1796875" style="547" customWidth="1"/>
    <col min="11275" max="11275" width="7.54296875" style="547" customWidth="1"/>
    <col min="11276" max="11284" width="0" style="547" hidden="1" customWidth="1"/>
    <col min="11285" max="11285" width="9.1796875" style="547" customWidth="1"/>
    <col min="11286" max="11286" width="21" style="547" customWidth="1"/>
    <col min="11287" max="11519" width="9.1796875" style="547"/>
    <col min="11520" max="11521" width="9.1796875" style="547" customWidth="1"/>
    <col min="11522" max="11522" width="15.54296875" style="547" customWidth="1"/>
    <col min="11523" max="11524" width="9.1796875" style="547" customWidth="1"/>
    <col min="11525" max="11525" width="19" style="547" customWidth="1"/>
    <col min="11526" max="11526" width="15.453125" style="547" customWidth="1"/>
    <col min="11527" max="11527" width="18.26953125" style="547" customWidth="1"/>
    <col min="11528" max="11528" width="9.1796875" style="547" customWidth="1"/>
    <col min="11529" max="11529" width="26.453125" style="547" customWidth="1"/>
    <col min="11530" max="11530" width="9.1796875" style="547" customWidth="1"/>
    <col min="11531" max="11531" width="7.54296875" style="547" customWidth="1"/>
    <col min="11532" max="11540" width="0" style="547" hidden="1" customWidth="1"/>
    <col min="11541" max="11541" width="9.1796875" style="547" customWidth="1"/>
    <col min="11542" max="11542" width="21" style="547" customWidth="1"/>
    <col min="11543" max="11775" width="9.1796875" style="547"/>
    <col min="11776" max="11777" width="9.1796875" style="547" customWidth="1"/>
    <col min="11778" max="11778" width="15.54296875" style="547" customWidth="1"/>
    <col min="11779" max="11780" width="9.1796875" style="547" customWidth="1"/>
    <col min="11781" max="11781" width="19" style="547" customWidth="1"/>
    <col min="11782" max="11782" width="15.453125" style="547" customWidth="1"/>
    <col min="11783" max="11783" width="18.26953125" style="547" customWidth="1"/>
    <col min="11784" max="11784" width="9.1796875" style="547" customWidth="1"/>
    <col min="11785" max="11785" width="26.453125" style="547" customWidth="1"/>
    <col min="11786" max="11786" width="9.1796875" style="547" customWidth="1"/>
    <col min="11787" max="11787" width="7.54296875" style="547" customWidth="1"/>
    <col min="11788" max="11796" width="0" style="547" hidden="1" customWidth="1"/>
    <col min="11797" max="11797" width="9.1796875" style="547" customWidth="1"/>
    <col min="11798" max="11798" width="21" style="547" customWidth="1"/>
    <col min="11799" max="12031" width="9.1796875" style="547"/>
    <col min="12032" max="12033" width="9.1796875" style="547" customWidth="1"/>
    <col min="12034" max="12034" width="15.54296875" style="547" customWidth="1"/>
    <col min="12035" max="12036" width="9.1796875" style="547" customWidth="1"/>
    <col min="12037" max="12037" width="19" style="547" customWidth="1"/>
    <col min="12038" max="12038" width="15.453125" style="547" customWidth="1"/>
    <col min="12039" max="12039" width="18.26953125" style="547" customWidth="1"/>
    <col min="12040" max="12040" width="9.1796875" style="547" customWidth="1"/>
    <col min="12041" max="12041" width="26.453125" style="547" customWidth="1"/>
    <col min="12042" max="12042" width="9.1796875" style="547" customWidth="1"/>
    <col min="12043" max="12043" width="7.54296875" style="547" customWidth="1"/>
    <col min="12044" max="12052" width="0" style="547" hidden="1" customWidth="1"/>
    <col min="12053" max="12053" width="9.1796875" style="547" customWidth="1"/>
    <col min="12054" max="12054" width="21" style="547" customWidth="1"/>
    <col min="12055" max="12287" width="9.1796875" style="547"/>
    <col min="12288" max="12289" width="9.1796875" style="547" customWidth="1"/>
    <col min="12290" max="12290" width="15.54296875" style="547" customWidth="1"/>
    <col min="12291" max="12292" width="9.1796875" style="547" customWidth="1"/>
    <col min="12293" max="12293" width="19" style="547" customWidth="1"/>
    <col min="12294" max="12294" width="15.453125" style="547" customWidth="1"/>
    <col min="12295" max="12295" width="18.26953125" style="547" customWidth="1"/>
    <col min="12296" max="12296" width="9.1796875" style="547" customWidth="1"/>
    <col min="12297" max="12297" width="26.453125" style="547" customWidth="1"/>
    <col min="12298" max="12298" width="9.1796875" style="547" customWidth="1"/>
    <col min="12299" max="12299" width="7.54296875" style="547" customWidth="1"/>
    <col min="12300" max="12308" width="0" style="547" hidden="1" customWidth="1"/>
    <col min="12309" max="12309" width="9.1796875" style="547" customWidth="1"/>
    <col min="12310" max="12310" width="21" style="547" customWidth="1"/>
    <col min="12311" max="12543" width="9.1796875" style="547"/>
    <col min="12544" max="12545" width="9.1796875" style="547" customWidth="1"/>
    <col min="12546" max="12546" width="15.54296875" style="547" customWidth="1"/>
    <col min="12547" max="12548" width="9.1796875" style="547" customWidth="1"/>
    <col min="12549" max="12549" width="19" style="547" customWidth="1"/>
    <col min="12550" max="12550" width="15.453125" style="547" customWidth="1"/>
    <col min="12551" max="12551" width="18.26953125" style="547" customWidth="1"/>
    <col min="12552" max="12552" width="9.1796875" style="547" customWidth="1"/>
    <col min="12553" max="12553" width="26.453125" style="547" customWidth="1"/>
    <col min="12554" max="12554" width="9.1796875" style="547" customWidth="1"/>
    <col min="12555" max="12555" width="7.54296875" style="547" customWidth="1"/>
    <col min="12556" max="12564" width="0" style="547" hidden="1" customWidth="1"/>
    <col min="12565" max="12565" width="9.1796875" style="547" customWidth="1"/>
    <col min="12566" max="12566" width="21" style="547" customWidth="1"/>
    <col min="12567" max="12799" width="9.1796875" style="547"/>
    <col min="12800" max="12801" width="9.1796875" style="547" customWidth="1"/>
    <col min="12802" max="12802" width="15.54296875" style="547" customWidth="1"/>
    <col min="12803" max="12804" width="9.1796875" style="547" customWidth="1"/>
    <col min="12805" max="12805" width="19" style="547" customWidth="1"/>
    <col min="12806" max="12806" width="15.453125" style="547" customWidth="1"/>
    <col min="12807" max="12807" width="18.26953125" style="547" customWidth="1"/>
    <col min="12808" max="12808" width="9.1796875" style="547" customWidth="1"/>
    <col min="12809" max="12809" width="26.453125" style="547" customWidth="1"/>
    <col min="12810" max="12810" width="9.1796875" style="547" customWidth="1"/>
    <col min="12811" max="12811" width="7.54296875" style="547" customWidth="1"/>
    <col min="12812" max="12820" width="0" style="547" hidden="1" customWidth="1"/>
    <col min="12821" max="12821" width="9.1796875" style="547" customWidth="1"/>
    <col min="12822" max="12822" width="21" style="547" customWidth="1"/>
    <col min="12823" max="13055" width="9.1796875" style="547"/>
    <col min="13056" max="13057" width="9.1796875" style="547" customWidth="1"/>
    <col min="13058" max="13058" width="15.54296875" style="547" customWidth="1"/>
    <col min="13059" max="13060" width="9.1796875" style="547" customWidth="1"/>
    <col min="13061" max="13061" width="19" style="547" customWidth="1"/>
    <col min="13062" max="13062" width="15.453125" style="547" customWidth="1"/>
    <col min="13063" max="13063" width="18.26953125" style="547" customWidth="1"/>
    <col min="13064" max="13064" width="9.1796875" style="547" customWidth="1"/>
    <col min="13065" max="13065" width="26.453125" style="547" customWidth="1"/>
    <col min="13066" max="13066" width="9.1796875" style="547" customWidth="1"/>
    <col min="13067" max="13067" width="7.54296875" style="547" customWidth="1"/>
    <col min="13068" max="13076" width="0" style="547" hidden="1" customWidth="1"/>
    <col min="13077" max="13077" width="9.1796875" style="547" customWidth="1"/>
    <col min="13078" max="13078" width="21" style="547" customWidth="1"/>
    <col min="13079" max="13311" width="9.1796875" style="547"/>
    <col min="13312" max="13313" width="9.1796875" style="547" customWidth="1"/>
    <col min="13314" max="13314" width="15.54296875" style="547" customWidth="1"/>
    <col min="13315" max="13316" width="9.1796875" style="547" customWidth="1"/>
    <col min="13317" max="13317" width="19" style="547" customWidth="1"/>
    <col min="13318" max="13318" width="15.453125" style="547" customWidth="1"/>
    <col min="13319" max="13319" width="18.26953125" style="547" customWidth="1"/>
    <col min="13320" max="13320" width="9.1796875" style="547" customWidth="1"/>
    <col min="13321" max="13321" width="26.453125" style="547" customWidth="1"/>
    <col min="13322" max="13322" width="9.1796875" style="547" customWidth="1"/>
    <col min="13323" max="13323" width="7.54296875" style="547" customWidth="1"/>
    <col min="13324" max="13332" width="0" style="547" hidden="1" customWidth="1"/>
    <col min="13333" max="13333" width="9.1796875" style="547" customWidth="1"/>
    <col min="13334" max="13334" width="21" style="547" customWidth="1"/>
    <col min="13335" max="13567" width="9.1796875" style="547"/>
    <col min="13568" max="13569" width="9.1796875" style="547" customWidth="1"/>
    <col min="13570" max="13570" width="15.54296875" style="547" customWidth="1"/>
    <col min="13571" max="13572" width="9.1796875" style="547" customWidth="1"/>
    <col min="13573" max="13573" width="19" style="547" customWidth="1"/>
    <col min="13574" max="13574" width="15.453125" style="547" customWidth="1"/>
    <col min="13575" max="13575" width="18.26953125" style="547" customWidth="1"/>
    <col min="13576" max="13576" width="9.1796875" style="547" customWidth="1"/>
    <col min="13577" max="13577" width="26.453125" style="547" customWidth="1"/>
    <col min="13578" max="13578" width="9.1796875" style="547" customWidth="1"/>
    <col min="13579" max="13579" width="7.54296875" style="547" customWidth="1"/>
    <col min="13580" max="13588" width="0" style="547" hidden="1" customWidth="1"/>
    <col min="13589" max="13589" width="9.1796875" style="547" customWidth="1"/>
    <col min="13590" max="13590" width="21" style="547" customWidth="1"/>
    <col min="13591" max="13823" width="9.1796875" style="547"/>
    <col min="13824" max="13825" width="9.1796875" style="547" customWidth="1"/>
    <col min="13826" max="13826" width="15.54296875" style="547" customWidth="1"/>
    <col min="13827" max="13828" width="9.1796875" style="547" customWidth="1"/>
    <col min="13829" max="13829" width="19" style="547" customWidth="1"/>
    <col min="13830" max="13830" width="15.453125" style="547" customWidth="1"/>
    <col min="13831" max="13831" width="18.26953125" style="547" customWidth="1"/>
    <col min="13832" max="13832" width="9.1796875" style="547" customWidth="1"/>
    <col min="13833" max="13833" width="26.453125" style="547" customWidth="1"/>
    <col min="13834" max="13834" width="9.1796875" style="547" customWidth="1"/>
    <col min="13835" max="13835" width="7.54296875" style="547" customWidth="1"/>
    <col min="13836" max="13844" width="0" style="547" hidden="1" customWidth="1"/>
    <col min="13845" max="13845" width="9.1796875" style="547" customWidth="1"/>
    <col min="13846" max="13846" width="21" style="547" customWidth="1"/>
    <col min="13847" max="14079" width="9.1796875" style="547"/>
    <col min="14080" max="14081" width="9.1796875" style="547" customWidth="1"/>
    <col min="14082" max="14082" width="15.54296875" style="547" customWidth="1"/>
    <col min="14083" max="14084" width="9.1796875" style="547" customWidth="1"/>
    <col min="14085" max="14085" width="19" style="547" customWidth="1"/>
    <col min="14086" max="14086" width="15.453125" style="547" customWidth="1"/>
    <col min="14087" max="14087" width="18.26953125" style="547" customWidth="1"/>
    <col min="14088" max="14088" width="9.1796875" style="547" customWidth="1"/>
    <col min="14089" max="14089" width="26.453125" style="547" customWidth="1"/>
    <col min="14090" max="14090" width="9.1796875" style="547" customWidth="1"/>
    <col min="14091" max="14091" width="7.54296875" style="547" customWidth="1"/>
    <col min="14092" max="14100" width="0" style="547" hidden="1" customWidth="1"/>
    <col min="14101" max="14101" width="9.1796875" style="547" customWidth="1"/>
    <col min="14102" max="14102" width="21" style="547" customWidth="1"/>
    <col min="14103" max="14335" width="9.1796875" style="547"/>
    <col min="14336" max="14337" width="9.1796875" style="547" customWidth="1"/>
    <col min="14338" max="14338" width="15.54296875" style="547" customWidth="1"/>
    <col min="14339" max="14340" width="9.1796875" style="547" customWidth="1"/>
    <col min="14341" max="14341" width="19" style="547" customWidth="1"/>
    <col min="14342" max="14342" width="15.453125" style="547" customWidth="1"/>
    <col min="14343" max="14343" width="18.26953125" style="547" customWidth="1"/>
    <col min="14344" max="14344" width="9.1796875" style="547" customWidth="1"/>
    <col min="14345" max="14345" width="26.453125" style="547" customWidth="1"/>
    <col min="14346" max="14346" width="9.1796875" style="547" customWidth="1"/>
    <col min="14347" max="14347" width="7.54296875" style="547" customWidth="1"/>
    <col min="14348" max="14356" width="0" style="547" hidden="1" customWidth="1"/>
    <col min="14357" max="14357" width="9.1796875" style="547" customWidth="1"/>
    <col min="14358" max="14358" width="21" style="547" customWidth="1"/>
    <col min="14359" max="14591" width="9.1796875" style="547"/>
    <col min="14592" max="14593" width="9.1796875" style="547" customWidth="1"/>
    <col min="14594" max="14594" width="15.54296875" style="547" customWidth="1"/>
    <col min="14595" max="14596" width="9.1796875" style="547" customWidth="1"/>
    <col min="14597" max="14597" width="19" style="547" customWidth="1"/>
    <col min="14598" max="14598" width="15.453125" style="547" customWidth="1"/>
    <col min="14599" max="14599" width="18.26953125" style="547" customWidth="1"/>
    <col min="14600" max="14600" width="9.1796875" style="547" customWidth="1"/>
    <col min="14601" max="14601" width="26.453125" style="547" customWidth="1"/>
    <col min="14602" max="14602" width="9.1796875" style="547" customWidth="1"/>
    <col min="14603" max="14603" width="7.54296875" style="547" customWidth="1"/>
    <col min="14604" max="14612" width="0" style="547" hidden="1" customWidth="1"/>
    <col min="14613" max="14613" width="9.1796875" style="547" customWidth="1"/>
    <col min="14614" max="14614" width="21" style="547" customWidth="1"/>
    <col min="14615" max="14847" width="9.1796875" style="547"/>
    <col min="14848" max="14849" width="9.1796875" style="547" customWidth="1"/>
    <col min="14850" max="14850" width="15.54296875" style="547" customWidth="1"/>
    <col min="14851" max="14852" width="9.1796875" style="547" customWidth="1"/>
    <col min="14853" max="14853" width="19" style="547" customWidth="1"/>
    <col min="14854" max="14854" width="15.453125" style="547" customWidth="1"/>
    <col min="14855" max="14855" width="18.26953125" style="547" customWidth="1"/>
    <col min="14856" max="14856" width="9.1796875" style="547" customWidth="1"/>
    <col min="14857" max="14857" width="26.453125" style="547" customWidth="1"/>
    <col min="14858" max="14858" width="9.1796875" style="547" customWidth="1"/>
    <col min="14859" max="14859" width="7.54296875" style="547" customWidth="1"/>
    <col min="14860" max="14868" width="0" style="547" hidden="1" customWidth="1"/>
    <col min="14869" max="14869" width="9.1796875" style="547" customWidth="1"/>
    <col min="14870" max="14870" width="21" style="547" customWidth="1"/>
    <col min="14871" max="15103" width="9.1796875" style="547"/>
    <col min="15104" max="15105" width="9.1796875" style="547" customWidth="1"/>
    <col min="15106" max="15106" width="15.54296875" style="547" customWidth="1"/>
    <col min="15107" max="15108" width="9.1796875" style="547" customWidth="1"/>
    <col min="15109" max="15109" width="19" style="547" customWidth="1"/>
    <col min="15110" max="15110" width="15.453125" style="547" customWidth="1"/>
    <col min="15111" max="15111" width="18.26953125" style="547" customWidth="1"/>
    <col min="15112" max="15112" width="9.1796875" style="547" customWidth="1"/>
    <col min="15113" max="15113" width="26.453125" style="547" customWidth="1"/>
    <col min="15114" max="15114" width="9.1796875" style="547" customWidth="1"/>
    <col min="15115" max="15115" width="7.54296875" style="547" customWidth="1"/>
    <col min="15116" max="15124" width="0" style="547" hidden="1" customWidth="1"/>
    <col min="15125" max="15125" width="9.1796875" style="547" customWidth="1"/>
    <col min="15126" max="15126" width="21" style="547" customWidth="1"/>
    <col min="15127" max="15359" width="9.1796875" style="547"/>
    <col min="15360" max="15361" width="9.1796875" style="547" customWidth="1"/>
    <col min="15362" max="15362" width="15.54296875" style="547" customWidth="1"/>
    <col min="15363" max="15364" width="9.1796875" style="547" customWidth="1"/>
    <col min="15365" max="15365" width="19" style="547" customWidth="1"/>
    <col min="15366" max="15366" width="15.453125" style="547" customWidth="1"/>
    <col min="15367" max="15367" width="18.26953125" style="547" customWidth="1"/>
    <col min="15368" max="15368" width="9.1796875" style="547" customWidth="1"/>
    <col min="15369" max="15369" width="26.453125" style="547" customWidth="1"/>
    <col min="15370" max="15370" width="9.1796875" style="547" customWidth="1"/>
    <col min="15371" max="15371" width="7.54296875" style="547" customWidth="1"/>
    <col min="15372" max="15380" width="0" style="547" hidden="1" customWidth="1"/>
    <col min="15381" max="15381" width="9.1796875" style="547" customWidth="1"/>
    <col min="15382" max="15382" width="21" style="547" customWidth="1"/>
    <col min="15383" max="15615" width="9.1796875" style="547"/>
    <col min="15616" max="15617" width="9.1796875" style="547" customWidth="1"/>
    <col min="15618" max="15618" width="15.54296875" style="547" customWidth="1"/>
    <col min="15619" max="15620" width="9.1796875" style="547" customWidth="1"/>
    <col min="15621" max="15621" width="19" style="547" customWidth="1"/>
    <col min="15622" max="15622" width="15.453125" style="547" customWidth="1"/>
    <col min="15623" max="15623" width="18.26953125" style="547" customWidth="1"/>
    <col min="15624" max="15624" width="9.1796875" style="547" customWidth="1"/>
    <col min="15625" max="15625" width="26.453125" style="547" customWidth="1"/>
    <col min="15626" max="15626" width="9.1796875" style="547" customWidth="1"/>
    <col min="15627" max="15627" width="7.54296875" style="547" customWidth="1"/>
    <col min="15628" max="15636" width="0" style="547" hidden="1" customWidth="1"/>
    <col min="15637" max="15637" width="9.1796875" style="547" customWidth="1"/>
    <col min="15638" max="15638" width="21" style="547" customWidth="1"/>
    <col min="15639" max="15871" width="9.1796875" style="547"/>
    <col min="15872" max="15873" width="9.1796875" style="547" customWidth="1"/>
    <col min="15874" max="15874" width="15.54296875" style="547" customWidth="1"/>
    <col min="15875" max="15876" width="9.1796875" style="547" customWidth="1"/>
    <col min="15877" max="15877" width="19" style="547" customWidth="1"/>
    <col min="15878" max="15878" width="15.453125" style="547" customWidth="1"/>
    <col min="15879" max="15879" width="18.26953125" style="547" customWidth="1"/>
    <col min="15880" max="15880" width="9.1796875" style="547" customWidth="1"/>
    <col min="15881" max="15881" width="26.453125" style="547" customWidth="1"/>
    <col min="15882" max="15882" width="9.1796875" style="547" customWidth="1"/>
    <col min="15883" max="15883" width="7.54296875" style="547" customWidth="1"/>
    <col min="15884" max="15892" width="0" style="547" hidden="1" customWidth="1"/>
    <col min="15893" max="15893" width="9.1796875" style="547" customWidth="1"/>
    <col min="15894" max="15894" width="21" style="547" customWidth="1"/>
    <col min="15895" max="16127" width="9.1796875" style="547"/>
    <col min="16128" max="16129" width="9.1796875" style="547" customWidth="1"/>
    <col min="16130" max="16130" width="15.54296875" style="547" customWidth="1"/>
    <col min="16131" max="16132" width="9.1796875" style="547" customWidth="1"/>
    <col min="16133" max="16133" width="19" style="547" customWidth="1"/>
    <col min="16134" max="16134" width="15.453125" style="547" customWidth="1"/>
    <col min="16135" max="16135" width="18.26953125" style="547" customWidth="1"/>
    <col min="16136" max="16136" width="9.1796875" style="547" customWidth="1"/>
    <col min="16137" max="16137" width="26.453125" style="547" customWidth="1"/>
    <col min="16138" max="16138" width="9.1796875" style="547" customWidth="1"/>
    <col min="16139" max="16139" width="7.54296875" style="547" customWidth="1"/>
    <col min="16140" max="16148" width="0" style="547" hidden="1" customWidth="1"/>
    <col min="16149" max="16149" width="9.1796875" style="547" customWidth="1"/>
    <col min="16150" max="16150" width="21" style="547" customWidth="1"/>
    <col min="16151" max="16384" width="9.1796875" style="547"/>
  </cols>
  <sheetData>
    <row r="1" spans="8:23" hidden="1" x14ac:dyDescent="0.35">
      <c r="L1" s="869" t="s">
        <v>625</v>
      </c>
      <c r="M1" s="870"/>
    </row>
    <row r="2" spans="8:23" hidden="1" x14ac:dyDescent="0.35">
      <c r="J2" s="541"/>
      <c r="L2" s="869" t="s">
        <v>450</v>
      </c>
      <c r="M2" s="870"/>
      <c r="N2" s="870"/>
    </row>
    <row r="3" spans="8:23" hidden="1" x14ac:dyDescent="0.35">
      <c r="H3" s="541"/>
      <c r="I3" s="541"/>
      <c r="J3" s="541"/>
      <c r="L3" s="869" t="s">
        <v>626</v>
      </c>
      <c r="M3" s="870"/>
      <c r="N3" s="870"/>
      <c r="O3" s="870"/>
      <c r="P3" s="870"/>
    </row>
    <row r="4" spans="8:23" hidden="1" x14ac:dyDescent="0.35">
      <c r="I4" s="541"/>
      <c r="J4" s="541"/>
      <c r="L4" s="869" t="s">
        <v>448</v>
      </c>
      <c r="M4" s="870"/>
      <c r="N4" s="870"/>
      <c r="O4" s="870"/>
    </row>
    <row r="5" spans="8:23" hidden="1" x14ac:dyDescent="0.35">
      <c r="I5" s="541"/>
      <c r="J5" s="541"/>
      <c r="L5" s="869" t="s">
        <v>448</v>
      </c>
      <c r="M5" s="870"/>
      <c r="N5" s="870"/>
      <c r="O5" s="870"/>
    </row>
    <row r="6" spans="8:23" hidden="1" x14ac:dyDescent="0.35">
      <c r="J6" s="541"/>
      <c r="L6" s="876" t="s">
        <v>627</v>
      </c>
      <c r="M6" s="872"/>
      <c r="N6" s="872"/>
    </row>
    <row r="7" spans="8:23" hidden="1" x14ac:dyDescent="0.35"/>
    <row r="8" spans="8:23" hidden="1" x14ac:dyDescent="0.35">
      <c r="L8" s="869" t="s">
        <v>446</v>
      </c>
    </row>
    <row r="9" spans="8:23" hidden="1" x14ac:dyDescent="0.35"/>
    <row r="10" spans="8:23" hidden="1" x14ac:dyDescent="0.35">
      <c r="L10" s="869" t="s">
        <v>628</v>
      </c>
    </row>
    <row r="11" spans="8:23" hidden="1" x14ac:dyDescent="0.35">
      <c r="L11" s="869"/>
    </row>
    <row r="12" spans="8:23" x14ac:dyDescent="0.35">
      <c r="M12" s="261"/>
      <c r="N12" s="261"/>
      <c r="O12" s="261"/>
      <c r="P12" s="261"/>
      <c r="Q12" s="261"/>
      <c r="R12" s="261"/>
      <c r="U12" s="3162" t="s">
        <v>625</v>
      </c>
      <c r="V12" s="3162"/>
      <c r="W12" s="3162"/>
    </row>
    <row r="13" spans="8:23" x14ac:dyDescent="0.35">
      <c r="Q13" s="877"/>
      <c r="U13" s="3162" t="s">
        <v>450</v>
      </c>
      <c r="V13" s="3162"/>
      <c r="W13" s="3162"/>
    </row>
    <row r="14" spans="8:23" x14ac:dyDescent="0.35">
      <c r="M14" s="261"/>
      <c r="N14" s="261"/>
      <c r="O14" s="261"/>
      <c r="P14" s="261"/>
      <c r="Q14" s="261"/>
      <c r="R14" s="261"/>
      <c r="S14" s="3162" t="s">
        <v>449</v>
      </c>
      <c r="T14" s="3162"/>
      <c r="U14" s="3162"/>
      <c r="V14" s="3162"/>
      <c r="W14" s="3162"/>
    </row>
    <row r="15" spans="8:23" x14ac:dyDescent="0.35">
      <c r="M15" s="261"/>
      <c r="N15" s="261"/>
      <c r="O15" s="261"/>
      <c r="P15" s="261"/>
      <c r="Q15" s="261"/>
      <c r="R15" s="261"/>
      <c r="T15" s="3162" t="s">
        <v>448</v>
      </c>
      <c r="U15" s="3162"/>
      <c r="V15" s="3162"/>
      <c r="W15" s="3162"/>
    </row>
    <row r="16" spans="8:23" x14ac:dyDescent="0.35">
      <c r="Q16" s="541"/>
      <c r="R16" s="387" t="s">
        <v>617</v>
      </c>
      <c r="U16" s="3164" t="s">
        <v>892</v>
      </c>
      <c r="V16" s="3164"/>
      <c r="W16" s="3164"/>
    </row>
    <row r="17" spans="1:23" x14ac:dyDescent="0.35">
      <c r="Q17" s="541"/>
      <c r="R17" s="870"/>
      <c r="S17" s="870"/>
      <c r="T17" s="870"/>
      <c r="U17" s="870"/>
    </row>
    <row r="18" spans="1:23" hidden="1" x14ac:dyDescent="0.35">
      <c r="L18" s="870" t="s">
        <v>446</v>
      </c>
      <c r="Q18" s="541"/>
      <c r="R18" s="870"/>
      <c r="S18" s="870"/>
      <c r="T18" s="870"/>
    </row>
    <row r="19" spans="1:23" hidden="1" x14ac:dyDescent="0.35">
      <c r="L19" s="541"/>
      <c r="Q19" s="541"/>
      <c r="R19" s="870"/>
      <c r="S19" s="870"/>
      <c r="T19" s="870"/>
      <c r="U19" s="870"/>
    </row>
    <row r="20" spans="1:23" hidden="1" x14ac:dyDescent="0.35">
      <c r="L20" s="870" t="s">
        <v>842</v>
      </c>
      <c r="Q20" s="541"/>
      <c r="R20" s="870"/>
      <c r="S20" s="870"/>
      <c r="T20" s="870"/>
    </row>
    <row r="21" spans="1:23" x14ac:dyDescent="0.35">
      <c r="J21" s="870"/>
      <c r="K21" s="869"/>
      <c r="L21" s="870"/>
    </row>
    <row r="22" spans="1:23" x14ac:dyDescent="0.35">
      <c r="J22" s="870"/>
      <c r="K22" s="869"/>
      <c r="L22" s="869"/>
    </row>
    <row r="23" spans="1:23" hidden="1" x14ac:dyDescent="0.35"/>
    <row r="24" spans="1:23" ht="19.5" customHeight="1" x14ac:dyDescent="0.35">
      <c r="A24" s="2913" t="s">
        <v>629</v>
      </c>
      <c r="B24" s="2913"/>
      <c r="C24" s="2913"/>
      <c r="D24" s="2913"/>
      <c r="E24" s="2913"/>
      <c r="F24" s="2913"/>
      <c r="G24" s="2913"/>
      <c r="H24" s="2913"/>
      <c r="I24" s="2913"/>
      <c r="J24" s="2913"/>
      <c r="K24" s="2913"/>
      <c r="L24" s="2913"/>
      <c r="M24" s="2913"/>
      <c r="N24" s="2913"/>
      <c r="O24" s="2913"/>
      <c r="P24" s="2913"/>
      <c r="Q24" s="2913"/>
      <c r="R24" s="2913"/>
      <c r="S24" s="2913"/>
      <c r="T24" s="2913"/>
      <c r="U24" s="2913"/>
      <c r="V24" s="2913"/>
      <c r="W24" s="2913"/>
    </row>
    <row r="25" spans="1:23" ht="17.5" x14ac:dyDescent="0.35">
      <c r="A25" s="2913" t="s">
        <v>630</v>
      </c>
      <c r="B25" s="2913"/>
      <c r="C25" s="2913"/>
      <c r="D25" s="2913"/>
      <c r="E25" s="2913"/>
      <c r="F25" s="2913"/>
      <c r="G25" s="2913"/>
      <c r="H25" s="2913"/>
      <c r="I25" s="2913"/>
      <c r="J25" s="2913"/>
      <c r="K25" s="2913"/>
      <c r="L25" s="2913"/>
      <c r="M25" s="2913"/>
      <c r="N25" s="2913"/>
      <c r="O25" s="2913"/>
      <c r="P25" s="2913"/>
      <c r="Q25" s="2913"/>
      <c r="R25" s="2913"/>
      <c r="S25" s="2913"/>
      <c r="T25" s="2913"/>
      <c r="U25" s="2913"/>
      <c r="V25" s="2913"/>
      <c r="W25" s="2913"/>
    </row>
    <row r="26" spans="1:23" ht="17.5" hidden="1" x14ac:dyDescent="0.35">
      <c r="A26" s="2913"/>
      <c r="B26" s="2913"/>
      <c r="C26" s="2913"/>
      <c r="D26" s="2913"/>
      <c r="E26" s="2913"/>
      <c r="F26" s="2913"/>
      <c r="G26" s="2913"/>
      <c r="H26" s="2913"/>
      <c r="I26" s="2913"/>
      <c r="J26" s="2913"/>
      <c r="K26" s="2913"/>
      <c r="L26" s="2913"/>
    </row>
    <row r="27" spans="1:23" ht="17.5" x14ac:dyDescent="0.35">
      <c r="A27" s="2913" t="s">
        <v>945</v>
      </c>
      <c r="B27" s="2913"/>
      <c r="C27" s="2913"/>
      <c r="D27" s="2913"/>
      <c r="E27" s="2913"/>
      <c r="F27" s="2913"/>
      <c r="G27" s="2913"/>
      <c r="H27" s="2913"/>
      <c r="I27" s="2913"/>
      <c r="J27" s="2913"/>
      <c r="K27" s="2913"/>
      <c r="L27" s="2913"/>
      <c r="M27" s="2913"/>
      <c r="N27" s="2913"/>
      <c r="O27" s="2913"/>
      <c r="P27" s="2913"/>
      <c r="Q27" s="2913"/>
      <c r="R27" s="2913"/>
      <c r="S27" s="2913"/>
      <c r="T27" s="2913"/>
      <c r="U27" s="2913"/>
      <c r="V27" s="2913"/>
      <c r="W27" s="2913"/>
    </row>
    <row r="28" spans="1:23" ht="16" thickBot="1" x14ac:dyDescent="0.4">
      <c r="A28" s="971"/>
      <c r="B28" s="971"/>
      <c r="C28" s="971"/>
      <c r="D28" s="971"/>
      <c r="E28" s="971"/>
      <c r="F28" s="971"/>
      <c r="G28" s="971"/>
      <c r="H28" s="971"/>
      <c r="I28" s="971"/>
      <c r="J28" s="971"/>
      <c r="K28" s="3022"/>
      <c r="L28" s="3022"/>
      <c r="R28" s="3163"/>
      <c r="S28" s="3163"/>
      <c r="T28" s="3163" t="s">
        <v>631</v>
      </c>
      <c r="U28" s="3163"/>
      <c r="W28" s="541" t="s">
        <v>631</v>
      </c>
    </row>
    <row r="29" spans="1:23" x14ac:dyDescent="0.35">
      <c r="A29" s="3018" t="s">
        <v>632</v>
      </c>
      <c r="B29" s="3019"/>
      <c r="C29" s="3020"/>
      <c r="D29" s="3028" t="s">
        <v>633</v>
      </c>
      <c r="E29" s="3029"/>
      <c r="F29" s="3029"/>
      <c r="G29" s="3029"/>
      <c r="H29" s="3029"/>
      <c r="I29" s="3029"/>
      <c r="J29" s="2914"/>
      <c r="K29" s="3028" t="s">
        <v>795</v>
      </c>
      <c r="L29" s="2914"/>
      <c r="M29" s="3150" t="s">
        <v>635</v>
      </c>
      <c r="N29" s="3160" t="s">
        <v>636</v>
      </c>
      <c r="O29" s="3160" t="s">
        <v>637</v>
      </c>
      <c r="P29" s="3150" t="s">
        <v>638</v>
      </c>
      <c r="Q29" s="3152" t="s">
        <v>639</v>
      </c>
      <c r="R29" s="3154" t="s">
        <v>634</v>
      </c>
      <c r="S29" s="3155"/>
      <c r="T29" s="3154" t="s">
        <v>640</v>
      </c>
      <c r="U29" s="3155"/>
      <c r="V29" s="2914" t="s">
        <v>843</v>
      </c>
      <c r="W29" s="2914" t="s">
        <v>894</v>
      </c>
    </row>
    <row r="30" spans="1:23" ht="16" thickBot="1" x14ac:dyDescent="0.4">
      <c r="A30" s="3021" t="s">
        <v>641</v>
      </c>
      <c r="B30" s="3022"/>
      <c r="C30" s="3023"/>
      <c r="D30" s="3030"/>
      <c r="E30" s="3031"/>
      <c r="F30" s="3031"/>
      <c r="G30" s="3031"/>
      <c r="H30" s="3031"/>
      <c r="I30" s="3031"/>
      <c r="J30" s="2915"/>
      <c r="K30" s="3030"/>
      <c r="L30" s="2915"/>
      <c r="M30" s="3151"/>
      <c r="N30" s="3161"/>
      <c r="O30" s="3161"/>
      <c r="P30" s="3151"/>
      <c r="Q30" s="3153"/>
      <c r="R30" s="3156"/>
      <c r="S30" s="3157"/>
      <c r="T30" s="3156"/>
      <c r="U30" s="3157"/>
      <c r="V30" s="2915"/>
      <c r="W30" s="2915"/>
    </row>
    <row r="31" spans="1:23" ht="16" thickBot="1" x14ac:dyDescent="0.4">
      <c r="A31" s="972"/>
      <c r="B31" s="973">
        <v>1</v>
      </c>
      <c r="C31" s="974"/>
      <c r="D31" s="972"/>
      <c r="E31" s="975"/>
      <c r="F31" s="975"/>
      <c r="G31" s="973">
        <v>2</v>
      </c>
      <c r="H31" s="975"/>
      <c r="I31" s="975"/>
      <c r="J31" s="974"/>
      <c r="K31" s="3116">
        <v>3</v>
      </c>
      <c r="L31" s="3118"/>
      <c r="M31" s="878"/>
      <c r="N31" s="878"/>
      <c r="O31" s="878"/>
      <c r="P31" s="878"/>
      <c r="Q31" s="879"/>
      <c r="R31" s="3158">
        <v>3</v>
      </c>
      <c r="S31" s="3159"/>
      <c r="T31" s="3158">
        <v>3</v>
      </c>
      <c r="U31" s="3159"/>
      <c r="V31" s="1043">
        <v>4</v>
      </c>
      <c r="W31" s="1043">
        <v>5</v>
      </c>
    </row>
    <row r="32" spans="1:23" ht="15.65" customHeight="1" x14ac:dyDescent="0.25">
      <c r="A32" s="2968" t="s">
        <v>642</v>
      </c>
      <c r="B32" s="2969"/>
      <c r="C32" s="2970"/>
      <c r="D32" s="3144" t="s">
        <v>643</v>
      </c>
      <c r="E32" s="3145"/>
      <c r="F32" s="3145"/>
      <c r="G32" s="3145"/>
      <c r="H32" s="3145"/>
      <c r="I32" s="3145"/>
      <c r="J32" s="3146"/>
      <c r="K32" s="3108">
        <f>K34+K38+K41+K45+K51+K57+K76+K82+K94+K98</f>
        <v>70020.800000000003</v>
      </c>
      <c r="L32" s="2916"/>
      <c r="M32" s="2933">
        <v>17235.358</v>
      </c>
      <c r="N32" s="2933"/>
      <c r="O32" s="2933"/>
      <c r="P32" s="2933">
        <f>P34+P45+P51+P57+P76+P82+P98</f>
        <v>24582.394</v>
      </c>
      <c r="Q32" s="2933">
        <v>20829</v>
      </c>
      <c r="R32" s="3101">
        <f>R34+R45+R51+R57+R76+R82+R98+R41+R38+R94</f>
        <v>73596.200000000012</v>
      </c>
      <c r="S32" s="3102"/>
      <c r="T32" s="3101">
        <f>T34+T45+T51+T57+T76+T82+T98+T41+T38+T94</f>
        <v>75660.700000000012</v>
      </c>
      <c r="U32" s="3102"/>
      <c r="V32" s="2916">
        <f>V34+V38+V41+V45+V51+V57+V76+V82+V94+V98</f>
        <v>71015</v>
      </c>
      <c r="W32" s="2916">
        <f>W34+W38+W41+W45+W51+W57+W76+W82+W94+W98</f>
        <v>73852.100000000006</v>
      </c>
    </row>
    <row r="33" spans="1:23" ht="13.9" customHeight="1" thickBot="1" x14ac:dyDescent="0.3">
      <c r="A33" s="2971"/>
      <c r="B33" s="2972"/>
      <c r="C33" s="2973"/>
      <c r="D33" s="3147"/>
      <c r="E33" s="3148"/>
      <c r="F33" s="3148"/>
      <c r="G33" s="3148"/>
      <c r="H33" s="3148"/>
      <c r="I33" s="3148"/>
      <c r="J33" s="3149"/>
      <c r="K33" s="3109"/>
      <c r="L33" s="2917"/>
      <c r="M33" s="2933"/>
      <c r="N33" s="2933"/>
      <c r="O33" s="2933"/>
      <c r="P33" s="2933"/>
      <c r="Q33" s="2933"/>
      <c r="R33" s="3103"/>
      <c r="S33" s="3104"/>
      <c r="T33" s="3103"/>
      <c r="U33" s="3104"/>
      <c r="V33" s="2917"/>
      <c r="W33" s="2917"/>
    </row>
    <row r="34" spans="1:23" ht="15" x14ac:dyDescent="0.3">
      <c r="A34" s="976" t="s">
        <v>644</v>
      </c>
      <c r="B34" s="977"/>
      <c r="C34" s="978"/>
      <c r="D34" s="3144" t="s">
        <v>645</v>
      </c>
      <c r="E34" s="3145"/>
      <c r="F34" s="3145"/>
      <c r="G34" s="3145"/>
      <c r="H34" s="3145"/>
      <c r="I34" s="3145"/>
      <c r="J34" s="3146"/>
      <c r="K34" s="3108">
        <f>K36</f>
        <v>29944</v>
      </c>
      <c r="L34" s="2916"/>
      <c r="M34" s="2933">
        <v>4523.7</v>
      </c>
      <c r="N34" s="2933"/>
      <c r="O34" s="2933"/>
      <c r="P34" s="2933">
        <f>P36</f>
        <v>5592.7</v>
      </c>
      <c r="Q34" s="3143">
        <v>4938.4639999999999</v>
      </c>
      <c r="R34" s="3101">
        <f>R36</f>
        <v>25200</v>
      </c>
      <c r="S34" s="3102"/>
      <c r="T34" s="3101">
        <f>T36</f>
        <v>26208</v>
      </c>
      <c r="U34" s="3102"/>
      <c r="V34" s="2916">
        <f>V36</f>
        <v>31122.22</v>
      </c>
      <c r="W34" s="2916">
        <f>W36</f>
        <v>32361</v>
      </c>
    </row>
    <row r="35" spans="1:23" thickBot="1" x14ac:dyDescent="0.35">
      <c r="A35" s="979" t="s">
        <v>646</v>
      </c>
      <c r="B35" s="980"/>
      <c r="C35" s="981"/>
      <c r="D35" s="3147"/>
      <c r="E35" s="3148"/>
      <c r="F35" s="3148"/>
      <c r="G35" s="3148"/>
      <c r="H35" s="3148"/>
      <c r="I35" s="3148"/>
      <c r="J35" s="3149"/>
      <c r="K35" s="3109"/>
      <c r="L35" s="2917"/>
      <c r="M35" s="2933"/>
      <c r="N35" s="2933"/>
      <c r="O35" s="2933"/>
      <c r="P35" s="2933"/>
      <c r="Q35" s="3143"/>
      <c r="R35" s="3103"/>
      <c r="S35" s="3104"/>
      <c r="T35" s="3103"/>
      <c r="U35" s="3104"/>
      <c r="V35" s="2917"/>
      <c r="W35" s="2917"/>
    </row>
    <row r="36" spans="1:23" x14ac:dyDescent="0.35">
      <c r="A36" s="3018" t="s">
        <v>647</v>
      </c>
      <c r="B36" s="3019"/>
      <c r="C36" s="3020"/>
      <c r="D36" s="982"/>
      <c r="E36" s="983"/>
      <c r="F36" s="983"/>
      <c r="G36" s="983"/>
      <c r="H36" s="983"/>
      <c r="I36" s="983"/>
      <c r="J36" s="984"/>
      <c r="K36" s="3105">
        <f>29994-50</f>
        <v>29944</v>
      </c>
      <c r="L36" s="2918"/>
      <c r="M36" s="2933">
        <v>4523.7</v>
      </c>
      <c r="N36" s="2933">
        <v>534.5</v>
      </c>
      <c r="O36" s="2933">
        <v>534.5</v>
      </c>
      <c r="P36" s="2933">
        <f>M36+N36+O36</f>
        <v>5592.7</v>
      </c>
      <c r="Q36" s="3143">
        <v>4938.4639999999999</v>
      </c>
      <c r="R36" s="3110">
        <v>25200</v>
      </c>
      <c r="S36" s="3111"/>
      <c r="T36" s="3110">
        <v>26208</v>
      </c>
      <c r="U36" s="3111"/>
      <c r="V36" s="2918">
        <f>31193-70.78</f>
        <v>31122.22</v>
      </c>
      <c r="W36" s="2918">
        <f>32411-50</f>
        <v>32361</v>
      </c>
    </row>
    <row r="37" spans="1:23" ht="16" thickBot="1" x14ac:dyDescent="0.4">
      <c r="A37" s="3021"/>
      <c r="B37" s="3022"/>
      <c r="C37" s="3023"/>
      <c r="D37" s="985" t="s">
        <v>648</v>
      </c>
      <c r="E37" s="986"/>
      <c r="F37" s="986"/>
      <c r="G37" s="986"/>
      <c r="H37" s="986"/>
      <c r="I37" s="986"/>
      <c r="J37" s="987"/>
      <c r="K37" s="3107"/>
      <c r="L37" s="2919"/>
      <c r="M37" s="2933"/>
      <c r="N37" s="2933"/>
      <c r="O37" s="2933"/>
      <c r="P37" s="2933"/>
      <c r="Q37" s="3143"/>
      <c r="R37" s="3114"/>
      <c r="S37" s="3115"/>
      <c r="T37" s="3114"/>
      <c r="U37" s="3115"/>
      <c r="V37" s="2919"/>
      <c r="W37" s="2919"/>
    </row>
    <row r="38" spans="1:23" ht="15.65" customHeight="1" x14ac:dyDescent="0.25">
      <c r="A38" s="3040" t="s">
        <v>649</v>
      </c>
      <c r="B38" s="3041"/>
      <c r="C38" s="3042"/>
      <c r="D38" s="3137" t="s">
        <v>650</v>
      </c>
      <c r="E38" s="3138"/>
      <c r="F38" s="3138"/>
      <c r="G38" s="3138"/>
      <c r="H38" s="3138"/>
      <c r="I38" s="3138"/>
      <c r="J38" s="3139"/>
      <c r="K38" s="3108">
        <f>K40</f>
        <v>917.21400000000006</v>
      </c>
      <c r="L38" s="2916"/>
      <c r="M38" s="2933">
        <v>9794</v>
      </c>
      <c r="N38" s="2933"/>
      <c r="O38" s="2933"/>
      <c r="P38" s="2933" t="e">
        <f>#REF!+P41+P42</f>
        <v>#REF!</v>
      </c>
      <c r="Q38" s="3127">
        <v>12087.288329999999</v>
      </c>
      <c r="R38" s="3101">
        <f>R40</f>
        <v>0</v>
      </c>
      <c r="S38" s="3102"/>
      <c r="T38" s="3101">
        <f>T40</f>
        <v>0</v>
      </c>
      <c r="U38" s="3102"/>
      <c r="V38" s="2916">
        <f>V40</f>
        <v>948.322</v>
      </c>
      <c r="W38" s="2916">
        <f>W40</f>
        <v>948.322</v>
      </c>
    </row>
    <row r="39" spans="1:23" ht="16.149999999999999" customHeight="1" thickBot="1" x14ac:dyDescent="0.3">
      <c r="A39" s="3043"/>
      <c r="B39" s="3044"/>
      <c r="C39" s="3045"/>
      <c r="D39" s="3140"/>
      <c r="E39" s="3141"/>
      <c r="F39" s="3141"/>
      <c r="G39" s="3141"/>
      <c r="H39" s="3141"/>
      <c r="I39" s="3141"/>
      <c r="J39" s="3142"/>
      <c r="K39" s="3109"/>
      <c r="L39" s="2917"/>
      <c r="M39" s="2933"/>
      <c r="N39" s="2933"/>
      <c r="O39" s="2933"/>
      <c r="P39" s="2933"/>
      <c r="Q39" s="3127"/>
      <c r="R39" s="3103"/>
      <c r="S39" s="3104"/>
      <c r="T39" s="3103"/>
      <c r="U39" s="3104"/>
      <c r="V39" s="2917"/>
      <c r="W39" s="2917"/>
    </row>
    <row r="40" spans="1:23" ht="31.15" customHeight="1" thickBot="1" x14ac:dyDescent="0.4">
      <c r="A40" s="3131" t="s">
        <v>651</v>
      </c>
      <c r="B40" s="3132"/>
      <c r="C40" s="3133"/>
      <c r="D40" s="3134" t="s">
        <v>652</v>
      </c>
      <c r="E40" s="3135"/>
      <c r="F40" s="3135"/>
      <c r="G40" s="3135"/>
      <c r="H40" s="3135"/>
      <c r="I40" s="3135"/>
      <c r="J40" s="3136"/>
      <c r="K40" s="3119">
        <v>917.21400000000006</v>
      </c>
      <c r="L40" s="3120"/>
      <c r="M40" s="880">
        <v>124</v>
      </c>
      <c r="N40" s="880"/>
      <c r="O40" s="880"/>
      <c r="P40" s="880">
        <f>M40+N40+O40</f>
        <v>124</v>
      </c>
      <c r="Q40" s="881">
        <v>206.22337999999999</v>
      </c>
      <c r="R40" s="3121"/>
      <c r="S40" s="3122"/>
      <c r="T40" s="3121"/>
      <c r="U40" s="3122"/>
      <c r="V40" s="1044">
        <v>948.322</v>
      </c>
      <c r="W40" s="1044">
        <v>948.322</v>
      </c>
    </row>
    <row r="41" spans="1:23" ht="15.65" customHeight="1" x14ac:dyDescent="0.25">
      <c r="A41" s="3040" t="s">
        <v>653</v>
      </c>
      <c r="B41" s="3041"/>
      <c r="C41" s="3042"/>
      <c r="D41" s="3046" t="s">
        <v>654</v>
      </c>
      <c r="E41" s="3047"/>
      <c r="F41" s="3047"/>
      <c r="G41" s="3047"/>
      <c r="H41" s="3047"/>
      <c r="I41" s="3047"/>
      <c r="J41" s="3048"/>
      <c r="K41" s="3108">
        <f>K44</f>
        <v>489</v>
      </c>
      <c r="L41" s="2916"/>
      <c r="M41" s="2933">
        <v>9794</v>
      </c>
      <c r="N41" s="2933"/>
      <c r="O41" s="2933"/>
      <c r="P41" s="2933">
        <f>P44+P45+P46</f>
        <v>15318</v>
      </c>
      <c r="Q41" s="3127">
        <v>12087.288329999999</v>
      </c>
      <c r="R41" s="3101">
        <f>R44</f>
        <v>75.8</v>
      </c>
      <c r="S41" s="3102"/>
      <c r="T41" s="3101">
        <f>T44</f>
        <v>80</v>
      </c>
      <c r="U41" s="3102"/>
      <c r="V41" s="2916">
        <f>V44</f>
        <v>509</v>
      </c>
      <c r="W41" s="2916">
        <f>W44</f>
        <v>529</v>
      </c>
    </row>
    <row r="42" spans="1:23" ht="16.149999999999999" customHeight="1" thickBot="1" x14ac:dyDescent="0.3">
      <c r="A42" s="3043"/>
      <c r="B42" s="3044"/>
      <c r="C42" s="3045"/>
      <c r="D42" s="3049"/>
      <c r="E42" s="3050"/>
      <c r="F42" s="3050"/>
      <c r="G42" s="3050"/>
      <c r="H42" s="3050"/>
      <c r="I42" s="3050"/>
      <c r="J42" s="3051"/>
      <c r="K42" s="3109"/>
      <c r="L42" s="2917"/>
      <c r="M42" s="2933"/>
      <c r="N42" s="2933"/>
      <c r="O42" s="2933"/>
      <c r="P42" s="2933"/>
      <c r="Q42" s="3127"/>
      <c r="R42" s="3103"/>
      <c r="S42" s="3104"/>
      <c r="T42" s="3103"/>
      <c r="U42" s="3104"/>
      <c r="V42" s="2917"/>
      <c r="W42" s="2917"/>
    </row>
    <row r="43" spans="1:23" ht="16.149999999999999" hidden="1" customHeight="1" thickBot="1" x14ac:dyDescent="0.4">
      <c r="A43" s="979"/>
      <c r="B43" s="980"/>
      <c r="C43" s="980"/>
      <c r="D43" s="988"/>
      <c r="E43" s="989"/>
      <c r="F43" s="989"/>
      <c r="G43" s="989"/>
      <c r="H43" s="989"/>
      <c r="I43" s="989"/>
      <c r="J43" s="990"/>
      <c r="K43" s="991"/>
      <c r="L43" s="992"/>
      <c r="R43" s="446"/>
      <c r="S43" s="868"/>
      <c r="T43" s="446"/>
      <c r="U43" s="868"/>
      <c r="V43" s="1042"/>
      <c r="W43" s="1042"/>
    </row>
    <row r="44" spans="1:23" ht="16" thickBot="1" x14ac:dyDescent="0.4">
      <c r="A44" s="3116" t="s">
        <v>655</v>
      </c>
      <c r="B44" s="3117"/>
      <c r="C44" s="3118"/>
      <c r="D44" s="3128" t="s">
        <v>656</v>
      </c>
      <c r="E44" s="3129"/>
      <c r="F44" s="3129"/>
      <c r="G44" s="3129"/>
      <c r="H44" s="3129"/>
      <c r="I44" s="3129"/>
      <c r="J44" s="3130"/>
      <c r="K44" s="3119">
        <v>489</v>
      </c>
      <c r="L44" s="3120"/>
      <c r="M44" s="880">
        <v>124</v>
      </c>
      <c r="N44" s="880"/>
      <c r="O44" s="880"/>
      <c r="P44" s="880">
        <f>M44+N44+O44</f>
        <v>124</v>
      </c>
      <c r="Q44" s="881">
        <v>206.22337999999999</v>
      </c>
      <c r="R44" s="3121">
        <v>75.8</v>
      </c>
      <c r="S44" s="3122"/>
      <c r="T44" s="3121">
        <v>80</v>
      </c>
      <c r="U44" s="3122"/>
      <c r="V44" s="1044">
        <v>509</v>
      </c>
      <c r="W44" s="1044">
        <v>529</v>
      </c>
    </row>
    <row r="45" spans="1:23" ht="15.65" customHeight="1" x14ac:dyDescent="0.25">
      <c r="A45" s="3040" t="s">
        <v>657</v>
      </c>
      <c r="B45" s="3041"/>
      <c r="C45" s="3042"/>
      <c r="D45" s="3046" t="s">
        <v>658</v>
      </c>
      <c r="E45" s="3047"/>
      <c r="F45" s="3047"/>
      <c r="G45" s="3047"/>
      <c r="H45" s="3047"/>
      <c r="I45" s="3047"/>
      <c r="J45" s="3048"/>
      <c r="K45" s="3108">
        <f>K48+K50+K49</f>
        <v>36055.786</v>
      </c>
      <c r="L45" s="2916"/>
      <c r="M45" s="2933">
        <v>9794</v>
      </c>
      <c r="N45" s="2933"/>
      <c r="O45" s="2933"/>
      <c r="P45" s="2933">
        <f>P48+P49+P50</f>
        <v>15194</v>
      </c>
      <c r="Q45" s="3127">
        <v>12087.288329999999</v>
      </c>
      <c r="R45" s="3101">
        <f>R48+R50+R49</f>
        <v>44797.8</v>
      </c>
      <c r="S45" s="3102"/>
      <c r="T45" s="3101">
        <f>T48+T50+T49</f>
        <v>46588.6</v>
      </c>
      <c r="U45" s="3102"/>
      <c r="V45" s="2916">
        <f>V48+V50</f>
        <v>36512.678</v>
      </c>
      <c r="W45" s="2916">
        <f>W48+W50</f>
        <v>38023.896999999997</v>
      </c>
    </row>
    <row r="46" spans="1:23" ht="16.149999999999999" customHeight="1" thickBot="1" x14ac:dyDescent="0.3">
      <c r="A46" s="3043"/>
      <c r="B46" s="3044"/>
      <c r="C46" s="3045"/>
      <c r="D46" s="3049"/>
      <c r="E46" s="3050"/>
      <c r="F46" s="3050"/>
      <c r="G46" s="3050"/>
      <c r="H46" s="3050"/>
      <c r="I46" s="3050"/>
      <c r="J46" s="3051"/>
      <c r="K46" s="3109"/>
      <c r="L46" s="2917"/>
      <c r="M46" s="2933"/>
      <c r="N46" s="2933"/>
      <c r="O46" s="2933"/>
      <c r="P46" s="2933"/>
      <c r="Q46" s="3127"/>
      <c r="R46" s="3103"/>
      <c r="S46" s="3104"/>
      <c r="T46" s="3103"/>
      <c r="U46" s="3104"/>
      <c r="V46" s="2917"/>
      <c r="W46" s="2917"/>
    </row>
    <row r="47" spans="1:23" ht="16.149999999999999" hidden="1" customHeight="1" thickBot="1" x14ac:dyDescent="0.4">
      <c r="A47" s="979"/>
      <c r="B47" s="980"/>
      <c r="C47" s="980"/>
      <c r="D47" s="993"/>
      <c r="E47" s="994"/>
      <c r="F47" s="994"/>
      <c r="G47" s="994"/>
      <c r="H47" s="994"/>
      <c r="I47" s="994"/>
      <c r="J47" s="995"/>
      <c r="K47" s="991"/>
      <c r="L47" s="992"/>
      <c r="R47" s="446"/>
      <c r="S47" s="868"/>
      <c r="T47" s="446"/>
      <c r="U47" s="868"/>
      <c r="V47" s="1042"/>
      <c r="W47" s="1042"/>
    </row>
    <row r="48" spans="1:23" ht="16" thickBot="1" x14ac:dyDescent="0.4">
      <c r="A48" s="3116" t="s">
        <v>659</v>
      </c>
      <c r="B48" s="3117"/>
      <c r="C48" s="3118"/>
      <c r="D48" s="972" t="s">
        <v>660</v>
      </c>
      <c r="E48" s="975"/>
      <c r="F48" s="975"/>
      <c r="G48" s="975"/>
      <c r="H48" s="975"/>
      <c r="I48" s="975"/>
      <c r="J48" s="974"/>
      <c r="K48" s="3119">
        <v>6290</v>
      </c>
      <c r="L48" s="3120"/>
      <c r="M48" s="880">
        <v>124</v>
      </c>
      <c r="N48" s="880"/>
      <c r="O48" s="880"/>
      <c r="P48" s="880">
        <f>M48+N48+O48</f>
        <v>124</v>
      </c>
      <c r="Q48" s="881">
        <v>206.22337999999999</v>
      </c>
      <c r="R48" s="3121">
        <v>3816</v>
      </c>
      <c r="S48" s="3122"/>
      <c r="T48" s="3121">
        <v>3968.6</v>
      </c>
      <c r="U48" s="3122"/>
      <c r="V48" s="1044">
        <f>6542-976</f>
        <v>5566</v>
      </c>
      <c r="W48" s="1044">
        <f>6803-976.781</f>
        <v>5826.2190000000001</v>
      </c>
    </row>
    <row r="49" spans="1:23" ht="15.65" hidden="1" customHeight="1" thickBot="1" x14ac:dyDescent="0.4">
      <c r="A49" s="3116" t="s">
        <v>661</v>
      </c>
      <c r="B49" s="3117"/>
      <c r="C49" s="3118"/>
      <c r="D49" s="996" t="s">
        <v>662</v>
      </c>
      <c r="E49" s="997"/>
      <c r="F49" s="997"/>
      <c r="G49" s="997"/>
      <c r="H49" s="997"/>
      <c r="I49" s="997"/>
      <c r="J49" s="998"/>
      <c r="K49" s="3119"/>
      <c r="L49" s="3120"/>
      <c r="M49" s="880">
        <v>1970</v>
      </c>
      <c r="N49" s="880">
        <v>700</v>
      </c>
      <c r="O49" s="880">
        <v>700</v>
      </c>
      <c r="P49" s="880">
        <f>M49+N49+O49</f>
        <v>3370</v>
      </c>
      <c r="Q49" s="881">
        <v>2811.7408799999998</v>
      </c>
      <c r="R49" s="3121">
        <v>9783.7999999999993</v>
      </c>
      <c r="S49" s="3122"/>
      <c r="T49" s="3121">
        <v>10175</v>
      </c>
      <c r="U49" s="3122"/>
      <c r="V49" s="1044"/>
      <c r="W49" s="1044"/>
    </row>
    <row r="50" spans="1:23" ht="16" thickBot="1" x14ac:dyDescent="0.4">
      <c r="A50" s="3116" t="s">
        <v>663</v>
      </c>
      <c r="B50" s="3117"/>
      <c r="C50" s="3118"/>
      <c r="D50" s="972" t="s">
        <v>664</v>
      </c>
      <c r="E50" s="975"/>
      <c r="F50" s="975"/>
      <c r="G50" s="975"/>
      <c r="H50" s="975"/>
      <c r="I50" s="975"/>
      <c r="J50" s="974"/>
      <c r="K50" s="3123">
        <f>29811-45.214</f>
        <v>29765.786</v>
      </c>
      <c r="L50" s="3124"/>
      <c r="M50" s="1691">
        <v>7700</v>
      </c>
      <c r="N50" s="1691">
        <v>2000</v>
      </c>
      <c r="O50" s="1691">
        <v>2000</v>
      </c>
      <c r="P50" s="1691">
        <f>M50+N50+O50</f>
        <v>11700</v>
      </c>
      <c r="Q50" s="1749">
        <v>9069.3240700000006</v>
      </c>
      <c r="R50" s="3125">
        <v>31198</v>
      </c>
      <c r="S50" s="3126"/>
      <c r="T50" s="3125">
        <v>32445</v>
      </c>
      <c r="U50" s="3126"/>
      <c r="V50" s="1750">
        <f>31003-56.322</f>
        <v>30946.678</v>
      </c>
      <c r="W50" s="1750">
        <f>32244-46.322</f>
        <v>32197.678</v>
      </c>
    </row>
    <row r="51" spans="1:23" ht="15.65" customHeight="1" x14ac:dyDescent="0.25">
      <c r="A51" s="3040" t="s">
        <v>665</v>
      </c>
      <c r="B51" s="3041"/>
      <c r="C51" s="3042"/>
      <c r="D51" s="3046" t="s">
        <v>666</v>
      </c>
      <c r="E51" s="3047"/>
      <c r="F51" s="3047"/>
      <c r="G51" s="3047"/>
      <c r="H51" s="3047"/>
      <c r="I51" s="3047"/>
      <c r="J51" s="3048"/>
      <c r="K51" s="3108">
        <f>K53</f>
        <v>5</v>
      </c>
      <c r="L51" s="2916"/>
      <c r="M51" s="2933">
        <v>17</v>
      </c>
      <c r="N51" s="2933"/>
      <c r="O51" s="2933"/>
      <c r="P51" s="2933">
        <f>M51+N51+O51</f>
        <v>17</v>
      </c>
      <c r="Q51" s="2933">
        <v>3.9649999999999999</v>
      </c>
      <c r="R51" s="3101">
        <f>R53</f>
        <v>8</v>
      </c>
      <c r="S51" s="3102"/>
      <c r="T51" s="3101">
        <f>T53</f>
        <v>10</v>
      </c>
      <c r="U51" s="3102"/>
      <c r="V51" s="2916">
        <f>V53</f>
        <v>7</v>
      </c>
      <c r="W51" s="2916">
        <f>W53</f>
        <v>10</v>
      </c>
    </row>
    <row r="52" spans="1:23" ht="13.9" customHeight="1" thickBot="1" x14ac:dyDescent="0.3">
      <c r="A52" s="3043"/>
      <c r="B52" s="3044"/>
      <c r="C52" s="3045"/>
      <c r="D52" s="3049"/>
      <c r="E52" s="3050"/>
      <c r="F52" s="3050"/>
      <c r="G52" s="3050"/>
      <c r="H52" s="3050"/>
      <c r="I52" s="3050"/>
      <c r="J52" s="3051"/>
      <c r="K52" s="3109"/>
      <c r="L52" s="2917"/>
      <c r="M52" s="2933"/>
      <c r="N52" s="2933"/>
      <c r="O52" s="2933"/>
      <c r="P52" s="2933"/>
      <c r="Q52" s="2933"/>
      <c r="R52" s="3103"/>
      <c r="S52" s="3104"/>
      <c r="T52" s="3103"/>
      <c r="U52" s="3104"/>
      <c r="V52" s="2917"/>
      <c r="W52" s="2917"/>
    </row>
    <row r="53" spans="1:23" x14ac:dyDescent="0.35">
      <c r="A53" s="3028" t="s">
        <v>667</v>
      </c>
      <c r="B53" s="3029"/>
      <c r="C53" s="2914"/>
      <c r="D53" s="982" t="s">
        <v>668</v>
      </c>
      <c r="E53" s="983"/>
      <c r="F53" s="983"/>
      <c r="G53" s="983"/>
      <c r="H53" s="983"/>
      <c r="I53" s="983"/>
      <c r="J53" s="983"/>
      <c r="K53" s="3105">
        <v>5</v>
      </c>
      <c r="L53" s="2918"/>
      <c r="M53" s="2933">
        <v>17</v>
      </c>
      <c r="N53" s="2933"/>
      <c r="O53" s="2933"/>
      <c r="P53" s="2933">
        <f>M53+N53+O53</f>
        <v>17</v>
      </c>
      <c r="Q53" s="2933">
        <v>3.9649999999999999</v>
      </c>
      <c r="R53" s="3110">
        <v>8</v>
      </c>
      <c r="S53" s="3111"/>
      <c r="T53" s="3110">
        <v>10</v>
      </c>
      <c r="U53" s="3111"/>
      <c r="V53" s="2918">
        <v>7</v>
      </c>
      <c r="W53" s="2918">
        <v>10</v>
      </c>
    </row>
    <row r="54" spans="1:23" x14ac:dyDescent="0.35">
      <c r="A54" s="3053"/>
      <c r="B54" s="3054"/>
      <c r="C54" s="3055"/>
      <c r="D54" s="996" t="s">
        <v>669</v>
      </c>
      <c r="E54" s="997"/>
      <c r="F54" s="997"/>
      <c r="G54" s="997"/>
      <c r="H54" s="997"/>
      <c r="I54" s="997"/>
      <c r="J54" s="997"/>
      <c r="K54" s="3106"/>
      <c r="L54" s="2920"/>
      <c r="M54" s="2933"/>
      <c r="N54" s="2933"/>
      <c r="O54" s="2933"/>
      <c r="P54" s="2933"/>
      <c r="Q54" s="2933"/>
      <c r="R54" s="3112"/>
      <c r="S54" s="3113"/>
      <c r="T54" s="3112"/>
      <c r="U54" s="3113"/>
      <c r="V54" s="2920"/>
      <c r="W54" s="2920"/>
    </row>
    <row r="55" spans="1:23" x14ac:dyDescent="0.35">
      <c r="A55" s="3053"/>
      <c r="B55" s="3054"/>
      <c r="C55" s="3055"/>
      <c r="D55" s="996" t="s">
        <v>670</v>
      </c>
      <c r="E55" s="997"/>
      <c r="F55" s="997"/>
      <c r="G55" s="997"/>
      <c r="H55" s="997"/>
      <c r="I55" s="997"/>
      <c r="J55" s="997"/>
      <c r="K55" s="3106"/>
      <c r="L55" s="2920"/>
      <c r="M55" s="2933"/>
      <c r="N55" s="2933"/>
      <c r="O55" s="2933"/>
      <c r="P55" s="2933"/>
      <c r="Q55" s="2933"/>
      <c r="R55" s="3112"/>
      <c r="S55" s="3113"/>
      <c r="T55" s="3112"/>
      <c r="U55" s="3113"/>
      <c r="V55" s="2920"/>
      <c r="W55" s="2920"/>
    </row>
    <row r="56" spans="1:23" ht="16" thickBot="1" x14ac:dyDescent="0.4">
      <c r="A56" s="3030"/>
      <c r="B56" s="3031"/>
      <c r="C56" s="2915"/>
      <c r="D56" s="985" t="s">
        <v>671</v>
      </c>
      <c r="E56" s="986"/>
      <c r="F56" s="986"/>
      <c r="G56" s="986"/>
      <c r="H56" s="986"/>
      <c r="I56" s="986"/>
      <c r="J56" s="986"/>
      <c r="K56" s="3107"/>
      <c r="L56" s="2919"/>
      <c r="M56" s="2933"/>
      <c r="N56" s="2933"/>
      <c r="O56" s="2933"/>
      <c r="P56" s="2933"/>
      <c r="Q56" s="2933"/>
      <c r="R56" s="3114"/>
      <c r="S56" s="3115"/>
      <c r="T56" s="3114"/>
      <c r="U56" s="3115"/>
      <c r="V56" s="2919"/>
      <c r="W56" s="2919"/>
    </row>
    <row r="57" spans="1:23" ht="15" x14ac:dyDescent="0.3">
      <c r="A57" s="3040" t="s">
        <v>672</v>
      </c>
      <c r="B57" s="3041"/>
      <c r="C57" s="3042"/>
      <c r="D57" s="976" t="s">
        <v>673</v>
      </c>
      <c r="E57" s="977"/>
      <c r="F57" s="977"/>
      <c r="G57" s="977"/>
      <c r="H57" s="977"/>
      <c r="I57" s="977"/>
      <c r="J57" s="978"/>
      <c r="K57" s="3010">
        <f>K60+K64+K72+K68</f>
        <v>1785.3</v>
      </c>
      <c r="L57" s="2911"/>
      <c r="M57" s="2933">
        <v>2183.6579999999999</v>
      </c>
      <c r="N57" s="2933"/>
      <c r="O57" s="2933"/>
      <c r="P57" s="2933">
        <f>P60+P64+P72</f>
        <v>2913.6940000000004</v>
      </c>
      <c r="Q57" s="2944">
        <v>2859.2967100000001</v>
      </c>
      <c r="R57" s="3095">
        <f>R60+R64+R72+R68</f>
        <v>1933</v>
      </c>
      <c r="S57" s="3096"/>
      <c r="T57" s="3095">
        <f>T60+T64+T72+T68</f>
        <v>1975</v>
      </c>
      <c r="U57" s="3096"/>
      <c r="V57" s="2911">
        <f>V68+V72</f>
        <v>1842.78</v>
      </c>
      <c r="W57" s="2911">
        <f>W68+W72</f>
        <v>1903.681</v>
      </c>
    </row>
    <row r="58" spans="1:23" ht="15" x14ac:dyDescent="0.3">
      <c r="A58" s="3092"/>
      <c r="B58" s="3093"/>
      <c r="C58" s="3094"/>
      <c r="D58" s="999" t="s">
        <v>674</v>
      </c>
      <c r="E58" s="1000"/>
      <c r="F58" s="1000"/>
      <c r="G58" s="1000"/>
      <c r="H58" s="1000"/>
      <c r="I58" s="1000"/>
      <c r="J58" s="1001"/>
      <c r="K58" s="3011"/>
      <c r="L58" s="2921"/>
      <c r="M58" s="2933"/>
      <c r="N58" s="2933"/>
      <c r="O58" s="2933"/>
      <c r="P58" s="2933"/>
      <c r="Q58" s="2944"/>
      <c r="R58" s="3097"/>
      <c r="S58" s="3098"/>
      <c r="T58" s="3097"/>
      <c r="U58" s="3098"/>
      <c r="V58" s="2921"/>
      <c r="W58" s="2921"/>
    </row>
    <row r="59" spans="1:23" thickBot="1" x14ac:dyDescent="0.35">
      <c r="A59" s="3043"/>
      <c r="B59" s="3044"/>
      <c r="C59" s="3045"/>
      <c r="D59" s="979" t="s">
        <v>675</v>
      </c>
      <c r="E59" s="980"/>
      <c r="F59" s="980"/>
      <c r="G59" s="980"/>
      <c r="H59" s="980"/>
      <c r="I59" s="980"/>
      <c r="J59" s="981"/>
      <c r="K59" s="3012"/>
      <c r="L59" s="2912"/>
      <c r="M59" s="2933"/>
      <c r="N59" s="2933"/>
      <c r="O59" s="2933"/>
      <c r="P59" s="2933"/>
      <c r="Q59" s="2944"/>
      <c r="R59" s="3099"/>
      <c r="S59" s="3100"/>
      <c r="T59" s="3099"/>
      <c r="U59" s="3100"/>
      <c r="V59" s="2912"/>
      <c r="W59" s="2912"/>
    </row>
    <row r="60" spans="1:23" ht="15.65" hidden="1" customHeight="1" thickBot="1" x14ac:dyDescent="0.4">
      <c r="A60" s="3028" t="s">
        <v>676</v>
      </c>
      <c r="B60" s="3029"/>
      <c r="C60" s="2914"/>
      <c r="D60" s="982" t="s">
        <v>677</v>
      </c>
      <c r="E60" s="983"/>
      <c r="F60" s="983"/>
      <c r="G60" s="983"/>
      <c r="H60" s="983"/>
      <c r="I60" s="983"/>
      <c r="J60" s="984"/>
      <c r="K60" s="3024"/>
      <c r="L60" s="2922"/>
      <c r="M60" s="2933">
        <v>1030</v>
      </c>
      <c r="N60" s="2933">
        <v>140</v>
      </c>
      <c r="O60" s="2933">
        <v>140</v>
      </c>
      <c r="P60" s="2933">
        <f>M60+N60+O60</f>
        <v>1310</v>
      </c>
      <c r="Q60" s="2944">
        <v>1430.7293099999999</v>
      </c>
      <c r="R60" s="2940"/>
      <c r="S60" s="2941"/>
      <c r="T60" s="2940"/>
      <c r="U60" s="2941"/>
      <c r="V60" s="2922"/>
      <c r="W60" s="2922"/>
    </row>
    <row r="61" spans="1:23" ht="15.65" hidden="1" customHeight="1" thickBot="1" x14ac:dyDescent="0.4">
      <c r="A61" s="3053"/>
      <c r="B61" s="3054"/>
      <c r="C61" s="3055"/>
      <c r="D61" s="996" t="s">
        <v>678</v>
      </c>
      <c r="E61" s="997"/>
      <c r="F61" s="997"/>
      <c r="G61" s="997"/>
      <c r="H61" s="997"/>
      <c r="I61" s="997"/>
      <c r="J61" s="998"/>
      <c r="K61" s="3056"/>
      <c r="L61" s="2923"/>
      <c r="M61" s="2933"/>
      <c r="N61" s="2933"/>
      <c r="O61" s="2933"/>
      <c r="P61" s="2933"/>
      <c r="Q61" s="2944"/>
      <c r="R61" s="2942"/>
      <c r="S61" s="2943"/>
      <c r="T61" s="2942"/>
      <c r="U61" s="2943"/>
      <c r="V61" s="2923"/>
      <c r="W61" s="2923"/>
    </row>
    <row r="62" spans="1:23" ht="15.65" hidden="1" customHeight="1" thickBot="1" x14ac:dyDescent="0.4">
      <c r="A62" s="3053"/>
      <c r="B62" s="3054"/>
      <c r="C62" s="3055"/>
      <c r="D62" s="996" t="s">
        <v>679</v>
      </c>
      <c r="E62" s="997"/>
      <c r="F62" s="997"/>
      <c r="G62" s="997"/>
      <c r="H62" s="997"/>
      <c r="I62" s="997"/>
      <c r="J62" s="998"/>
      <c r="K62" s="3056"/>
      <c r="L62" s="2923"/>
      <c r="M62" s="2933"/>
      <c r="N62" s="2933"/>
      <c r="O62" s="2933"/>
      <c r="P62" s="2933"/>
      <c r="Q62" s="2944"/>
      <c r="R62" s="2942"/>
      <c r="S62" s="2943"/>
      <c r="T62" s="2942"/>
      <c r="U62" s="2943"/>
      <c r="V62" s="2923"/>
      <c r="W62" s="2923"/>
    </row>
    <row r="63" spans="1:23" ht="15.65" hidden="1" customHeight="1" thickBot="1" x14ac:dyDescent="0.4">
      <c r="A63" s="3030"/>
      <c r="B63" s="3031"/>
      <c r="C63" s="2915"/>
      <c r="D63" s="985" t="s">
        <v>680</v>
      </c>
      <c r="E63" s="986"/>
      <c r="F63" s="986"/>
      <c r="G63" s="986"/>
      <c r="H63" s="986"/>
      <c r="I63" s="986"/>
      <c r="J63" s="987"/>
      <c r="K63" s="3025"/>
      <c r="L63" s="2924"/>
      <c r="M63" s="2933"/>
      <c r="N63" s="2933"/>
      <c r="O63" s="2933"/>
      <c r="P63" s="2933"/>
      <c r="Q63" s="2944"/>
      <c r="R63" s="2950"/>
      <c r="S63" s="2951"/>
      <c r="T63" s="2950"/>
      <c r="U63" s="2951"/>
      <c r="V63" s="2924"/>
      <c r="W63" s="2924"/>
    </row>
    <row r="64" spans="1:23" ht="15.65" hidden="1" customHeight="1" thickBot="1" x14ac:dyDescent="0.4">
      <c r="A64" s="3028" t="s">
        <v>681</v>
      </c>
      <c r="B64" s="3029"/>
      <c r="C64" s="2914"/>
      <c r="D64" s="982" t="s">
        <v>682</v>
      </c>
      <c r="E64" s="983"/>
      <c r="F64" s="983"/>
      <c r="G64" s="983"/>
      <c r="H64" s="983"/>
      <c r="I64" s="983"/>
      <c r="J64" s="984"/>
      <c r="K64" s="3024"/>
      <c r="L64" s="2922"/>
      <c r="M64" s="2933">
        <v>928.55</v>
      </c>
      <c r="N64" s="2933">
        <v>200</v>
      </c>
      <c r="O64" s="2933">
        <v>200</v>
      </c>
      <c r="P64" s="2933">
        <f>M64+N64+O64</f>
        <v>1328.55</v>
      </c>
      <c r="Q64" s="2944">
        <v>1007.7294000000001</v>
      </c>
      <c r="R64" s="2940"/>
      <c r="S64" s="2941"/>
      <c r="T64" s="2940"/>
      <c r="U64" s="2941"/>
      <c r="V64" s="2922"/>
      <c r="W64" s="2922"/>
    </row>
    <row r="65" spans="1:23" ht="14.25" hidden="1" customHeight="1" x14ac:dyDescent="0.35">
      <c r="A65" s="3053"/>
      <c r="B65" s="3054"/>
      <c r="C65" s="3055"/>
      <c r="D65" s="996" t="s">
        <v>683</v>
      </c>
      <c r="E65" s="997"/>
      <c r="F65" s="997"/>
      <c r="G65" s="997"/>
      <c r="H65" s="997"/>
      <c r="I65" s="997"/>
      <c r="J65" s="998"/>
      <c r="K65" s="3056"/>
      <c r="L65" s="2923"/>
      <c r="M65" s="2933"/>
      <c r="N65" s="2933"/>
      <c r="O65" s="2933"/>
      <c r="P65" s="2933"/>
      <c r="Q65" s="2944"/>
      <c r="R65" s="2942"/>
      <c r="S65" s="2943"/>
      <c r="T65" s="2942"/>
      <c r="U65" s="2943"/>
      <c r="V65" s="2923"/>
      <c r="W65" s="2923"/>
    </row>
    <row r="66" spans="1:23" ht="15.75" hidden="1" customHeight="1" x14ac:dyDescent="0.35">
      <c r="A66" s="3053"/>
      <c r="B66" s="3054"/>
      <c r="C66" s="3055"/>
      <c r="D66" s="996" t="s">
        <v>684</v>
      </c>
      <c r="E66" s="997"/>
      <c r="F66" s="997"/>
      <c r="G66" s="997"/>
      <c r="H66" s="997"/>
      <c r="I66" s="997"/>
      <c r="J66" s="998"/>
      <c r="K66" s="3056"/>
      <c r="L66" s="2923"/>
      <c r="M66" s="2933"/>
      <c r="N66" s="2933"/>
      <c r="O66" s="2933"/>
      <c r="P66" s="2933"/>
      <c r="Q66" s="2944"/>
      <c r="R66" s="2942"/>
      <c r="S66" s="2943"/>
      <c r="T66" s="2942"/>
      <c r="U66" s="2943"/>
      <c r="V66" s="2923"/>
      <c r="W66" s="2923"/>
    </row>
    <row r="67" spans="1:23" ht="15.75" hidden="1" customHeight="1" thickBot="1" x14ac:dyDescent="0.4">
      <c r="A67" s="3030"/>
      <c r="B67" s="3031"/>
      <c r="C67" s="2915"/>
      <c r="D67" s="985" t="s">
        <v>685</v>
      </c>
      <c r="E67" s="986"/>
      <c r="F67" s="986"/>
      <c r="G67" s="986"/>
      <c r="H67" s="986"/>
      <c r="I67" s="986"/>
      <c r="J67" s="987"/>
      <c r="K67" s="3025"/>
      <c r="L67" s="2924"/>
      <c r="M67" s="2933"/>
      <c r="N67" s="2933"/>
      <c r="O67" s="2933"/>
      <c r="P67" s="2933"/>
      <c r="Q67" s="2944"/>
      <c r="R67" s="2950"/>
      <c r="S67" s="2951"/>
      <c r="T67" s="2950"/>
      <c r="U67" s="2951"/>
      <c r="V67" s="2924"/>
      <c r="W67" s="2924"/>
    </row>
    <row r="68" spans="1:23" x14ac:dyDescent="0.35">
      <c r="A68" s="3028" t="s">
        <v>686</v>
      </c>
      <c r="B68" s="3029"/>
      <c r="C68" s="2914"/>
      <c r="D68" s="1002"/>
      <c r="E68" s="997"/>
      <c r="F68" s="997"/>
      <c r="G68" s="997"/>
      <c r="H68" s="997"/>
      <c r="I68" s="997"/>
      <c r="J68" s="998"/>
      <c r="K68" s="3024">
        <v>850.3</v>
      </c>
      <c r="L68" s="2922"/>
      <c r="M68" s="2933">
        <v>928.55</v>
      </c>
      <c r="N68" s="2933">
        <v>200</v>
      </c>
      <c r="O68" s="2933">
        <v>200</v>
      </c>
      <c r="P68" s="2933">
        <f>M68+N68+O68</f>
        <v>1328.55</v>
      </c>
      <c r="Q68" s="2944">
        <v>1007.7294000000001</v>
      </c>
      <c r="R68" s="2940">
        <v>1035</v>
      </c>
      <c r="S68" s="2941"/>
      <c r="T68" s="2940">
        <v>1040</v>
      </c>
      <c r="U68" s="2941"/>
      <c r="V68" s="2922">
        <v>851.68</v>
      </c>
      <c r="W68" s="2922">
        <v>853.08100000000002</v>
      </c>
    </row>
    <row r="69" spans="1:23" ht="14.25" customHeight="1" x14ac:dyDescent="0.35">
      <c r="A69" s="3053"/>
      <c r="B69" s="3054"/>
      <c r="C69" s="3055"/>
      <c r="D69" s="997" t="s">
        <v>687</v>
      </c>
      <c r="E69" s="997"/>
      <c r="F69" s="997"/>
      <c r="G69" s="997"/>
      <c r="H69" s="997"/>
      <c r="I69" s="997"/>
      <c r="J69" s="998"/>
      <c r="K69" s="3056"/>
      <c r="L69" s="2923"/>
      <c r="M69" s="2933"/>
      <c r="N69" s="2933"/>
      <c r="O69" s="2933"/>
      <c r="P69" s="2933"/>
      <c r="Q69" s="2944"/>
      <c r="R69" s="2942"/>
      <c r="S69" s="2943"/>
      <c r="T69" s="2942"/>
      <c r="U69" s="2943"/>
      <c r="V69" s="2923"/>
      <c r="W69" s="2923"/>
    </row>
    <row r="70" spans="1:23" ht="15.75" customHeight="1" x14ac:dyDescent="0.35">
      <c r="A70" s="3053"/>
      <c r="B70" s="3054"/>
      <c r="C70" s="3055"/>
      <c r="D70" s="997" t="s">
        <v>688</v>
      </c>
      <c r="E70" s="997"/>
      <c r="F70" s="997"/>
      <c r="G70" s="997"/>
      <c r="H70" s="997"/>
      <c r="I70" s="997"/>
      <c r="J70" s="998"/>
      <c r="K70" s="3056"/>
      <c r="L70" s="2923"/>
      <c r="M70" s="2933"/>
      <c r="N70" s="2933"/>
      <c r="O70" s="2933"/>
      <c r="P70" s="2933"/>
      <c r="Q70" s="2944"/>
      <c r="R70" s="2942"/>
      <c r="S70" s="2943"/>
      <c r="T70" s="2942"/>
      <c r="U70" s="2943"/>
      <c r="V70" s="2923"/>
      <c r="W70" s="2923"/>
    </row>
    <row r="71" spans="1:23" ht="15.75" customHeight="1" thickBot="1" x14ac:dyDescent="0.4">
      <c r="A71" s="3030"/>
      <c r="B71" s="3031"/>
      <c r="C71" s="2915"/>
      <c r="D71" s="986"/>
      <c r="E71" s="986"/>
      <c r="F71" s="986"/>
      <c r="G71" s="986"/>
      <c r="H71" s="986"/>
      <c r="I71" s="986"/>
      <c r="J71" s="987"/>
      <c r="K71" s="3025"/>
      <c r="L71" s="2924"/>
      <c r="M71" s="2933"/>
      <c r="N71" s="2933"/>
      <c r="O71" s="2933"/>
      <c r="P71" s="2933"/>
      <c r="Q71" s="2944"/>
      <c r="R71" s="2950"/>
      <c r="S71" s="2951"/>
      <c r="T71" s="2950"/>
      <c r="U71" s="2951"/>
      <c r="V71" s="2924"/>
      <c r="W71" s="2924"/>
    </row>
    <row r="72" spans="1:23" ht="15" customHeight="1" x14ac:dyDescent="0.35">
      <c r="A72" s="3028" t="s">
        <v>689</v>
      </c>
      <c r="B72" s="3029"/>
      <c r="C72" s="2914"/>
      <c r="D72" s="982" t="s">
        <v>690</v>
      </c>
      <c r="E72" s="983"/>
      <c r="F72" s="983"/>
      <c r="G72" s="983"/>
      <c r="H72" s="983"/>
      <c r="I72" s="983"/>
      <c r="J72" s="984"/>
      <c r="K72" s="3024">
        <v>935</v>
      </c>
      <c r="L72" s="2922"/>
      <c r="M72" s="3085">
        <v>225.108</v>
      </c>
      <c r="N72" s="3088">
        <f>24.9+0.118</f>
        <v>25.017999999999997</v>
      </c>
      <c r="O72" s="3088">
        <v>25.018000000000001</v>
      </c>
      <c r="P72" s="2931">
        <f>M72+N72+O72</f>
        <v>275.14400000000001</v>
      </c>
      <c r="Q72" s="3088">
        <v>420.83800000000002</v>
      </c>
      <c r="R72" s="2952">
        <v>898</v>
      </c>
      <c r="S72" s="2953"/>
      <c r="T72" s="2952">
        <v>935</v>
      </c>
      <c r="U72" s="2953"/>
      <c r="V72" s="2922">
        <v>991.1</v>
      </c>
      <c r="W72" s="2922">
        <v>1050.5999999999999</v>
      </c>
    </row>
    <row r="73" spans="1:23" ht="13.15" customHeight="1" x14ac:dyDescent="0.35">
      <c r="A73" s="3053"/>
      <c r="B73" s="3054"/>
      <c r="C73" s="3055"/>
      <c r="D73" s="996" t="s">
        <v>691</v>
      </c>
      <c r="E73" s="997"/>
      <c r="F73" s="997"/>
      <c r="G73" s="997"/>
      <c r="H73" s="997"/>
      <c r="I73" s="997"/>
      <c r="J73" s="998"/>
      <c r="K73" s="3056"/>
      <c r="L73" s="2923"/>
      <c r="M73" s="3086"/>
      <c r="N73" s="3089"/>
      <c r="O73" s="3089"/>
      <c r="P73" s="3091"/>
      <c r="Q73" s="3089"/>
      <c r="R73" s="2954"/>
      <c r="S73" s="2955"/>
      <c r="T73" s="2954"/>
      <c r="U73" s="2955"/>
      <c r="V73" s="2923"/>
      <c r="W73" s="2923"/>
    </row>
    <row r="74" spans="1:23" ht="13.15" customHeight="1" x14ac:dyDescent="0.35">
      <c r="A74" s="3053"/>
      <c r="B74" s="3054"/>
      <c r="C74" s="3055"/>
      <c r="D74" s="996" t="s">
        <v>692</v>
      </c>
      <c r="E74" s="997"/>
      <c r="F74" s="997"/>
      <c r="G74" s="997"/>
      <c r="H74" s="997"/>
      <c r="I74" s="997"/>
      <c r="J74" s="998"/>
      <c r="K74" s="3056"/>
      <c r="L74" s="2923"/>
      <c r="M74" s="3086"/>
      <c r="N74" s="3089"/>
      <c r="O74" s="3089"/>
      <c r="P74" s="3091"/>
      <c r="Q74" s="3089"/>
      <c r="R74" s="2954"/>
      <c r="S74" s="2955"/>
      <c r="T74" s="2954"/>
      <c r="U74" s="2955"/>
      <c r="V74" s="2923"/>
      <c r="W74" s="2923"/>
    </row>
    <row r="75" spans="1:23" ht="12.75" customHeight="1" thickBot="1" x14ac:dyDescent="0.4">
      <c r="A75" s="3030"/>
      <c r="B75" s="3031"/>
      <c r="C75" s="2915"/>
      <c r="D75" s="985" t="s">
        <v>693</v>
      </c>
      <c r="E75" s="986"/>
      <c r="F75" s="986"/>
      <c r="G75" s="986"/>
      <c r="H75" s="986"/>
      <c r="I75" s="986"/>
      <c r="J75" s="987"/>
      <c r="K75" s="3025"/>
      <c r="L75" s="2924"/>
      <c r="M75" s="3087"/>
      <c r="N75" s="3090"/>
      <c r="O75" s="3090"/>
      <c r="P75" s="2932"/>
      <c r="Q75" s="3090"/>
      <c r="R75" s="2956"/>
      <c r="S75" s="2957"/>
      <c r="T75" s="2956"/>
      <c r="U75" s="2957"/>
      <c r="V75" s="2924"/>
      <c r="W75" s="2924"/>
    </row>
    <row r="76" spans="1:23" ht="15" x14ac:dyDescent="0.3">
      <c r="A76" s="3040" t="s">
        <v>694</v>
      </c>
      <c r="B76" s="3041"/>
      <c r="C76" s="3042"/>
      <c r="D76" s="976" t="s">
        <v>887</v>
      </c>
      <c r="E76" s="977"/>
      <c r="F76" s="977"/>
      <c r="G76" s="977"/>
      <c r="H76" s="977"/>
      <c r="I76" s="977"/>
      <c r="J76" s="978"/>
      <c r="K76" s="3010">
        <f>K78+K81</f>
        <v>25</v>
      </c>
      <c r="L76" s="2911"/>
      <c r="M76" s="2933">
        <v>97</v>
      </c>
      <c r="N76" s="2933"/>
      <c r="O76" s="2933"/>
      <c r="P76" s="2933">
        <f>P78+P81</f>
        <v>125</v>
      </c>
      <c r="Q76" s="2944">
        <v>435.29176000000001</v>
      </c>
      <c r="R76" s="2946">
        <f>R78+R81</f>
        <v>10.6</v>
      </c>
      <c r="S76" s="2947"/>
      <c r="T76" s="2946">
        <f>T78+T81</f>
        <v>11.1</v>
      </c>
      <c r="U76" s="2947"/>
      <c r="V76" s="2911">
        <f>V81</f>
        <v>26.5</v>
      </c>
      <c r="W76" s="2911">
        <f>W81</f>
        <v>28.1</v>
      </c>
    </row>
    <row r="77" spans="1:23" thickBot="1" x14ac:dyDescent="0.35">
      <c r="A77" s="3043"/>
      <c r="B77" s="3044"/>
      <c r="C77" s="3045"/>
      <c r="D77" s="979" t="s">
        <v>695</v>
      </c>
      <c r="E77" s="980"/>
      <c r="F77" s="980"/>
      <c r="G77" s="980"/>
      <c r="H77" s="980"/>
      <c r="I77" s="980"/>
      <c r="J77" s="981"/>
      <c r="K77" s="3012"/>
      <c r="L77" s="2912"/>
      <c r="M77" s="2933"/>
      <c r="N77" s="2933"/>
      <c r="O77" s="2933"/>
      <c r="P77" s="2933"/>
      <c r="Q77" s="2944"/>
      <c r="R77" s="2948"/>
      <c r="S77" s="2949"/>
      <c r="T77" s="2948"/>
      <c r="U77" s="2949"/>
      <c r="V77" s="2912"/>
      <c r="W77" s="2912"/>
    </row>
    <row r="78" spans="1:23" ht="15" hidden="1" customHeight="1" x14ac:dyDescent="0.35">
      <c r="A78" s="3028" t="s">
        <v>696</v>
      </c>
      <c r="B78" s="3029"/>
      <c r="C78" s="2914"/>
      <c r="D78" s="982" t="s">
        <v>697</v>
      </c>
      <c r="E78" s="983"/>
      <c r="F78" s="983"/>
      <c r="G78" s="983"/>
      <c r="H78" s="983"/>
      <c r="I78" s="983"/>
      <c r="J78" s="984"/>
      <c r="K78" s="3024"/>
      <c r="L78" s="2925"/>
      <c r="M78" s="2933">
        <v>69</v>
      </c>
      <c r="N78" s="2933">
        <v>7</v>
      </c>
      <c r="O78" s="2933">
        <v>7</v>
      </c>
      <c r="P78" s="2933">
        <f>M78+N78+O78</f>
        <v>83</v>
      </c>
      <c r="Q78" s="2933">
        <v>0.5</v>
      </c>
      <c r="R78" s="2940"/>
      <c r="S78" s="3080"/>
      <c r="T78" s="2940"/>
      <c r="U78" s="3080"/>
      <c r="V78" s="2925"/>
      <c r="W78" s="2925"/>
    </row>
    <row r="79" spans="1:23" ht="15" hidden="1" customHeight="1" x14ac:dyDescent="0.35">
      <c r="A79" s="3053"/>
      <c r="B79" s="3054"/>
      <c r="C79" s="3055"/>
      <c r="D79" s="996" t="s">
        <v>698</v>
      </c>
      <c r="E79" s="997"/>
      <c r="F79" s="997"/>
      <c r="G79" s="997"/>
      <c r="H79" s="997"/>
      <c r="I79" s="997"/>
      <c r="J79" s="998"/>
      <c r="K79" s="3078"/>
      <c r="L79" s="2926"/>
      <c r="M79" s="2933"/>
      <c r="N79" s="2933"/>
      <c r="O79" s="2933"/>
      <c r="P79" s="2933"/>
      <c r="Q79" s="2933"/>
      <c r="R79" s="3081"/>
      <c r="S79" s="3082"/>
      <c r="T79" s="3081"/>
      <c r="U79" s="3082"/>
      <c r="V79" s="2926"/>
      <c r="W79" s="2926"/>
    </row>
    <row r="80" spans="1:23" ht="7.15" hidden="1" customHeight="1" x14ac:dyDescent="0.35">
      <c r="A80" s="3075"/>
      <c r="B80" s="3076"/>
      <c r="C80" s="3077"/>
      <c r="D80" s="1003"/>
      <c r="E80" s="1004"/>
      <c r="F80" s="1004"/>
      <c r="G80" s="1004"/>
      <c r="H80" s="1004"/>
      <c r="I80" s="1004"/>
      <c r="J80" s="1005"/>
      <c r="K80" s="3079"/>
      <c r="L80" s="2927"/>
      <c r="M80" s="2933"/>
      <c r="N80" s="2933"/>
      <c r="O80" s="2933"/>
      <c r="P80" s="2933"/>
      <c r="Q80" s="2933"/>
      <c r="R80" s="3083"/>
      <c r="S80" s="3084"/>
      <c r="T80" s="3083"/>
      <c r="U80" s="3084"/>
      <c r="V80" s="2927"/>
      <c r="W80" s="2927"/>
    </row>
    <row r="81" spans="1:23" ht="16" thickBot="1" x14ac:dyDescent="0.4">
      <c r="A81" s="3068" t="s">
        <v>699</v>
      </c>
      <c r="B81" s="3069"/>
      <c r="C81" s="3070"/>
      <c r="D81" s="996" t="s">
        <v>700</v>
      </c>
      <c r="E81" s="997"/>
      <c r="F81" s="997"/>
      <c r="G81" s="997"/>
      <c r="H81" s="997"/>
      <c r="I81" s="997"/>
      <c r="J81" s="998"/>
      <c r="K81" s="3071">
        <v>25</v>
      </c>
      <c r="L81" s="3072"/>
      <c r="M81" s="880">
        <v>28</v>
      </c>
      <c r="N81" s="880">
        <v>7</v>
      </c>
      <c r="O81" s="880">
        <v>7</v>
      </c>
      <c r="P81" s="880">
        <f>M81+N81+O81</f>
        <v>42</v>
      </c>
      <c r="Q81" s="882">
        <v>434.79176000000001</v>
      </c>
      <c r="R81" s="3073">
        <v>10.6</v>
      </c>
      <c r="S81" s="3074"/>
      <c r="T81" s="3073">
        <v>11.1</v>
      </c>
      <c r="U81" s="3074"/>
      <c r="V81" s="1543">
        <v>26.5</v>
      </c>
      <c r="W81" s="1543">
        <v>28.1</v>
      </c>
    </row>
    <row r="82" spans="1:23" ht="15" x14ac:dyDescent="0.3">
      <c r="A82" s="3040" t="s">
        <v>701</v>
      </c>
      <c r="B82" s="3041"/>
      <c r="C82" s="3042"/>
      <c r="D82" s="976" t="s">
        <v>702</v>
      </c>
      <c r="E82" s="977"/>
      <c r="F82" s="977"/>
      <c r="G82" s="977"/>
      <c r="H82" s="977"/>
      <c r="I82" s="977"/>
      <c r="J82" s="978"/>
      <c r="K82" s="3010">
        <f>K85+K90+K84</f>
        <v>754.5</v>
      </c>
      <c r="L82" s="2911"/>
      <c r="M82" s="2933">
        <v>530</v>
      </c>
      <c r="N82" s="2933"/>
      <c r="O82" s="2933"/>
      <c r="P82" s="2933">
        <f>P84+P85+P90</f>
        <v>590</v>
      </c>
      <c r="Q82" s="2944">
        <v>375.10428000000002</v>
      </c>
      <c r="R82" s="2946">
        <f>R85+R90+R84</f>
        <v>1540</v>
      </c>
      <c r="S82" s="2947"/>
      <c r="T82" s="2946">
        <f>T85+T90+T84</f>
        <v>755</v>
      </c>
      <c r="U82" s="2947"/>
      <c r="V82" s="2911">
        <f>V85</f>
        <v>0</v>
      </c>
      <c r="W82" s="2911">
        <f>W85</f>
        <v>0</v>
      </c>
    </row>
    <row r="83" spans="1:23" thickBot="1" x14ac:dyDescent="0.35">
      <c r="A83" s="3043"/>
      <c r="B83" s="3044"/>
      <c r="C83" s="3045"/>
      <c r="D83" s="979" t="s">
        <v>703</v>
      </c>
      <c r="E83" s="980"/>
      <c r="F83" s="980"/>
      <c r="G83" s="980"/>
      <c r="H83" s="980"/>
      <c r="I83" s="980"/>
      <c r="J83" s="981"/>
      <c r="K83" s="3012"/>
      <c r="L83" s="2912"/>
      <c r="M83" s="2931"/>
      <c r="N83" s="2931"/>
      <c r="O83" s="2931"/>
      <c r="P83" s="2931"/>
      <c r="Q83" s="2945"/>
      <c r="R83" s="2948"/>
      <c r="S83" s="2949"/>
      <c r="T83" s="2948"/>
      <c r="U83" s="2949"/>
      <c r="V83" s="2912"/>
      <c r="W83" s="2912"/>
    </row>
    <row r="84" spans="1:23" ht="15.65" hidden="1" customHeight="1" x14ac:dyDescent="0.35">
      <c r="A84" s="3061" t="s">
        <v>704</v>
      </c>
      <c r="B84" s="3062"/>
      <c r="C84" s="3063"/>
      <c r="D84" s="1006" t="s">
        <v>705</v>
      </c>
      <c r="E84" s="1007"/>
      <c r="F84" s="1007"/>
      <c r="G84" s="1007"/>
      <c r="H84" s="1007"/>
      <c r="I84" s="1007"/>
      <c r="J84" s="1008"/>
      <c r="K84" s="3064"/>
      <c r="L84" s="3065"/>
      <c r="M84" s="883"/>
      <c r="N84" s="884"/>
      <c r="O84" s="884"/>
      <c r="P84" s="884"/>
      <c r="Q84" s="885">
        <v>62.085000000000001</v>
      </c>
      <c r="R84" s="3066"/>
      <c r="S84" s="3067"/>
      <c r="T84" s="3066"/>
      <c r="U84" s="3067"/>
      <c r="V84" s="1041"/>
      <c r="W84" s="1041"/>
    </row>
    <row r="85" spans="1:23" x14ac:dyDescent="0.35">
      <c r="A85" s="3057" t="s">
        <v>706</v>
      </c>
      <c r="B85" s="3058"/>
      <c r="C85" s="3059"/>
      <c r="D85" s="996" t="s">
        <v>707</v>
      </c>
      <c r="E85" s="997"/>
      <c r="F85" s="997"/>
      <c r="G85" s="997"/>
      <c r="H85" s="997"/>
      <c r="I85" s="997"/>
      <c r="J85" s="998"/>
      <c r="K85" s="3060">
        <v>754.5</v>
      </c>
      <c r="L85" s="2928"/>
      <c r="M85" s="2932">
        <v>190</v>
      </c>
      <c r="N85" s="2932">
        <v>30</v>
      </c>
      <c r="O85" s="2932">
        <v>30</v>
      </c>
      <c r="P85" s="2932">
        <f>M85+N85+O85</f>
        <v>250</v>
      </c>
      <c r="Q85" s="3052">
        <v>243.4375</v>
      </c>
      <c r="R85" s="2942">
        <v>1540</v>
      </c>
      <c r="S85" s="2943"/>
      <c r="T85" s="2942">
        <v>755</v>
      </c>
      <c r="U85" s="2943"/>
      <c r="V85" s="2928">
        <v>0</v>
      </c>
      <c r="W85" s="2928">
        <v>0</v>
      </c>
    </row>
    <row r="86" spans="1:23" x14ac:dyDescent="0.35">
      <c r="A86" s="3053"/>
      <c r="B86" s="3054"/>
      <c r="C86" s="3055"/>
      <c r="D86" s="996" t="s">
        <v>708</v>
      </c>
      <c r="E86" s="997"/>
      <c r="F86" s="997"/>
      <c r="G86" s="997"/>
      <c r="H86" s="997"/>
      <c r="I86" s="997"/>
      <c r="J86" s="998"/>
      <c r="K86" s="3056"/>
      <c r="L86" s="2923"/>
      <c r="M86" s="2933"/>
      <c r="N86" s="2933"/>
      <c r="O86" s="2933"/>
      <c r="P86" s="2933"/>
      <c r="Q86" s="2944"/>
      <c r="R86" s="2942"/>
      <c r="S86" s="2943"/>
      <c r="T86" s="2942"/>
      <c r="U86" s="2943"/>
      <c r="V86" s="2923"/>
      <c r="W86" s="2923"/>
    </row>
    <row r="87" spans="1:23" x14ac:dyDescent="0.35">
      <c r="A87" s="3053"/>
      <c r="B87" s="3054"/>
      <c r="C87" s="3055"/>
      <c r="D87" s="996" t="s">
        <v>709</v>
      </c>
      <c r="E87" s="997"/>
      <c r="F87" s="997"/>
      <c r="G87" s="997"/>
      <c r="H87" s="997"/>
      <c r="I87" s="997"/>
      <c r="J87" s="998"/>
      <c r="K87" s="3056"/>
      <c r="L87" s="2923"/>
      <c r="M87" s="2933"/>
      <c r="N87" s="2933"/>
      <c r="O87" s="2933"/>
      <c r="P87" s="2933"/>
      <c r="Q87" s="2944"/>
      <c r="R87" s="2942"/>
      <c r="S87" s="2943"/>
      <c r="T87" s="2942"/>
      <c r="U87" s="2943"/>
      <c r="V87" s="2923"/>
      <c r="W87" s="2923"/>
    </row>
    <row r="88" spans="1:23" x14ac:dyDescent="0.35">
      <c r="A88" s="3053"/>
      <c r="B88" s="3054"/>
      <c r="C88" s="3055"/>
      <c r="D88" s="996" t="s">
        <v>710</v>
      </c>
      <c r="E88" s="997"/>
      <c r="F88" s="997"/>
      <c r="G88" s="997"/>
      <c r="H88" s="997"/>
      <c r="I88" s="997"/>
      <c r="J88" s="998"/>
      <c r="K88" s="3056"/>
      <c r="L88" s="2923"/>
      <c r="M88" s="2933"/>
      <c r="N88" s="2933"/>
      <c r="O88" s="2933"/>
      <c r="P88" s="2933"/>
      <c r="Q88" s="2944"/>
      <c r="R88" s="2942"/>
      <c r="S88" s="2943"/>
      <c r="T88" s="2942"/>
      <c r="U88" s="2943"/>
      <c r="V88" s="2923"/>
      <c r="W88" s="2923"/>
    </row>
    <row r="89" spans="1:23" ht="16" thickBot="1" x14ac:dyDescent="0.4">
      <c r="A89" s="3030"/>
      <c r="B89" s="3031"/>
      <c r="C89" s="2915"/>
      <c r="D89" s="985" t="s">
        <v>711</v>
      </c>
      <c r="E89" s="986"/>
      <c r="F89" s="986"/>
      <c r="G89" s="986"/>
      <c r="H89" s="986"/>
      <c r="I89" s="986"/>
      <c r="J89" s="987"/>
      <c r="K89" s="3025"/>
      <c r="L89" s="2924"/>
      <c r="M89" s="2933"/>
      <c r="N89" s="2933"/>
      <c r="O89" s="2933"/>
      <c r="P89" s="2933"/>
      <c r="Q89" s="2944"/>
      <c r="R89" s="2950"/>
      <c r="S89" s="2951"/>
      <c r="T89" s="2950"/>
      <c r="U89" s="2951"/>
      <c r="V89" s="2924"/>
      <c r="W89" s="2924"/>
    </row>
    <row r="90" spans="1:23" ht="15.65" hidden="1" customHeight="1" thickBot="1" x14ac:dyDescent="0.4">
      <c r="A90" s="3028" t="s">
        <v>712</v>
      </c>
      <c r="B90" s="3029"/>
      <c r="C90" s="2914"/>
      <c r="D90" s="996" t="s">
        <v>713</v>
      </c>
      <c r="E90" s="997"/>
      <c r="F90" s="997"/>
      <c r="G90" s="997"/>
      <c r="H90" s="997"/>
      <c r="I90" s="997"/>
      <c r="J90" s="998"/>
      <c r="K90" s="3024"/>
      <c r="L90" s="2922"/>
      <c r="M90" s="2933">
        <v>340</v>
      </c>
      <c r="N90" s="2933"/>
      <c r="O90" s="2933"/>
      <c r="P90" s="2933">
        <f>M90+N90+O90</f>
        <v>340</v>
      </c>
      <c r="Q90" s="2944">
        <v>69.581779999999995</v>
      </c>
      <c r="R90" s="2940"/>
      <c r="S90" s="2941"/>
      <c r="T90" s="2940"/>
      <c r="U90" s="2941"/>
      <c r="V90" s="2922"/>
      <c r="W90" s="2922"/>
    </row>
    <row r="91" spans="1:23" ht="15.65" hidden="1" customHeight="1" thickBot="1" x14ac:dyDescent="0.4">
      <c r="A91" s="3053"/>
      <c r="B91" s="3054"/>
      <c r="C91" s="3055"/>
      <c r="D91" s="996" t="s">
        <v>714</v>
      </c>
      <c r="E91" s="997"/>
      <c r="F91" s="997"/>
      <c r="G91" s="997"/>
      <c r="H91" s="997"/>
      <c r="I91" s="997"/>
      <c r="J91" s="998"/>
      <c r="K91" s="3056"/>
      <c r="L91" s="2923"/>
      <c r="M91" s="2933"/>
      <c r="N91" s="2933"/>
      <c r="O91" s="2933"/>
      <c r="P91" s="2933"/>
      <c r="Q91" s="2944"/>
      <c r="R91" s="2942"/>
      <c r="S91" s="2943"/>
      <c r="T91" s="2942"/>
      <c r="U91" s="2943"/>
      <c r="V91" s="2923"/>
      <c r="W91" s="2923"/>
    </row>
    <row r="92" spans="1:23" ht="15.65" hidden="1" customHeight="1" thickBot="1" x14ac:dyDescent="0.4">
      <c r="A92" s="3053"/>
      <c r="B92" s="3054"/>
      <c r="C92" s="3055"/>
      <c r="D92" s="996" t="s">
        <v>715</v>
      </c>
      <c r="E92" s="997"/>
      <c r="F92" s="997"/>
      <c r="G92" s="997"/>
      <c r="H92" s="997"/>
      <c r="I92" s="997"/>
      <c r="J92" s="998"/>
      <c r="K92" s="3056"/>
      <c r="L92" s="2923"/>
      <c r="M92" s="2933"/>
      <c r="N92" s="2933"/>
      <c r="O92" s="2933"/>
      <c r="P92" s="2933"/>
      <c r="Q92" s="2944"/>
      <c r="R92" s="2942"/>
      <c r="S92" s="2943"/>
      <c r="T92" s="2942"/>
      <c r="U92" s="2943"/>
      <c r="V92" s="2923"/>
      <c r="W92" s="2923"/>
    </row>
    <row r="93" spans="1:23" ht="15.75" hidden="1" customHeight="1" thickBot="1" x14ac:dyDescent="0.4">
      <c r="A93" s="996"/>
      <c r="B93" s="997"/>
      <c r="C93" s="998"/>
      <c r="D93" s="996"/>
      <c r="E93" s="997"/>
      <c r="F93" s="997"/>
      <c r="G93" s="997"/>
      <c r="H93" s="997"/>
      <c r="I93" s="997"/>
      <c r="J93" s="998"/>
      <c r="K93" s="3025"/>
      <c r="L93" s="2924"/>
      <c r="M93" s="880"/>
      <c r="N93" s="880"/>
      <c r="O93" s="880"/>
      <c r="P93" s="880"/>
      <c r="Q93" s="886"/>
      <c r="R93" s="2942"/>
      <c r="S93" s="2943"/>
      <c r="T93" s="2942"/>
      <c r="U93" s="2943"/>
      <c r="V93" s="2924"/>
      <c r="W93" s="2924"/>
    </row>
    <row r="94" spans="1:23" ht="15.75" customHeight="1" x14ac:dyDescent="0.35">
      <c r="A94" s="3040" t="s">
        <v>716</v>
      </c>
      <c r="B94" s="3041"/>
      <c r="C94" s="3042"/>
      <c r="D94" s="3046" t="s">
        <v>717</v>
      </c>
      <c r="E94" s="3047"/>
      <c r="F94" s="3047"/>
      <c r="G94" s="3047"/>
      <c r="H94" s="3047"/>
      <c r="I94" s="3047"/>
      <c r="J94" s="3048"/>
      <c r="K94" s="3010">
        <f>K96</f>
        <v>20</v>
      </c>
      <c r="L94" s="2911"/>
      <c r="M94" s="880"/>
      <c r="N94" s="880"/>
      <c r="O94" s="880"/>
      <c r="P94" s="880"/>
      <c r="Q94" s="886"/>
      <c r="R94" s="2946">
        <f>R96</f>
        <v>10</v>
      </c>
      <c r="S94" s="2947"/>
      <c r="T94" s="2946">
        <f>T96</f>
        <v>11</v>
      </c>
      <c r="U94" s="2947"/>
      <c r="V94" s="2911">
        <f>V96</f>
        <v>20</v>
      </c>
      <c r="W94" s="2911">
        <f>W96</f>
        <v>20</v>
      </c>
    </row>
    <row r="95" spans="1:23" ht="15.75" customHeight="1" thickBot="1" x14ac:dyDescent="0.4">
      <c r="A95" s="3043"/>
      <c r="B95" s="3044"/>
      <c r="C95" s="3045"/>
      <c r="D95" s="3049"/>
      <c r="E95" s="3050"/>
      <c r="F95" s="3050"/>
      <c r="G95" s="3050"/>
      <c r="H95" s="3050"/>
      <c r="I95" s="3050"/>
      <c r="J95" s="3051"/>
      <c r="K95" s="3012"/>
      <c r="L95" s="2912"/>
      <c r="M95" s="880"/>
      <c r="N95" s="880"/>
      <c r="O95" s="880"/>
      <c r="P95" s="880"/>
      <c r="Q95" s="886"/>
      <c r="R95" s="3038"/>
      <c r="S95" s="3039"/>
      <c r="T95" s="3038"/>
      <c r="U95" s="3039"/>
      <c r="V95" s="2912"/>
      <c r="W95" s="2912"/>
    </row>
    <row r="96" spans="1:23" ht="15.75" customHeight="1" x14ac:dyDescent="0.35">
      <c r="A96" s="3028" t="s">
        <v>718</v>
      </c>
      <c r="B96" s="3029"/>
      <c r="C96" s="2914"/>
      <c r="D96" s="3032" t="s">
        <v>719</v>
      </c>
      <c r="E96" s="3033"/>
      <c r="F96" s="3033"/>
      <c r="G96" s="3033"/>
      <c r="H96" s="3033"/>
      <c r="I96" s="3033"/>
      <c r="J96" s="3034"/>
      <c r="K96" s="3024">
        <v>20</v>
      </c>
      <c r="L96" s="2922"/>
      <c r="M96" s="880"/>
      <c r="N96" s="880"/>
      <c r="O96" s="880"/>
      <c r="P96" s="880"/>
      <c r="Q96" s="886"/>
      <c r="R96" s="2940">
        <v>10</v>
      </c>
      <c r="S96" s="2941"/>
      <c r="T96" s="2940">
        <v>11</v>
      </c>
      <c r="U96" s="2941"/>
      <c r="V96" s="2922">
        <v>20</v>
      </c>
      <c r="W96" s="2922">
        <v>20</v>
      </c>
    </row>
    <row r="97" spans="1:26" ht="27" customHeight="1" thickBot="1" x14ac:dyDescent="0.4">
      <c r="A97" s="3030"/>
      <c r="B97" s="3031"/>
      <c r="C97" s="2915"/>
      <c r="D97" s="3035"/>
      <c r="E97" s="3036"/>
      <c r="F97" s="3036"/>
      <c r="G97" s="3036"/>
      <c r="H97" s="3036"/>
      <c r="I97" s="3036"/>
      <c r="J97" s="3037"/>
      <c r="K97" s="3025"/>
      <c r="L97" s="2924"/>
      <c r="M97" s="880"/>
      <c r="N97" s="880"/>
      <c r="O97" s="880"/>
      <c r="P97" s="880"/>
      <c r="Q97" s="886"/>
      <c r="R97" s="3026"/>
      <c r="S97" s="3027"/>
      <c r="T97" s="3026"/>
      <c r="U97" s="3027"/>
      <c r="V97" s="2924"/>
      <c r="W97" s="2924"/>
    </row>
    <row r="98" spans="1:26" ht="15" x14ac:dyDescent="0.3">
      <c r="A98" s="2968" t="s">
        <v>720</v>
      </c>
      <c r="B98" s="2969"/>
      <c r="C98" s="2970"/>
      <c r="D98" s="976"/>
      <c r="E98" s="977"/>
      <c r="F98" s="977"/>
      <c r="G98" s="977"/>
      <c r="H98" s="977"/>
      <c r="I98" s="977"/>
      <c r="J98" s="978"/>
      <c r="K98" s="3010">
        <f>K100</f>
        <v>25</v>
      </c>
      <c r="L98" s="2911"/>
      <c r="M98" s="2933">
        <v>90</v>
      </c>
      <c r="N98" s="2933"/>
      <c r="O98" s="2933"/>
      <c r="P98" s="2933">
        <f>P100</f>
        <v>150</v>
      </c>
      <c r="Q98" s="2944">
        <v>129.83756</v>
      </c>
      <c r="R98" s="2946">
        <f>R100</f>
        <v>21</v>
      </c>
      <c r="S98" s="2947"/>
      <c r="T98" s="2946">
        <f>T100</f>
        <v>22</v>
      </c>
      <c r="U98" s="2947"/>
      <c r="V98" s="2911">
        <f>V100</f>
        <v>26.5</v>
      </c>
      <c r="W98" s="2911">
        <f>W100</f>
        <v>28.1</v>
      </c>
    </row>
    <row r="99" spans="1:26" thickBot="1" x14ac:dyDescent="0.35">
      <c r="A99" s="2971"/>
      <c r="B99" s="2972"/>
      <c r="C99" s="2973"/>
      <c r="D99" s="1009" t="s">
        <v>721</v>
      </c>
      <c r="E99" s="1010"/>
      <c r="F99" s="1010"/>
      <c r="G99" s="1010"/>
      <c r="H99" s="1010"/>
      <c r="I99" s="1010"/>
      <c r="J99" s="1011"/>
      <c r="K99" s="3012"/>
      <c r="L99" s="2912"/>
      <c r="M99" s="2933"/>
      <c r="N99" s="2933"/>
      <c r="O99" s="2933"/>
      <c r="P99" s="2933"/>
      <c r="Q99" s="2944"/>
      <c r="R99" s="3038"/>
      <c r="S99" s="3039"/>
      <c r="T99" s="3038"/>
      <c r="U99" s="3039"/>
      <c r="V99" s="2912"/>
      <c r="W99" s="2912"/>
    </row>
    <row r="100" spans="1:26" ht="15" customHeight="1" x14ac:dyDescent="0.3">
      <c r="A100" s="3018" t="s">
        <v>722</v>
      </c>
      <c r="B100" s="3019"/>
      <c r="C100" s="3020"/>
      <c r="D100" s="976"/>
      <c r="E100" s="977"/>
      <c r="F100" s="977"/>
      <c r="G100" s="977"/>
      <c r="H100" s="977"/>
      <c r="I100" s="977"/>
      <c r="J100" s="978"/>
      <c r="K100" s="3024">
        <v>25</v>
      </c>
      <c r="L100" s="2922"/>
      <c r="M100" s="2933">
        <v>90</v>
      </c>
      <c r="N100" s="2933">
        <v>30</v>
      </c>
      <c r="O100" s="2933">
        <v>30</v>
      </c>
      <c r="P100" s="2933">
        <f>M100+N100+O100</f>
        <v>150</v>
      </c>
      <c r="Q100" s="2944">
        <v>117.42055999999999</v>
      </c>
      <c r="R100" s="2940">
        <v>21</v>
      </c>
      <c r="S100" s="2941"/>
      <c r="T100" s="2940">
        <v>22</v>
      </c>
      <c r="U100" s="2941"/>
      <c r="V100" s="2922">
        <v>26.5</v>
      </c>
      <c r="W100" s="2922">
        <v>28.1</v>
      </c>
    </row>
    <row r="101" spans="1:26" ht="16" thickBot="1" x14ac:dyDescent="0.4">
      <c r="A101" s="3021"/>
      <c r="B101" s="3022"/>
      <c r="C101" s="3023"/>
      <c r="D101" s="1003" t="s">
        <v>723</v>
      </c>
      <c r="E101" s="1010"/>
      <c r="F101" s="1010"/>
      <c r="G101" s="1010"/>
      <c r="H101" s="1010"/>
      <c r="I101" s="1010"/>
      <c r="J101" s="1011"/>
      <c r="K101" s="3025"/>
      <c r="L101" s="2924"/>
      <c r="M101" s="2933"/>
      <c r="N101" s="2933"/>
      <c r="O101" s="2933"/>
      <c r="P101" s="2933"/>
      <c r="Q101" s="2944"/>
      <c r="R101" s="3026"/>
      <c r="S101" s="3027"/>
      <c r="T101" s="3026"/>
      <c r="U101" s="3027"/>
      <c r="V101" s="2924"/>
      <c r="W101" s="2924"/>
    </row>
    <row r="102" spans="1:26" ht="15" x14ac:dyDescent="0.3">
      <c r="A102" s="2968" t="s">
        <v>724</v>
      </c>
      <c r="B102" s="2969"/>
      <c r="C102" s="2970"/>
      <c r="D102" s="976"/>
      <c r="E102" s="977"/>
      <c r="F102" s="977"/>
      <c r="G102" s="977"/>
      <c r="H102" s="977"/>
      <c r="I102" s="977"/>
      <c r="J102" s="978"/>
      <c r="K102" s="3010">
        <f>K105+K107+K108+K111+K112+K115</f>
        <v>19035.8</v>
      </c>
      <c r="L102" s="2911"/>
      <c r="M102" s="2933">
        <v>8484.0619999999999</v>
      </c>
      <c r="N102" s="2933"/>
      <c r="O102" s="2933"/>
      <c r="P102" s="2933">
        <f>P105+P111+P112+P113+P115</f>
        <v>8524.0619999999999</v>
      </c>
      <c r="Q102" s="2944">
        <v>3580.9459499999998</v>
      </c>
      <c r="R102" s="2934">
        <f>R105+R111+R112+R113+R115+R106+S108+R114+R110+R109</f>
        <v>810.5</v>
      </c>
      <c r="S102" s="2935"/>
      <c r="T102" s="2934">
        <f>T105+T111+T112+T113+T115+T106+U108+T114+T110+T109</f>
        <v>818.5</v>
      </c>
      <c r="U102" s="2935"/>
      <c r="V102" s="2911">
        <f>V105+V107+V108+V111+V112+V115</f>
        <v>19076</v>
      </c>
      <c r="W102" s="2911">
        <f>W105+W107+W108+W111+W112+W115</f>
        <v>18639.400000000001</v>
      </c>
    </row>
    <row r="103" spans="1:26" ht="15" x14ac:dyDescent="0.3">
      <c r="A103" s="3007"/>
      <c r="B103" s="3008"/>
      <c r="C103" s="3009"/>
      <c r="D103" s="999" t="s">
        <v>725</v>
      </c>
      <c r="E103" s="1000"/>
      <c r="F103" s="1000"/>
      <c r="G103" s="1000"/>
      <c r="H103" s="1000"/>
      <c r="I103" s="1000"/>
      <c r="J103" s="1001"/>
      <c r="K103" s="3011"/>
      <c r="L103" s="2921"/>
      <c r="M103" s="2933"/>
      <c r="N103" s="2933"/>
      <c r="O103" s="2933"/>
      <c r="P103" s="2933"/>
      <c r="Q103" s="2944"/>
      <c r="R103" s="3003"/>
      <c r="S103" s="3004"/>
      <c r="T103" s="3003"/>
      <c r="U103" s="3004"/>
      <c r="V103" s="2921"/>
      <c r="W103" s="2921"/>
    </row>
    <row r="104" spans="1:26" ht="0.75" customHeight="1" thickBot="1" x14ac:dyDescent="0.4">
      <c r="A104" s="979"/>
      <c r="B104" s="980"/>
      <c r="C104" s="981"/>
      <c r="D104" s="979"/>
      <c r="E104" s="980"/>
      <c r="F104" s="980"/>
      <c r="G104" s="980"/>
      <c r="H104" s="980"/>
      <c r="I104" s="980"/>
      <c r="J104" s="981"/>
      <c r="K104" s="3012"/>
      <c r="L104" s="2912"/>
      <c r="M104" s="880"/>
      <c r="N104" s="880"/>
      <c r="O104" s="880"/>
      <c r="P104" s="880"/>
      <c r="Q104" s="886"/>
      <c r="R104" s="2936"/>
      <c r="S104" s="2937"/>
      <c r="T104" s="2936"/>
      <c r="U104" s="2937"/>
      <c r="V104" s="2912"/>
      <c r="W104" s="2912"/>
    </row>
    <row r="105" spans="1:26" ht="34.5" customHeight="1" thickBot="1" x14ac:dyDescent="0.4">
      <c r="A105" s="2958" t="s">
        <v>976</v>
      </c>
      <c r="B105" s="2959"/>
      <c r="C105" s="2960"/>
      <c r="D105" s="2978" t="s">
        <v>864</v>
      </c>
      <c r="E105" s="2979"/>
      <c r="F105" s="2979"/>
      <c r="G105" s="2979"/>
      <c r="H105" s="2979"/>
      <c r="I105" s="2979"/>
      <c r="J105" s="2980"/>
      <c r="K105" s="2964">
        <v>16236.3</v>
      </c>
      <c r="L105" s="2965"/>
      <c r="M105" s="880">
        <v>6410.5</v>
      </c>
      <c r="N105" s="880"/>
      <c r="O105" s="880"/>
      <c r="P105" s="880">
        <f>M105</f>
        <v>6410.5</v>
      </c>
      <c r="Q105" s="886">
        <v>1538.52</v>
      </c>
      <c r="R105" s="3005"/>
      <c r="S105" s="3006"/>
      <c r="T105" s="3005"/>
      <c r="U105" s="3006"/>
      <c r="V105" s="1037">
        <v>16223.5</v>
      </c>
      <c r="W105" s="1037">
        <v>16517.7</v>
      </c>
    </row>
    <row r="106" spans="1:26" ht="34.5" hidden="1" customHeight="1" thickBot="1" x14ac:dyDescent="0.4">
      <c r="A106" s="2958" t="s">
        <v>727</v>
      </c>
      <c r="B106" s="2959"/>
      <c r="C106" s="2960"/>
      <c r="D106" s="2978" t="s">
        <v>728</v>
      </c>
      <c r="E106" s="2979"/>
      <c r="F106" s="2979"/>
      <c r="G106" s="2979"/>
      <c r="H106" s="2979"/>
      <c r="I106" s="2979"/>
      <c r="J106" s="2980"/>
      <c r="K106" s="3013"/>
      <c r="L106" s="3014"/>
      <c r="M106" s="880"/>
      <c r="N106" s="880"/>
      <c r="O106" s="880"/>
      <c r="P106" s="880"/>
      <c r="Q106" s="886"/>
      <c r="R106" s="2938"/>
      <c r="S106" s="2939"/>
      <c r="T106" s="2938"/>
      <c r="U106" s="2939"/>
      <c r="V106" s="1040"/>
      <c r="W106" s="1040"/>
    </row>
    <row r="107" spans="1:26" ht="61.5" customHeight="1" thickBot="1" x14ac:dyDescent="0.4">
      <c r="A107" s="3015" t="s">
        <v>975</v>
      </c>
      <c r="B107" s="3016"/>
      <c r="C107" s="3017"/>
      <c r="D107" s="2978" t="s">
        <v>888</v>
      </c>
      <c r="E107" s="2999"/>
      <c r="F107" s="2999"/>
      <c r="G107" s="2999"/>
      <c r="H107" s="2999"/>
      <c r="I107" s="2999"/>
      <c r="J107" s="3000"/>
      <c r="K107" s="2929">
        <v>388.9</v>
      </c>
      <c r="L107" s="2930"/>
      <c r="M107" s="907"/>
      <c r="N107" s="907"/>
      <c r="O107" s="907"/>
      <c r="P107" s="907"/>
      <c r="Q107" s="910"/>
      <c r="R107" s="908"/>
      <c r="S107" s="909"/>
      <c r="T107" s="908"/>
      <c r="U107" s="909"/>
      <c r="V107" s="1036">
        <v>388.9</v>
      </c>
      <c r="W107" s="1036">
        <v>388.9</v>
      </c>
    </row>
    <row r="108" spans="1:26" ht="36.65" customHeight="1" thickBot="1" x14ac:dyDescent="0.4">
      <c r="A108" s="2958" t="s">
        <v>974</v>
      </c>
      <c r="B108" s="2959"/>
      <c r="C108" s="2960"/>
      <c r="D108" s="2978" t="s">
        <v>890</v>
      </c>
      <c r="E108" s="2999"/>
      <c r="F108" s="2999"/>
      <c r="G108" s="2999"/>
      <c r="H108" s="2999"/>
      <c r="I108" s="2999"/>
      <c r="J108" s="3000"/>
      <c r="K108" s="3001">
        <v>976.8</v>
      </c>
      <c r="L108" s="3002"/>
      <c r="M108" s="1691">
        <v>485.56200000000001</v>
      </c>
      <c r="N108" s="1691"/>
      <c r="O108" s="1691"/>
      <c r="P108" s="1691">
        <v>485.56200000000001</v>
      </c>
      <c r="Q108" s="1692">
        <v>485.56200000000001</v>
      </c>
      <c r="R108" s="1694"/>
      <c r="S108" s="1695"/>
      <c r="T108" s="1694"/>
      <c r="U108" s="1695"/>
      <c r="V108" s="1696">
        <v>976.8</v>
      </c>
      <c r="W108" s="1699">
        <v>976.8</v>
      </c>
      <c r="X108" s="1702">
        <v>1333.1</v>
      </c>
      <c r="Y108" s="1702">
        <v>1333.1</v>
      </c>
      <c r="Z108" s="1702">
        <v>1333.1</v>
      </c>
    </row>
    <row r="109" spans="1:26" ht="60.65" hidden="1" customHeight="1" thickBot="1" x14ac:dyDescent="0.4">
      <c r="A109" s="2958" t="s">
        <v>731</v>
      </c>
      <c r="B109" s="2959"/>
      <c r="C109" s="2960"/>
      <c r="D109" s="2993" t="s">
        <v>732</v>
      </c>
      <c r="E109" s="2994"/>
      <c r="F109" s="2994"/>
      <c r="G109" s="2994"/>
      <c r="H109" s="2994"/>
      <c r="I109" s="2994"/>
      <c r="J109" s="2995"/>
      <c r="K109" s="2981"/>
      <c r="L109" s="2982"/>
      <c r="M109" s="880"/>
      <c r="N109" s="880"/>
      <c r="O109" s="880"/>
      <c r="P109" s="880"/>
      <c r="Q109" s="886"/>
      <c r="R109" s="2983"/>
      <c r="S109" s="2984"/>
      <c r="T109" s="2983"/>
      <c r="U109" s="2984"/>
      <c r="V109" s="1038"/>
      <c r="W109" s="1700"/>
      <c r="X109" s="1702"/>
      <c r="Y109" s="1702"/>
      <c r="Z109" s="1702"/>
    </row>
    <row r="110" spans="1:26" ht="60.65" hidden="1" customHeight="1" thickBot="1" x14ac:dyDescent="0.4">
      <c r="A110" s="2958" t="s">
        <v>733</v>
      </c>
      <c r="B110" s="2959"/>
      <c r="C110" s="2960"/>
      <c r="D110" s="2996" t="s">
        <v>734</v>
      </c>
      <c r="E110" s="2997"/>
      <c r="F110" s="2997"/>
      <c r="G110" s="2997"/>
      <c r="H110" s="2997"/>
      <c r="I110" s="2997"/>
      <c r="J110" s="2998"/>
      <c r="K110" s="2981"/>
      <c r="L110" s="2982"/>
      <c r="M110" s="880"/>
      <c r="N110" s="880"/>
      <c r="O110" s="880"/>
      <c r="P110" s="880"/>
      <c r="Q110" s="886"/>
      <c r="R110" s="2983"/>
      <c r="S110" s="2984"/>
      <c r="T110" s="2983"/>
      <c r="U110" s="2984"/>
      <c r="V110" s="1038"/>
      <c r="W110" s="1700"/>
      <c r="X110" s="1702"/>
      <c r="Y110" s="1702"/>
      <c r="Z110" s="1702"/>
    </row>
    <row r="111" spans="1:26" ht="36.75" customHeight="1" thickBot="1" x14ac:dyDescent="0.4">
      <c r="A111" s="2958" t="s">
        <v>973</v>
      </c>
      <c r="B111" s="2959"/>
      <c r="C111" s="2960"/>
      <c r="D111" s="2978" t="s">
        <v>736</v>
      </c>
      <c r="E111" s="2979"/>
      <c r="F111" s="2979"/>
      <c r="G111" s="2979"/>
      <c r="H111" s="2979"/>
      <c r="I111" s="2979"/>
      <c r="J111" s="2980"/>
      <c r="K111" s="2989">
        <v>727.8</v>
      </c>
      <c r="L111" s="2990"/>
      <c r="M111" s="1691">
        <v>485.56200000000001</v>
      </c>
      <c r="N111" s="1691"/>
      <c r="O111" s="1691"/>
      <c r="P111" s="1691">
        <v>485.56200000000001</v>
      </c>
      <c r="Q111" s="1692">
        <v>485.56200000000001</v>
      </c>
      <c r="R111" s="2991"/>
      <c r="S111" s="2992"/>
      <c r="T111" s="2991"/>
      <c r="U111" s="2992"/>
      <c r="V111" s="1693">
        <v>755.8</v>
      </c>
      <c r="W111" s="1701">
        <v>0</v>
      </c>
      <c r="X111" s="1702">
        <v>834.7</v>
      </c>
      <c r="Y111" s="1702">
        <v>844.2</v>
      </c>
      <c r="Z111" s="1702">
        <v>874.4</v>
      </c>
    </row>
    <row r="112" spans="1:26" ht="51.75" customHeight="1" thickBot="1" x14ac:dyDescent="0.4">
      <c r="A112" s="2958" t="s">
        <v>972</v>
      </c>
      <c r="B112" s="2959"/>
      <c r="C112" s="2960"/>
      <c r="D112" s="2978" t="s">
        <v>889</v>
      </c>
      <c r="E112" s="2979"/>
      <c r="F112" s="2979"/>
      <c r="G112" s="2979"/>
      <c r="H112" s="2979"/>
      <c r="I112" s="2979"/>
      <c r="J112" s="2980"/>
      <c r="K112" s="2989">
        <v>656</v>
      </c>
      <c r="L112" s="2990"/>
      <c r="M112" s="1691">
        <v>10</v>
      </c>
      <c r="N112" s="1691"/>
      <c r="O112" s="1691"/>
      <c r="P112" s="1691">
        <v>10</v>
      </c>
      <c r="Q112" s="1692">
        <v>10</v>
      </c>
      <c r="R112" s="2991">
        <v>598.5</v>
      </c>
      <c r="S112" s="2992"/>
      <c r="T112" s="2991">
        <v>598.5</v>
      </c>
      <c r="U112" s="2992"/>
      <c r="V112" s="1693">
        <v>656</v>
      </c>
      <c r="W112" s="1701">
        <v>656</v>
      </c>
      <c r="X112" s="1702">
        <v>7.1</v>
      </c>
      <c r="Y112" s="1702">
        <v>7.1</v>
      </c>
      <c r="Z112" s="1702">
        <v>7.1</v>
      </c>
    </row>
    <row r="113" spans="1:26" ht="49.15" hidden="1" customHeight="1" thickBot="1" x14ac:dyDescent="0.4">
      <c r="A113" s="2958" t="s">
        <v>738</v>
      </c>
      <c r="B113" s="2959"/>
      <c r="C113" s="2960"/>
      <c r="D113" s="2978" t="s">
        <v>739</v>
      </c>
      <c r="E113" s="2979"/>
      <c r="F113" s="2979"/>
      <c r="G113" s="2979"/>
      <c r="H113" s="2979"/>
      <c r="I113" s="2979"/>
      <c r="J113" s="2980"/>
      <c r="K113" s="2981"/>
      <c r="L113" s="2982"/>
      <c r="M113" s="880">
        <v>613</v>
      </c>
      <c r="N113" s="880"/>
      <c r="O113" s="880"/>
      <c r="P113" s="880">
        <v>613</v>
      </c>
      <c r="Q113" s="886">
        <v>613</v>
      </c>
      <c r="R113" s="2983"/>
      <c r="S113" s="2984"/>
      <c r="T113" s="2983"/>
      <c r="U113" s="2984"/>
      <c r="V113" s="1038"/>
      <c r="W113" s="1038"/>
    </row>
    <row r="114" spans="1:26" ht="58.9" hidden="1" customHeight="1" thickBot="1" x14ac:dyDescent="0.4">
      <c r="A114" s="2958" t="s">
        <v>740</v>
      </c>
      <c r="B114" s="2959"/>
      <c r="C114" s="2960"/>
      <c r="D114" s="2978" t="s">
        <v>741</v>
      </c>
      <c r="E114" s="2979"/>
      <c r="F114" s="2979"/>
      <c r="G114" s="2979"/>
      <c r="H114" s="2979"/>
      <c r="I114" s="2979"/>
      <c r="J114" s="2980"/>
      <c r="K114" s="2985"/>
      <c r="L114" s="2986"/>
      <c r="M114" s="880"/>
      <c r="N114" s="880"/>
      <c r="O114" s="880"/>
      <c r="P114" s="880"/>
      <c r="Q114" s="886"/>
      <c r="R114" s="2987"/>
      <c r="S114" s="2988"/>
      <c r="T114" s="2987"/>
      <c r="U114" s="2988"/>
      <c r="V114" s="1039"/>
      <c r="W114" s="1039"/>
    </row>
    <row r="115" spans="1:26" ht="34.5" customHeight="1" thickBot="1" x14ac:dyDescent="0.4">
      <c r="A115" s="2958" t="s">
        <v>971</v>
      </c>
      <c r="B115" s="2959"/>
      <c r="C115" s="2960"/>
      <c r="D115" s="2961" t="s">
        <v>743</v>
      </c>
      <c r="E115" s="2962"/>
      <c r="F115" s="2962"/>
      <c r="G115" s="2962"/>
      <c r="H115" s="2962"/>
      <c r="I115" s="2962"/>
      <c r="J115" s="2963"/>
      <c r="K115" s="2964">
        <v>50</v>
      </c>
      <c r="L115" s="2965"/>
      <c r="M115" s="880">
        <v>965</v>
      </c>
      <c r="N115" s="880">
        <v>20</v>
      </c>
      <c r="O115" s="880">
        <v>20</v>
      </c>
      <c r="P115" s="880">
        <f>M115+N115+O115</f>
        <v>1005</v>
      </c>
      <c r="Q115" s="886">
        <v>1222.22</v>
      </c>
      <c r="R115" s="2966">
        <v>212</v>
      </c>
      <c r="S115" s="2967"/>
      <c r="T115" s="2966">
        <v>220</v>
      </c>
      <c r="U115" s="2967"/>
      <c r="V115" s="1037">
        <v>75</v>
      </c>
      <c r="W115" s="1037">
        <v>100</v>
      </c>
    </row>
    <row r="116" spans="1:26" ht="12.75" customHeight="1" x14ac:dyDescent="0.35">
      <c r="A116" s="2968" t="s">
        <v>744</v>
      </c>
      <c r="B116" s="2969"/>
      <c r="C116" s="2970"/>
      <c r="D116" s="982"/>
      <c r="E116" s="983"/>
      <c r="F116" s="983"/>
      <c r="G116" s="983"/>
      <c r="H116" s="983"/>
      <c r="I116" s="983"/>
      <c r="J116" s="984"/>
      <c r="K116" s="2974">
        <f>K102+K32</f>
        <v>89056.6</v>
      </c>
      <c r="L116" s="2975"/>
      <c r="M116" s="2933">
        <v>25719.42</v>
      </c>
      <c r="N116" s="2933"/>
      <c r="O116" s="2933"/>
      <c r="P116" s="2931">
        <f>P32+P102</f>
        <v>33106.455999999998</v>
      </c>
      <c r="Q116" s="2933"/>
      <c r="R116" s="2934">
        <f>R32+R102</f>
        <v>74406.700000000012</v>
      </c>
      <c r="S116" s="2935"/>
      <c r="T116" s="2934">
        <f>T32+T102</f>
        <v>76479.200000000012</v>
      </c>
      <c r="U116" s="2935"/>
      <c r="V116" s="2911">
        <f>V102+V32</f>
        <v>90091</v>
      </c>
      <c r="W116" s="2911">
        <f>W102+W32</f>
        <v>92491.5</v>
      </c>
    </row>
    <row r="117" spans="1:26" ht="16.5" customHeight="1" thickBot="1" x14ac:dyDescent="0.4">
      <c r="A117" s="2971"/>
      <c r="B117" s="2972"/>
      <c r="C117" s="2973"/>
      <c r="D117" s="979"/>
      <c r="E117" s="980"/>
      <c r="F117" s="980"/>
      <c r="G117" s="986"/>
      <c r="H117" s="986"/>
      <c r="I117" s="986"/>
      <c r="J117" s="987"/>
      <c r="K117" s="2976"/>
      <c r="L117" s="2977"/>
      <c r="M117" s="2933"/>
      <c r="N117" s="2933"/>
      <c r="O117" s="2933"/>
      <c r="P117" s="2932"/>
      <c r="Q117" s="2933"/>
      <c r="R117" s="2936"/>
      <c r="S117" s="2937"/>
      <c r="T117" s="2936"/>
      <c r="U117" s="2937"/>
      <c r="V117" s="2912"/>
      <c r="W117" s="2912"/>
    </row>
    <row r="118" spans="1:26" x14ac:dyDescent="0.35">
      <c r="K118" s="447"/>
      <c r="L118" s="447"/>
      <c r="N118" s="875">
        <f>SUM(N32:N117)</f>
        <v>3893.518</v>
      </c>
      <c r="O118" s="875">
        <f>SUM(O32:O117)</f>
        <v>3893.518</v>
      </c>
      <c r="P118" s="875">
        <f>M116+N118+O118</f>
        <v>33506.455999999998</v>
      </c>
    </row>
    <row r="119" spans="1:26" x14ac:dyDescent="0.35">
      <c r="X119" s="1703">
        <v>356.3</v>
      </c>
      <c r="Y119" s="1703">
        <v>356.3</v>
      </c>
      <c r="Z119" s="1703">
        <v>356.3</v>
      </c>
    </row>
    <row r="120" spans="1:26" x14ac:dyDescent="0.35">
      <c r="X120" s="1703">
        <v>106.9</v>
      </c>
      <c r="Y120" s="1703">
        <v>88.4</v>
      </c>
      <c r="Z120" s="1703">
        <v>874.4</v>
      </c>
    </row>
    <row r="121" spans="1:26" x14ac:dyDescent="0.35">
      <c r="X121" s="1703">
        <v>-648.9</v>
      </c>
      <c r="Y121" s="1703">
        <v>-648.9</v>
      </c>
      <c r="Z121" s="1703">
        <v>-648.9</v>
      </c>
    </row>
    <row r="122" spans="1:26" x14ac:dyDescent="0.35">
      <c r="W122" s="541" t="s">
        <v>977</v>
      </c>
      <c r="X122" s="1704">
        <f>SUM(X119:X121)</f>
        <v>-185.69999999999993</v>
      </c>
      <c r="Y122" s="1704">
        <f>SUM(Y119:Y121)</f>
        <v>-204.19999999999993</v>
      </c>
      <c r="Z122" s="1704">
        <f>SUM(Z119:Z121)</f>
        <v>581.80000000000007</v>
      </c>
    </row>
  </sheetData>
  <mergeCells count="370">
    <mergeCell ref="U12:W12"/>
    <mergeCell ref="A26:L26"/>
    <mergeCell ref="K28:L28"/>
    <mergeCell ref="R28:S28"/>
    <mergeCell ref="T28:U28"/>
    <mergeCell ref="U13:W13"/>
    <mergeCell ref="S14:W14"/>
    <mergeCell ref="T15:W15"/>
    <mergeCell ref="U16:W16"/>
    <mergeCell ref="T29:U30"/>
    <mergeCell ref="A30:C30"/>
    <mergeCell ref="K31:L31"/>
    <mergeCell ref="R31:S31"/>
    <mergeCell ref="T31:U31"/>
    <mergeCell ref="A29:C29"/>
    <mergeCell ref="D29:J30"/>
    <mergeCell ref="K29:L30"/>
    <mergeCell ref="M29:M30"/>
    <mergeCell ref="N29:N30"/>
    <mergeCell ref="O29:O30"/>
    <mergeCell ref="A32:C33"/>
    <mergeCell ref="D32:J33"/>
    <mergeCell ref="K32:L33"/>
    <mergeCell ref="M32:M33"/>
    <mergeCell ref="N32:N33"/>
    <mergeCell ref="O32:O33"/>
    <mergeCell ref="P29:P30"/>
    <mergeCell ref="Q29:Q30"/>
    <mergeCell ref="R29:S30"/>
    <mergeCell ref="P32:P33"/>
    <mergeCell ref="Q32:Q33"/>
    <mergeCell ref="R32:S33"/>
    <mergeCell ref="T32:U33"/>
    <mergeCell ref="D34:J35"/>
    <mergeCell ref="K34:L35"/>
    <mergeCell ref="M34:M35"/>
    <mergeCell ref="N34:N35"/>
    <mergeCell ref="O34:O35"/>
    <mergeCell ref="P34:P35"/>
    <mergeCell ref="Q34:Q35"/>
    <mergeCell ref="R34:S35"/>
    <mergeCell ref="T34:U35"/>
    <mergeCell ref="A40:C40"/>
    <mergeCell ref="D40:J40"/>
    <mergeCell ref="K40:L40"/>
    <mergeCell ref="R40:S40"/>
    <mergeCell ref="T40:U40"/>
    <mergeCell ref="R36:S37"/>
    <mergeCell ref="T36:U37"/>
    <mergeCell ref="A38:C39"/>
    <mergeCell ref="D38:J39"/>
    <mergeCell ref="K38:L39"/>
    <mergeCell ref="M38:M39"/>
    <mergeCell ref="N38:N39"/>
    <mergeCell ref="O38:O39"/>
    <mergeCell ref="P38:P39"/>
    <mergeCell ref="Q38:Q39"/>
    <mergeCell ref="A36:C37"/>
    <mergeCell ref="K36:L37"/>
    <mergeCell ref="M36:M37"/>
    <mergeCell ref="N36:N37"/>
    <mergeCell ref="O36:O37"/>
    <mergeCell ref="P36:P37"/>
    <mergeCell ref="Q36:Q37"/>
    <mergeCell ref="R38:S39"/>
    <mergeCell ref="T38:U39"/>
    <mergeCell ref="P41:P42"/>
    <mergeCell ref="Q41:Q42"/>
    <mergeCell ref="R41:S42"/>
    <mergeCell ref="T41:U42"/>
    <mergeCell ref="A44:C44"/>
    <mergeCell ref="D44:J44"/>
    <mergeCell ref="K44:L44"/>
    <mergeCell ref="R44:S44"/>
    <mergeCell ref="T44:U44"/>
    <mergeCell ref="A41:C42"/>
    <mergeCell ref="D41:J42"/>
    <mergeCell ref="K41:L42"/>
    <mergeCell ref="M41:M42"/>
    <mergeCell ref="N41:N42"/>
    <mergeCell ref="O41:O42"/>
    <mergeCell ref="A49:C49"/>
    <mergeCell ref="K49:L49"/>
    <mergeCell ref="R49:S49"/>
    <mergeCell ref="T49:U49"/>
    <mergeCell ref="A50:C50"/>
    <mergeCell ref="K50:L50"/>
    <mergeCell ref="R50:S50"/>
    <mergeCell ref="T50:U50"/>
    <mergeCell ref="P45:P46"/>
    <mergeCell ref="Q45:Q46"/>
    <mergeCell ref="R45:S46"/>
    <mergeCell ref="T45:U46"/>
    <mergeCell ref="A48:C48"/>
    <mergeCell ref="K48:L48"/>
    <mergeCell ref="R48:S48"/>
    <mergeCell ref="T48:U48"/>
    <mergeCell ref="A45:C46"/>
    <mergeCell ref="D45:J46"/>
    <mergeCell ref="K45:L46"/>
    <mergeCell ref="M45:M46"/>
    <mergeCell ref="N45:N46"/>
    <mergeCell ref="O45:O46"/>
    <mergeCell ref="P51:P52"/>
    <mergeCell ref="Q51:Q52"/>
    <mergeCell ref="R51:S52"/>
    <mergeCell ref="T51:U52"/>
    <mergeCell ref="A53:C56"/>
    <mergeCell ref="K53:L56"/>
    <mergeCell ref="M53:M56"/>
    <mergeCell ref="N53:N56"/>
    <mergeCell ref="O53:O56"/>
    <mergeCell ref="P53:P56"/>
    <mergeCell ref="A51:C52"/>
    <mergeCell ref="D51:J52"/>
    <mergeCell ref="K51:L52"/>
    <mergeCell ref="M51:M52"/>
    <mergeCell ref="N51:N52"/>
    <mergeCell ref="O51:O52"/>
    <mergeCell ref="Q53:Q56"/>
    <mergeCell ref="R53:S56"/>
    <mergeCell ref="T53:U56"/>
    <mergeCell ref="A57:C59"/>
    <mergeCell ref="K57:L59"/>
    <mergeCell ref="M57:M59"/>
    <mergeCell ref="N57:N59"/>
    <mergeCell ref="O57:O59"/>
    <mergeCell ref="P57:P59"/>
    <mergeCell ref="Q57:Q59"/>
    <mergeCell ref="R57:S59"/>
    <mergeCell ref="T57:U59"/>
    <mergeCell ref="A60:C63"/>
    <mergeCell ref="K60:L63"/>
    <mergeCell ref="M60:M63"/>
    <mergeCell ref="N60:N63"/>
    <mergeCell ref="O60:O63"/>
    <mergeCell ref="P60:P63"/>
    <mergeCell ref="Q60:Q63"/>
    <mergeCell ref="R60:S63"/>
    <mergeCell ref="T60:U63"/>
    <mergeCell ref="A64:C67"/>
    <mergeCell ref="K64:L67"/>
    <mergeCell ref="M64:M67"/>
    <mergeCell ref="N64:N67"/>
    <mergeCell ref="O64:O67"/>
    <mergeCell ref="P64:P67"/>
    <mergeCell ref="Q64:Q67"/>
    <mergeCell ref="R64:S67"/>
    <mergeCell ref="T64:U67"/>
    <mergeCell ref="A72:C75"/>
    <mergeCell ref="K72:L75"/>
    <mergeCell ref="M72:M75"/>
    <mergeCell ref="N72:N75"/>
    <mergeCell ref="O72:O75"/>
    <mergeCell ref="P72:P75"/>
    <mergeCell ref="Q72:Q75"/>
    <mergeCell ref="A68:C71"/>
    <mergeCell ref="K68:L71"/>
    <mergeCell ref="M68:M71"/>
    <mergeCell ref="N68:N71"/>
    <mergeCell ref="O68:O71"/>
    <mergeCell ref="P68:P71"/>
    <mergeCell ref="A76:C77"/>
    <mergeCell ref="K76:L77"/>
    <mergeCell ref="M76:M77"/>
    <mergeCell ref="N76:N77"/>
    <mergeCell ref="O76:O77"/>
    <mergeCell ref="P76:P77"/>
    <mergeCell ref="Q76:Q77"/>
    <mergeCell ref="R76:S77"/>
    <mergeCell ref="T76:U77"/>
    <mergeCell ref="A78:C80"/>
    <mergeCell ref="K78:L80"/>
    <mergeCell ref="M78:M80"/>
    <mergeCell ref="N78:N80"/>
    <mergeCell ref="O78:O80"/>
    <mergeCell ref="P78:P80"/>
    <mergeCell ref="Q78:Q80"/>
    <mergeCell ref="R78:S80"/>
    <mergeCell ref="T78:U80"/>
    <mergeCell ref="A84:C84"/>
    <mergeCell ref="K84:L84"/>
    <mergeCell ref="R84:S84"/>
    <mergeCell ref="T84:U84"/>
    <mergeCell ref="A81:C81"/>
    <mergeCell ref="K81:L81"/>
    <mergeCell ref="R81:S81"/>
    <mergeCell ref="T81:U81"/>
    <mergeCell ref="A82:C83"/>
    <mergeCell ref="K82:L83"/>
    <mergeCell ref="M82:M83"/>
    <mergeCell ref="N82:N83"/>
    <mergeCell ref="O82:O83"/>
    <mergeCell ref="P82:P83"/>
    <mergeCell ref="A94:C95"/>
    <mergeCell ref="D94:J95"/>
    <mergeCell ref="K94:L95"/>
    <mergeCell ref="R94:S95"/>
    <mergeCell ref="T94:U95"/>
    <mergeCell ref="Q85:Q89"/>
    <mergeCell ref="R85:S89"/>
    <mergeCell ref="T85:U89"/>
    <mergeCell ref="A90:C92"/>
    <mergeCell ref="K90:L93"/>
    <mergeCell ref="M90:M92"/>
    <mergeCell ref="N90:N92"/>
    <mergeCell ref="O90:O92"/>
    <mergeCell ref="P90:P92"/>
    <mergeCell ref="Q90:Q92"/>
    <mergeCell ref="A85:C89"/>
    <mergeCell ref="K85:L89"/>
    <mergeCell ref="M85:M89"/>
    <mergeCell ref="N85:N89"/>
    <mergeCell ref="O85:O89"/>
    <mergeCell ref="P85:P89"/>
    <mergeCell ref="A96:C97"/>
    <mergeCell ref="D96:J97"/>
    <mergeCell ref="K96:L97"/>
    <mergeCell ref="R96:S97"/>
    <mergeCell ref="T96:U97"/>
    <mergeCell ref="A98:C99"/>
    <mergeCell ref="K98:L99"/>
    <mergeCell ref="M98:M99"/>
    <mergeCell ref="N98:N99"/>
    <mergeCell ref="O98:O99"/>
    <mergeCell ref="P98:P99"/>
    <mergeCell ref="Q98:Q99"/>
    <mergeCell ref="R98:S99"/>
    <mergeCell ref="T98:U99"/>
    <mergeCell ref="A100:C101"/>
    <mergeCell ref="K100:L101"/>
    <mergeCell ref="M100:M101"/>
    <mergeCell ref="N100:N101"/>
    <mergeCell ref="O100:O101"/>
    <mergeCell ref="P100:P101"/>
    <mergeCell ref="Q100:Q101"/>
    <mergeCell ref="R100:S101"/>
    <mergeCell ref="T100:U101"/>
    <mergeCell ref="A108:C108"/>
    <mergeCell ref="D108:J108"/>
    <mergeCell ref="K108:L108"/>
    <mergeCell ref="R102:S104"/>
    <mergeCell ref="T102:U104"/>
    <mergeCell ref="A105:C105"/>
    <mergeCell ref="D105:J105"/>
    <mergeCell ref="K105:L105"/>
    <mergeCell ref="R105:S105"/>
    <mergeCell ref="T105:U105"/>
    <mergeCell ref="A102:C103"/>
    <mergeCell ref="K102:L104"/>
    <mergeCell ref="M102:M103"/>
    <mergeCell ref="N102:N103"/>
    <mergeCell ref="O102:O103"/>
    <mergeCell ref="P102:P103"/>
    <mergeCell ref="Q102:Q103"/>
    <mergeCell ref="A106:C106"/>
    <mergeCell ref="D106:J106"/>
    <mergeCell ref="K106:L106"/>
    <mergeCell ref="A107:C107"/>
    <mergeCell ref="D107:J107"/>
    <mergeCell ref="A109:C109"/>
    <mergeCell ref="D109:J109"/>
    <mergeCell ref="K109:L109"/>
    <mergeCell ref="R109:S109"/>
    <mergeCell ref="T109:U109"/>
    <mergeCell ref="A110:C110"/>
    <mergeCell ref="D110:J110"/>
    <mergeCell ref="K110:L110"/>
    <mergeCell ref="R110:S110"/>
    <mergeCell ref="T110:U110"/>
    <mergeCell ref="A111:C111"/>
    <mergeCell ref="D111:J111"/>
    <mergeCell ref="K111:L111"/>
    <mergeCell ref="R111:S111"/>
    <mergeCell ref="T111:U111"/>
    <mergeCell ref="A112:C112"/>
    <mergeCell ref="D112:J112"/>
    <mergeCell ref="K112:L112"/>
    <mergeCell ref="R112:S112"/>
    <mergeCell ref="T112:U112"/>
    <mergeCell ref="A113:C113"/>
    <mergeCell ref="D113:J113"/>
    <mergeCell ref="K113:L113"/>
    <mergeCell ref="R113:S113"/>
    <mergeCell ref="T113:U113"/>
    <mergeCell ref="A114:C114"/>
    <mergeCell ref="D114:J114"/>
    <mergeCell ref="K114:L114"/>
    <mergeCell ref="R114:S114"/>
    <mergeCell ref="T114:U114"/>
    <mergeCell ref="A115:C115"/>
    <mergeCell ref="D115:J115"/>
    <mergeCell ref="K115:L115"/>
    <mergeCell ref="R115:S115"/>
    <mergeCell ref="T115:U115"/>
    <mergeCell ref="A116:C117"/>
    <mergeCell ref="K116:L117"/>
    <mergeCell ref="M116:M117"/>
    <mergeCell ref="N116:N117"/>
    <mergeCell ref="O116:O117"/>
    <mergeCell ref="V34:V35"/>
    <mergeCell ref="V36:V37"/>
    <mergeCell ref="V38:V39"/>
    <mergeCell ref="V41:V42"/>
    <mergeCell ref="V45:V46"/>
    <mergeCell ref="V29:V30"/>
    <mergeCell ref="V32:V33"/>
    <mergeCell ref="K107:L107"/>
    <mergeCell ref="P116:P117"/>
    <mergeCell ref="Q116:Q117"/>
    <mergeCell ref="R116:S117"/>
    <mergeCell ref="T116:U117"/>
    <mergeCell ref="R106:S106"/>
    <mergeCell ref="T106:U106"/>
    <mergeCell ref="R90:S93"/>
    <mergeCell ref="T90:U93"/>
    <mergeCell ref="Q82:Q83"/>
    <mergeCell ref="R82:S83"/>
    <mergeCell ref="T82:U83"/>
    <mergeCell ref="Q68:Q71"/>
    <mergeCell ref="R68:S71"/>
    <mergeCell ref="T68:U71"/>
    <mergeCell ref="R72:S75"/>
    <mergeCell ref="T72:U75"/>
    <mergeCell ref="W94:W95"/>
    <mergeCell ref="W96:W97"/>
    <mergeCell ref="W98:W99"/>
    <mergeCell ref="W100:W101"/>
    <mergeCell ref="W102:W104"/>
    <mergeCell ref="V51:V52"/>
    <mergeCell ref="V53:V56"/>
    <mergeCell ref="V57:V59"/>
    <mergeCell ref="V60:V63"/>
    <mergeCell ref="V64:V67"/>
    <mergeCell ref="V68:V71"/>
    <mergeCell ref="V72:V75"/>
    <mergeCell ref="V76:V77"/>
    <mergeCell ref="V100:V101"/>
    <mergeCell ref="V102:V104"/>
    <mergeCell ref="V78:V80"/>
    <mergeCell ref="V82:V83"/>
    <mergeCell ref="V85:V89"/>
    <mergeCell ref="V90:V93"/>
    <mergeCell ref="V94:V95"/>
    <mergeCell ref="V96:V97"/>
    <mergeCell ref="V98:V99"/>
    <mergeCell ref="W116:W117"/>
    <mergeCell ref="A24:W24"/>
    <mergeCell ref="A25:W25"/>
    <mergeCell ref="A27:W27"/>
    <mergeCell ref="V116:V117"/>
    <mergeCell ref="W29:W30"/>
    <mergeCell ref="W32:W33"/>
    <mergeCell ref="W34:W35"/>
    <mergeCell ref="W36:W37"/>
    <mergeCell ref="W38:W39"/>
    <mergeCell ref="W41:W42"/>
    <mergeCell ref="W45:W46"/>
    <mergeCell ref="W51:W52"/>
    <mergeCell ref="W53:W56"/>
    <mergeCell ref="W57:W59"/>
    <mergeCell ref="W60:W63"/>
    <mergeCell ref="W64:W67"/>
    <mergeCell ref="W68:W71"/>
    <mergeCell ref="W72:W75"/>
    <mergeCell ref="W76:W77"/>
    <mergeCell ref="W78:W80"/>
    <mergeCell ref="W82:W83"/>
    <mergeCell ref="W85:W89"/>
    <mergeCell ref="W90:W93"/>
  </mergeCells>
  <printOptions horizontalCentered="1"/>
  <pageMargins left="0.95" right="0.26" top="0.26" bottom="0.17" header="0.28000000000000003" footer="0.17"/>
  <pageSetup paperSize="9" scale="43" fitToHeight="0" orientation="portrait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W478"/>
  <sheetViews>
    <sheetView zoomScale="95" zoomScaleNormal="95" zoomScaleSheetLayoutView="50" workbookViewId="0">
      <selection activeCell="Q190" sqref="Q190"/>
    </sheetView>
  </sheetViews>
  <sheetFormatPr defaultColWidth="9.1796875" defaultRowHeight="12.5" x14ac:dyDescent="0.25"/>
  <cols>
    <col min="1" max="1" width="8.81640625" style="1" customWidth="1"/>
    <col min="2" max="2" width="60.26953125" style="6" customWidth="1"/>
    <col min="3" max="3" width="10" style="5" hidden="1" customWidth="1"/>
    <col min="4" max="4" width="9.26953125" style="4" hidden="1" customWidth="1"/>
    <col min="5" max="5" width="10.453125" style="4" hidden="1" customWidth="1"/>
    <col min="6" max="6" width="13.26953125" style="4" customWidth="1"/>
    <col min="7" max="8" width="10.26953125" style="4" customWidth="1"/>
    <col min="9" max="9" width="10.453125" style="4" customWidth="1"/>
    <col min="10" max="10" width="22.1796875" style="3" hidden="1" customWidth="1"/>
    <col min="11" max="11" width="14.7265625" style="3" hidden="1" customWidth="1"/>
    <col min="12" max="12" width="15.81640625" style="3" hidden="1" customWidth="1"/>
    <col min="13" max="13" width="18.7265625" style="3" hidden="1" customWidth="1"/>
    <col min="14" max="14" width="22.1796875" style="3" hidden="1" customWidth="1"/>
    <col min="15" max="15" width="22.1796875" style="3" customWidth="1"/>
    <col min="16" max="16" width="22.1796875" style="427" customWidth="1"/>
    <col min="17" max="17" width="12" style="2" customWidth="1"/>
    <col min="18" max="18" width="11.54296875" style="2" customWidth="1"/>
    <col min="19" max="24" width="9.1796875" style="2" customWidth="1"/>
    <col min="25" max="16384" width="9.1796875" style="1"/>
  </cols>
  <sheetData>
    <row r="1" spans="1:22" ht="15.5" x14ac:dyDescent="0.35">
      <c r="O1" s="4"/>
      <c r="P1" s="410" t="s">
        <v>745</v>
      </c>
      <c r="Q1" s="4"/>
      <c r="R1" s="259"/>
      <c r="S1" s="259"/>
      <c r="T1" s="259"/>
      <c r="U1" s="259"/>
    </row>
    <row r="2" spans="1:22" ht="15.5" x14ac:dyDescent="0.35">
      <c r="L2" s="3162" t="s">
        <v>450</v>
      </c>
      <c r="M2" s="3162"/>
      <c r="N2" s="3162"/>
      <c r="O2" s="3162"/>
      <c r="P2" s="3162"/>
      <c r="Q2" s="4"/>
    </row>
    <row r="3" spans="1:22" ht="15.5" x14ac:dyDescent="0.35">
      <c r="C3" s="261"/>
      <c r="D3" s="261"/>
      <c r="E3" s="261"/>
      <c r="P3" s="410" t="s">
        <v>449</v>
      </c>
      <c r="Q3" s="261"/>
      <c r="R3" s="261"/>
      <c r="S3" s="261"/>
      <c r="T3" s="261"/>
      <c r="U3" s="261"/>
      <c r="V3" s="261"/>
    </row>
    <row r="4" spans="1:22" ht="15.5" x14ac:dyDescent="0.35">
      <c r="D4" s="259"/>
      <c r="E4" s="259"/>
      <c r="O4" s="707"/>
      <c r="P4" s="411" t="s">
        <v>448</v>
      </c>
      <c r="Q4" s="259"/>
      <c r="R4" s="259"/>
      <c r="S4" s="3"/>
      <c r="T4" s="3"/>
      <c r="U4" s="259"/>
    </row>
    <row r="5" spans="1:22" ht="15.5" x14ac:dyDescent="0.25">
      <c r="D5" s="258" t="s">
        <v>447</v>
      </c>
      <c r="E5" s="258"/>
      <c r="O5" s="258"/>
      <c r="P5" s="412" t="s">
        <v>897</v>
      </c>
      <c r="Q5" s="258"/>
      <c r="R5" s="258"/>
      <c r="S5" s="3"/>
      <c r="T5" s="3"/>
      <c r="U5" s="257"/>
    </row>
    <row r="6" spans="1:22" ht="13.15" customHeight="1" x14ac:dyDescent="0.25">
      <c r="O6" s="4"/>
      <c r="P6" s="413"/>
      <c r="Q6" s="4"/>
      <c r="R6" s="3"/>
      <c r="S6" s="3"/>
      <c r="T6" s="3"/>
      <c r="U6" s="4"/>
      <c r="V6" s="6"/>
    </row>
    <row r="7" spans="1:22" ht="15.5" hidden="1" x14ac:dyDescent="0.35">
      <c r="B7" s="255"/>
      <c r="E7" s="254"/>
      <c r="O7" s="254"/>
      <c r="P7" s="414" t="s">
        <v>446</v>
      </c>
      <c r="Q7" s="254"/>
      <c r="R7" s="3"/>
      <c r="S7" s="3"/>
      <c r="T7" s="3"/>
      <c r="U7" s="4"/>
    </row>
    <row r="8" spans="1:22" ht="15.5" hidden="1" x14ac:dyDescent="0.35">
      <c r="E8" s="254"/>
      <c r="O8" s="254"/>
      <c r="P8" s="415"/>
      <c r="Q8" s="254"/>
      <c r="R8" s="256"/>
      <c r="S8" s="3"/>
      <c r="T8" s="3"/>
      <c r="U8" s="4"/>
      <c r="V8" s="6"/>
    </row>
    <row r="9" spans="1:22" ht="15.5" hidden="1" x14ac:dyDescent="0.35">
      <c r="B9" s="255"/>
      <c r="E9" s="254"/>
      <c r="O9" s="254"/>
      <c r="P9" s="414" t="s">
        <v>848</v>
      </c>
      <c r="Q9" s="254"/>
      <c r="R9" s="3"/>
      <c r="S9" s="3"/>
      <c r="T9" s="3"/>
      <c r="U9" s="4"/>
    </row>
    <row r="10" spans="1:22" ht="15.5" hidden="1" x14ac:dyDescent="0.35">
      <c r="B10" s="250"/>
      <c r="C10" s="249"/>
      <c r="D10" s="247"/>
      <c r="E10" s="247"/>
      <c r="F10" s="247"/>
      <c r="G10" s="247"/>
      <c r="H10" s="247"/>
      <c r="I10" s="247"/>
      <c r="J10" s="252">
        <v>69983.100000000006</v>
      </c>
      <c r="K10" s="246" t="s">
        <v>444</v>
      </c>
      <c r="L10" s="245">
        <v>72195.899999999994</v>
      </c>
      <c r="M10" s="253">
        <v>73707.5</v>
      </c>
      <c r="N10" s="252">
        <v>69983.100000000006</v>
      </c>
      <c r="O10" s="252">
        <v>69983.100000000006</v>
      </c>
      <c r="P10" s="243">
        <v>69983.100000000006</v>
      </c>
      <c r="Q10" s="251"/>
    </row>
    <row r="11" spans="1:22" ht="13" x14ac:dyDescent="0.3">
      <c r="B11" s="250"/>
      <c r="C11" s="249"/>
      <c r="D11" s="247"/>
      <c r="E11" s="247"/>
      <c r="F11" s="247"/>
      <c r="G11" s="248" t="s">
        <v>442</v>
      </c>
      <c r="H11" s="248"/>
      <c r="I11" s="247"/>
      <c r="J11" s="243">
        <f>J10-J20</f>
        <v>0</v>
      </c>
      <c r="K11" s="246" t="s">
        <v>443</v>
      </c>
      <c r="L11" s="245">
        <v>1804.9</v>
      </c>
      <c r="M11" s="244">
        <v>3685.4</v>
      </c>
      <c r="N11" s="243">
        <f>N10-N20</f>
        <v>0</v>
      </c>
      <c r="O11" s="243">
        <f>O10-O20</f>
        <v>0</v>
      </c>
      <c r="P11" s="243">
        <f>P10-P20</f>
        <v>0</v>
      </c>
    </row>
    <row r="12" spans="1:22" ht="15.5" x14ac:dyDescent="0.3">
      <c r="B12" s="3376"/>
      <c r="C12" s="3376"/>
      <c r="D12" s="3376"/>
      <c r="E12" s="3376"/>
      <c r="F12" s="3376"/>
      <c r="G12" s="3376"/>
      <c r="H12" s="3376"/>
      <c r="I12" s="3376"/>
      <c r="J12" s="3376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N12" s="1"/>
      <c r="O12" s="1"/>
      <c r="P12" s="237"/>
    </row>
    <row r="13" spans="1:22" ht="15.65" customHeight="1" x14ac:dyDescent="0.3">
      <c r="A13" s="3386" t="s">
        <v>441</v>
      </c>
      <c r="B13" s="3386"/>
      <c r="C13" s="3386"/>
      <c r="D13" s="3386"/>
      <c r="E13" s="3386"/>
      <c r="F13" s="3386"/>
      <c r="G13" s="3386"/>
      <c r="H13" s="3386"/>
      <c r="I13" s="3386"/>
      <c r="J13" s="3386"/>
      <c r="K13" s="3386"/>
      <c r="L13" s="3386"/>
      <c r="M13" s="3386"/>
      <c r="N13" s="3386"/>
      <c r="O13" s="3386"/>
      <c r="P13" s="3386"/>
    </row>
    <row r="14" spans="1:22" ht="17.5" customHeight="1" x14ac:dyDescent="0.3">
      <c r="A14" s="3386" t="s">
        <v>440</v>
      </c>
      <c r="B14" s="3386"/>
      <c r="C14" s="3386"/>
      <c r="D14" s="3386"/>
      <c r="E14" s="3386"/>
      <c r="F14" s="3386"/>
      <c r="G14" s="3386"/>
      <c r="H14" s="3386"/>
      <c r="I14" s="3386"/>
      <c r="J14" s="3386"/>
      <c r="K14" s="3386"/>
      <c r="L14" s="3386"/>
      <c r="M14" s="3386"/>
      <c r="N14" s="3386"/>
      <c r="O14" s="3386"/>
      <c r="P14" s="3386"/>
      <c r="Q14" s="890">
        <v>2408.288</v>
      </c>
      <c r="R14" s="890">
        <v>4974.3450000000003</v>
      </c>
    </row>
    <row r="15" spans="1:22" ht="15" customHeight="1" x14ac:dyDescent="0.3">
      <c r="A15" s="3386" t="s">
        <v>439</v>
      </c>
      <c r="B15" s="3386"/>
      <c r="C15" s="3386"/>
      <c r="D15" s="3386"/>
      <c r="E15" s="3386"/>
      <c r="F15" s="3386"/>
      <c r="G15" s="3386"/>
      <c r="H15" s="3386"/>
      <c r="I15" s="3386"/>
      <c r="J15" s="3386"/>
      <c r="K15" s="3386"/>
      <c r="L15" s="3386"/>
      <c r="M15" s="3386"/>
      <c r="N15" s="3386"/>
      <c r="O15" s="3386"/>
      <c r="P15" s="3386"/>
      <c r="Q15" s="891">
        <f>O189+Q14</f>
        <v>105537.727</v>
      </c>
      <c r="R15" s="891">
        <f>R14+P189</f>
        <v>110231.322</v>
      </c>
    </row>
    <row r="16" spans="1:22" ht="13.5" customHeight="1" x14ac:dyDescent="0.3">
      <c r="A16" s="3386" t="s">
        <v>438</v>
      </c>
      <c r="B16" s="3386"/>
      <c r="C16" s="3386"/>
      <c r="D16" s="3386"/>
      <c r="E16" s="3386"/>
      <c r="F16" s="3386"/>
      <c r="G16" s="3386"/>
      <c r="H16" s="3386"/>
      <c r="I16" s="3386"/>
      <c r="J16" s="3386"/>
      <c r="K16" s="3386"/>
      <c r="L16" s="3386"/>
      <c r="M16" s="3386"/>
      <c r="N16" s="3386"/>
      <c r="O16" s="3386"/>
      <c r="P16" s="3386"/>
    </row>
    <row r="17" spans="1:24" ht="16.149999999999999" customHeight="1" x14ac:dyDescent="0.3">
      <c r="A17" s="3386" t="s">
        <v>898</v>
      </c>
      <c r="B17" s="3386"/>
      <c r="C17" s="3386"/>
      <c r="D17" s="3386"/>
      <c r="E17" s="3386"/>
      <c r="F17" s="3386"/>
      <c r="G17" s="3386"/>
      <c r="H17" s="3386"/>
      <c r="I17" s="3386"/>
      <c r="J17" s="3386"/>
      <c r="K17" s="3386"/>
      <c r="L17" s="3386"/>
      <c r="M17" s="3386"/>
      <c r="N17" s="3386"/>
      <c r="O17" s="3386"/>
      <c r="P17" s="3386"/>
    </row>
    <row r="18" spans="1:24" ht="16" thickBot="1" x14ac:dyDescent="0.4">
      <c r="B18" s="236"/>
      <c r="C18" s="235"/>
      <c r="D18" s="234"/>
      <c r="E18" s="234"/>
      <c r="F18" s="234"/>
      <c r="G18" s="234"/>
      <c r="H18" s="234"/>
      <c r="I18" s="234"/>
      <c r="J18" s="233" t="s">
        <v>437</v>
      </c>
      <c r="K18" s="233"/>
      <c r="L18" s="233"/>
      <c r="M18" s="233"/>
      <c r="N18" s="233" t="s">
        <v>437</v>
      </c>
      <c r="O18" s="233"/>
      <c r="P18" s="396" t="s">
        <v>829</v>
      </c>
    </row>
    <row r="19" spans="1:24" ht="65.5" hidden="1" thickBot="1" x14ac:dyDescent="0.3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230" t="s">
        <v>319</v>
      </c>
      <c r="K19" s="230"/>
      <c r="L19" s="231" t="s">
        <v>318</v>
      </c>
      <c r="M19" s="231" t="s">
        <v>317</v>
      </c>
      <c r="N19" s="230" t="s">
        <v>319</v>
      </c>
      <c r="O19" s="230" t="s">
        <v>319</v>
      </c>
      <c r="P19" s="416" t="s">
        <v>319</v>
      </c>
    </row>
    <row r="20" spans="1:24" s="83" customFormat="1" ht="15.5" hidden="1" thickBot="1" x14ac:dyDescent="0.35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226">
        <f>J21+J64+J69+J83+J105+J144+J152+J166+J173</f>
        <v>69983.100000000006</v>
      </c>
      <c r="K20" s="227"/>
      <c r="L20" s="226">
        <f>L21+L64+L69+L83+L105+L144+L152+L166+L173</f>
        <v>70391.000180000003</v>
      </c>
      <c r="M20" s="226">
        <f>M21+M64+M69+M83+M105+M144+M152+M166+M173</f>
        <v>70022.0995826</v>
      </c>
      <c r="N20" s="226">
        <f>N21+N64+N69+N83+N105+N144+N152+N166+N173</f>
        <v>69983.100000000006</v>
      </c>
      <c r="O20" s="226">
        <f>O21+O64+O69+O83+O105+O144+O152+O166+O173</f>
        <v>69983.100000000006</v>
      </c>
      <c r="P20" s="417">
        <f>P21+P64+P69+P83+P105+P144+P152+P166+P173</f>
        <v>69983.100000000006</v>
      </c>
      <c r="Q20" s="84"/>
      <c r="R20" s="84"/>
      <c r="S20" s="84"/>
      <c r="T20" s="84"/>
      <c r="U20" s="84"/>
      <c r="V20" s="84"/>
      <c r="W20" s="84"/>
      <c r="X20" s="84"/>
    </row>
    <row r="21" spans="1:24" s="83" customFormat="1" ht="14.5" hidden="1" thickBot="1" x14ac:dyDescent="0.35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224">
        <f>J25+J30+J48+J55+J60</f>
        <v>16206.808000000001</v>
      </c>
      <c r="K21" s="198"/>
      <c r="L21" s="224">
        <f>L25+L30+L48+L55+L60</f>
        <v>16980.082180000001</v>
      </c>
      <c r="M21" s="224">
        <f>M25+M30+M48+M55+M60</f>
        <v>17936.364582600003</v>
      </c>
      <c r="N21" s="224">
        <f>N25+N30+N48+N55+N60</f>
        <v>16206.808000000001</v>
      </c>
      <c r="O21" s="224">
        <f>O25+O30+O48+O55+O60</f>
        <v>16206.808000000001</v>
      </c>
      <c r="P21" s="418">
        <f>P25+P30+P48+P55+P60</f>
        <v>16206.808000000001</v>
      </c>
      <c r="Q21" s="84"/>
      <c r="R21" s="84"/>
      <c r="S21" s="84"/>
      <c r="T21" s="84"/>
      <c r="U21" s="84"/>
      <c r="V21" s="84"/>
      <c r="W21" s="84"/>
      <c r="X21" s="84"/>
    </row>
    <row r="22" spans="1:24" s="83" customFormat="1" ht="26.5" hidden="1" thickBot="1" x14ac:dyDescent="0.35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101"/>
      <c r="K22" s="101"/>
      <c r="L22" s="101"/>
      <c r="M22" s="101"/>
      <c r="N22" s="101"/>
      <c r="O22" s="101"/>
      <c r="P22" s="125"/>
      <c r="Q22" s="84"/>
      <c r="R22" s="84"/>
      <c r="S22" s="84"/>
      <c r="T22" s="84"/>
      <c r="U22" s="84"/>
      <c r="V22" s="84"/>
      <c r="W22" s="84"/>
      <c r="X22" s="84"/>
    </row>
    <row r="23" spans="1:24" s="83" customFormat="1" ht="39.5" hidden="1" thickBot="1" x14ac:dyDescent="0.35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101"/>
      <c r="K23" s="101"/>
      <c r="L23" s="101"/>
      <c r="M23" s="101"/>
      <c r="N23" s="101"/>
      <c r="O23" s="101"/>
      <c r="P23" s="125"/>
      <c r="Q23" s="84"/>
      <c r="R23" s="84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3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101"/>
      <c r="K24" s="101"/>
      <c r="L24" s="101"/>
      <c r="M24" s="101"/>
      <c r="N24" s="101"/>
      <c r="O24" s="101"/>
      <c r="P24" s="125"/>
      <c r="Q24" s="84"/>
      <c r="R24" s="84"/>
      <c r="S24" s="84"/>
      <c r="T24" s="84"/>
      <c r="U24" s="84"/>
      <c r="V24" s="84"/>
      <c r="W24" s="84"/>
      <c r="X24" s="84"/>
    </row>
    <row r="25" spans="1:24" s="83" customFormat="1" ht="39.5" hidden="1" thickBot="1" x14ac:dyDescent="0.35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92">
        <f>J26</f>
        <v>2155.7860000000001</v>
      </c>
      <c r="K25" s="101"/>
      <c r="L25" s="92">
        <f t="shared" ref="L25:P26" si="0">L26</f>
        <v>2285.1331600000003</v>
      </c>
      <c r="M25" s="92">
        <f t="shared" si="0"/>
        <v>2445.0924812000003</v>
      </c>
      <c r="N25" s="92">
        <f t="shared" si="0"/>
        <v>2155.7860000000001</v>
      </c>
      <c r="O25" s="92">
        <f t="shared" si="0"/>
        <v>2155.7860000000001</v>
      </c>
      <c r="P25" s="125">
        <f t="shared" si="0"/>
        <v>2155.7860000000001</v>
      </c>
      <c r="Q25" s="84"/>
      <c r="R25" s="84"/>
      <c r="S25" s="84"/>
      <c r="T25" s="84"/>
      <c r="U25" s="84"/>
      <c r="V25" s="84"/>
      <c r="W25" s="84"/>
      <c r="X25" s="84"/>
    </row>
    <row r="26" spans="1:24" s="83" customFormat="1" ht="39.5" hidden="1" thickBot="1" x14ac:dyDescent="0.35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92">
        <f>J27</f>
        <v>2155.7860000000001</v>
      </c>
      <c r="K26" s="92"/>
      <c r="L26" s="92">
        <f t="shared" si="0"/>
        <v>2285.1331600000003</v>
      </c>
      <c r="M26" s="92">
        <f t="shared" si="0"/>
        <v>2445.0924812000003</v>
      </c>
      <c r="N26" s="92">
        <f t="shared" si="0"/>
        <v>2155.7860000000001</v>
      </c>
      <c r="O26" s="92">
        <f t="shared" si="0"/>
        <v>2155.7860000000001</v>
      </c>
      <c r="P26" s="125">
        <f t="shared" si="0"/>
        <v>2155.7860000000001</v>
      </c>
      <c r="Q26" s="84"/>
      <c r="R26" s="84"/>
      <c r="S26" s="84"/>
      <c r="T26" s="84"/>
      <c r="U26" s="84"/>
      <c r="V26" s="84"/>
      <c r="W26" s="84"/>
      <c r="X26" s="84"/>
    </row>
    <row r="27" spans="1:24" s="83" customFormat="1" ht="22.15" hidden="1" customHeight="1" x14ac:dyDescent="0.3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92">
        <f>J28+J29</f>
        <v>2155.7860000000001</v>
      </c>
      <c r="K27" s="101"/>
      <c r="L27" s="92">
        <f>L28+L29</f>
        <v>2285.1331600000003</v>
      </c>
      <c r="M27" s="92">
        <f>M28+M29</f>
        <v>2445.0924812000003</v>
      </c>
      <c r="N27" s="92">
        <f>N28+N29</f>
        <v>2155.7860000000001</v>
      </c>
      <c r="O27" s="92">
        <f>O28+O29</f>
        <v>2155.7860000000001</v>
      </c>
      <c r="P27" s="125">
        <f>P28+P29</f>
        <v>2155.7860000000001</v>
      </c>
      <c r="Q27" s="84"/>
      <c r="R27" s="84"/>
      <c r="S27" s="84"/>
      <c r="T27" s="84"/>
      <c r="U27" s="84"/>
      <c r="V27" s="84"/>
      <c r="W27" s="84"/>
      <c r="X27" s="84"/>
    </row>
    <row r="28" spans="1:24" s="83" customFormat="1" ht="16.149999999999999" hidden="1" customHeight="1" x14ac:dyDescent="0.3">
      <c r="B28" s="195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93">
        <v>1300.211</v>
      </c>
      <c r="K28" s="92"/>
      <c r="L28" s="53">
        <f>J28*106%</f>
        <v>1378.2236600000001</v>
      </c>
      <c r="M28" s="53">
        <f>L28*107%</f>
        <v>1474.6993162000001</v>
      </c>
      <c r="N28" s="93">
        <v>1300.211</v>
      </c>
      <c r="O28" s="93">
        <v>1300.211</v>
      </c>
      <c r="P28" s="123">
        <v>1300.211</v>
      </c>
      <c r="Q28" s="84"/>
      <c r="R28" s="84"/>
      <c r="S28" s="84"/>
      <c r="T28" s="84"/>
      <c r="U28" s="84"/>
      <c r="V28" s="84"/>
      <c r="W28" s="84"/>
      <c r="X28" s="84"/>
    </row>
    <row r="29" spans="1:24" s="83" customFormat="1" ht="18.649999999999999" hidden="1" customHeight="1" x14ac:dyDescent="0.3">
      <c r="B29" s="195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103">
        <v>855.57500000000005</v>
      </c>
      <c r="K29" s="101"/>
      <c r="L29" s="7">
        <f>J29*106%</f>
        <v>906.90950000000009</v>
      </c>
      <c r="M29" s="7">
        <f>L29*107%</f>
        <v>970.39316500000018</v>
      </c>
      <c r="N29" s="103">
        <v>855.57500000000005</v>
      </c>
      <c r="O29" s="103">
        <v>855.57500000000005</v>
      </c>
      <c r="P29" s="123">
        <v>855.57500000000005</v>
      </c>
      <c r="Q29" s="84"/>
      <c r="R29" s="84"/>
      <c r="S29" s="84"/>
      <c r="T29" s="84"/>
      <c r="U29" s="84"/>
      <c r="V29" s="84"/>
      <c r="W29" s="84"/>
      <c r="X29" s="84"/>
    </row>
    <row r="30" spans="1:24" ht="39.5" hidden="1" thickBot="1" x14ac:dyDescent="0.3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87">
        <f>J31</f>
        <v>11843.717000000001</v>
      </c>
      <c r="K30" s="78"/>
      <c r="L30" s="87">
        <f>L31</f>
        <v>12487.644020000002</v>
      </c>
      <c r="M30" s="87">
        <f>M31</f>
        <v>13283.967101400003</v>
      </c>
      <c r="N30" s="87">
        <f>N31</f>
        <v>11843.717000000001</v>
      </c>
      <c r="O30" s="87">
        <f>O31</f>
        <v>11843.717000000001</v>
      </c>
      <c r="P30" s="97">
        <f>P31</f>
        <v>11843.717000000001</v>
      </c>
    </row>
    <row r="31" spans="1:24" ht="42.75" hidden="1" customHeight="1" x14ac:dyDescent="0.25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87">
        <f>J32+J35+J37+J39+J42+J45</f>
        <v>11843.717000000001</v>
      </c>
      <c r="K31" s="78"/>
      <c r="L31" s="87">
        <f>L32+L35+L37+L39+L42+L45</f>
        <v>12487.644020000002</v>
      </c>
      <c r="M31" s="87">
        <f>M32+M35+M37+M39+M42+M45</f>
        <v>13283.967101400003</v>
      </c>
      <c r="N31" s="87">
        <f>N32+N35+N37+N39+N42+N45</f>
        <v>11843.717000000001</v>
      </c>
      <c r="O31" s="87">
        <f>O32+O35+O37+O39+O42+O45</f>
        <v>11843.717000000001</v>
      </c>
      <c r="P31" s="97">
        <f>P32+P35+P37+P39+P42+P45</f>
        <v>11843.717000000001</v>
      </c>
    </row>
    <row r="32" spans="1:24" ht="21" hidden="1" customHeight="1" x14ac:dyDescent="0.25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137">
        <f>J33+J34</f>
        <v>9577.5059999999994</v>
      </c>
      <c r="K32" s="7"/>
      <c r="L32" s="137">
        <f>L33+L34</f>
        <v>10152.156360000001</v>
      </c>
      <c r="M32" s="137">
        <f>M33+M34</f>
        <v>10862.807305200002</v>
      </c>
      <c r="N32" s="137">
        <f>N33+N34</f>
        <v>9577.5059999999994</v>
      </c>
      <c r="O32" s="137">
        <f>O33+O34</f>
        <v>9577.5059999999994</v>
      </c>
      <c r="P32" s="419">
        <f>P33+P34</f>
        <v>9577.5059999999994</v>
      </c>
    </row>
    <row r="33" spans="2:16" ht="21" hidden="1" customHeight="1" x14ac:dyDescent="0.3">
      <c r="B33" s="195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53">
        <v>7361.933</v>
      </c>
      <c r="K33" s="53"/>
      <c r="L33" s="53">
        <f>J33*106%</f>
        <v>7803.6489799999999</v>
      </c>
      <c r="M33" s="53">
        <f>L33*107%</f>
        <v>8349.9044086000013</v>
      </c>
      <c r="N33" s="53">
        <v>7361.933</v>
      </c>
      <c r="O33" s="53">
        <v>7361.933</v>
      </c>
      <c r="P33" s="419">
        <v>7361.933</v>
      </c>
    </row>
    <row r="34" spans="2:16" ht="21" hidden="1" customHeight="1" x14ac:dyDescent="0.3">
      <c r="B34" s="195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53">
        <v>2215.5729999999999</v>
      </c>
      <c r="K34" s="53"/>
      <c r="L34" s="53">
        <f>J34*106%</f>
        <v>2348.50738</v>
      </c>
      <c r="M34" s="53">
        <f>L34*107%</f>
        <v>2512.9028966000001</v>
      </c>
      <c r="N34" s="53">
        <v>2215.5729999999999</v>
      </c>
      <c r="O34" s="53">
        <v>2215.5729999999999</v>
      </c>
      <c r="P34" s="419">
        <v>2215.5729999999999</v>
      </c>
    </row>
    <row r="35" spans="2:16" ht="26.5" hidden="1" thickBot="1" x14ac:dyDescent="0.3"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93">
        <f>J36</f>
        <v>1154.6110000000001</v>
      </c>
      <c r="K35" s="93"/>
      <c r="L35" s="93">
        <f>L36</f>
        <v>1223.8876600000001</v>
      </c>
      <c r="M35" s="93">
        <f>M36</f>
        <v>1309.5597962000002</v>
      </c>
      <c r="N35" s="93">
        <f>N36</f>
        <v>1154.6110000000001</v>
      </c>
      <c r="O35" s="93">
        <f>O36</f>
        <v>1154.6110000000001</v>
      </c>
      <c r="P35" s="123">
        <f>P36</f>
        <v>1154.6110000000001</v>
      </c>
    </row>
    <row r="36" spans="2:16" ht="13.5" hidden="1" thickBot="1" x14ac:dyDescent="0.35">
      <c r="B36" s="195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93">
        <v>1154.6110000000001</v>
      </c>
      <c r="K36" s="93"/>
      <c r="L36" s="53">
        <f>J36*106%</f>
        <v>1223.8876600000001</v>
      </c>
      <c r="M36" s="53">
        <f>L36*107%</f>
        <v>1309.5597962000002</v>
      </c>
      <c r="N36" s="93">
        <v>1154.6110000000001</v>
      </c>
      <c r="O36" s="93">
        <v>1154.6110000000001</v>
      </c>
      <c r="P36" s="123">
        <v>1154.6110000000001</v>
      </c>
    </row>
    <row r="37" spans="2:16" ht="26.5" hidden="1" thickBot="1" x14ac:dyDescent="0.3"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78">
        <f>J38</f>
        <v>171.8</v>
      </c>
      <c r="K37" s="78"/>
      <c r="L37" s="78">
        <f>L38</f>
        <v>171.8</v>
      </c>
      <c r="M37" s="78">
        <f>M38</f>
        <v>171.8</v>
      </c>
      <c r="N37" s="78">
        <f>N38</f>
        <v>171.8</v>
      </c>
      <c r="O37" s="78">
        <f>O38</f>
        <v>171.8</v>
      </c>
      <c r="P37" s="97">
        <f>P38</f>
        <v>171.8</v>
      </c>
    </row>
    <row r="38" spans="2:16" ht="13.5" hidden="1" thickBot="1" x14ac:dyDescent="0.35">
      <c r="B38" s="195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7">
        <v>171.8</v>
      </c>
      <c r="K38" s="7"/>
      <c r="L38" s="7">
        <v>171.8</v>
      </c>
      <c r="M38" s="7">
        <v>171.8</v>
      </c>
      <c r="N38" s="7">
        <v>171.8</v>
      </c>
      <c r="O38" s="7">
        <v>171.8</v>
      </c>
      <c r="P38" s="419">
        <v>171.8</v>
      </c>
    </row>
    <row r="39" spans="2:16" ht="45.75" hidden="1" customHeight="1" x14ac:dyDescent="0.25"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78">
        <f>J41</f>
        <v>263</v>
      </c>
      <c r="K39" s="78"/>
      <c r="L39" s="78">
        <f>L41</f>
        <v>263</v>
      </c>
      <c r="M39" s="78">
        <f>M41</f>
        <v>263</v>
      </c>
      <c r="N39" s="78">
        <f>N41</f>
        <v>263</v>
      </c>
      <c r="O39" s="78">
        <f>O41</f>
        <v>263</v>
      </c>
      <c r="P39" s="97">
        <f>P41</f>
        <v>263</v>
      </c>
    </row>
    <row r="40" spans="2:16" ht="46.5" hidden="1" customHeight="1" x14ac:dyDescent="0.25"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103"/>
      <c r="K40" s="103"/>
      <c r="L40" s="103"/>
      <c r="M40" s="103"/>
      <c r="N40" s="103"/>
      <c r="O40" s="103"/>
      <c r="P40" s="123"/>
    </row>
    <row r="41" spans="2:16" ht="15" hidden="1" customHeight="1" x14ac:dyDescent="0.3">
      <c r="B41" s="195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103">
        <v>263</v>
      </c>
      <c r="K41" s="103"/>
      <c r="L41" s="103">
        <v>263</v>
      </c>
      <c r="M41" s="103">
        <v>263</v>
      </c>
      <c r="N41" s="103">
        <v>263</v>
      </c>
      <c r="O41" s="103">
        <v>263</v>
      </c>
      <c r="P41" s="123">
        <v>263</v>
      </c>
    </row>
    <row r="42" spans="2:16" ht="67.5" hidden="1" customHeight="1" x14ac:dyDescent="0.25"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101">
        <f>J43</f>
        <v>130.1</v>
      </c>
      <c r="K42" s="101"/>
      <c r="L42" s="101">
        <f>L43</f>
        <v>130.1</v>
      </c>
      <c r="M42" s="101">
        <f>M43</f>
        <v>130.1</v>
      </c>
      <c r="N42" s="101">
        <f>N43</f>
        <v>130.1</v>
      </c>
      <c r="O42" s="101">
        <f>O43</f>
        <v>130.1</v>
      </c>
      <c r="P42" s="125">
        <f>P43</f>
        <v>130.1</v>
      </c>
    </row>
    <row r="43" spans="2:16" ht="15" hidden="1" customHeight="1" x14ac:dyDescent="0.3">
      <c r="B43" s="195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103">
        <v>130.1</v>
      </c>
      <c r="K43" s="103"/>
      <c r="L43" s="103">
        <v>130.1</v>
      </c>
      <c r="M43" s="103">
        <v>130.1</v>
      </c>
      <c r="N43" s="103">
        <v>130.1</v>
      </c>
      <c r="O43" s="103">
        <v>130.1</v>
      </c>
      <c r="P43" s="123">
        <v>130.1</v>
      </c>
    </row>
    <row r="44" spans="2:16" ht="60.65" hidden="1" customHeight="1" x14ac:dyDescent="0.25"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103"/>
      <c r="K44" s="103"/>
      <c r="L44" s="103"/>
      <c r="M44" s="103"/>
      <c r="N44" s="103"/>
      <c r="O44" s="103"/>
      <c r="P44" s="123"/>
    </row>
    <row r="45" spans="2:16" ht="52.5" hidden="1" thickBot="1" x14ac:dyDescent="0.3"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101">
        <f>J46+J47</f>
        <v>546.70000000000005</v>
      </c>
      <c r="K45" s="101"/>
      <c r="L45" s="101">
        <f>L46+L47</f>
        <v>546.70000000000005</v>
      </c>
      <c r="M45" s="101">
        <f>M46+M47</f>
        <v>546.70000000000005</v>
      </c>
      <c r="N45" s="101">
        <f>N46+N47</f>
        <v>546.70000000000005</v>
      </c>
      <c r="O45" s="101">
        <f>O46+O47</f>
        <v>546.70000000000005</v>
      </c>
      <c r="P45" s="125">
        <f>P46+P47</f>
        <v>546.70000000000005</v>
      </c>
    </row>
    <row r="46" spans="2:16" ht="13.5" hidden="1" thickBot="1" x14ac:dyDescent="0.35">
      <c r="B46" s="16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103">
        <f>546.7-45.2</f>
        <v>501.50000000000006</v>
      </c>
      <c r="K46" s="103"/>
      <c r="L46" s="103">
        <f>546.7-45.2</f>
        <v>501.50000000000006</v>
      </c>
      <c r="M46" s="103">
        <f>546.7-45.2</f>
        <v>501.50000000000006</v>
      </c>
      <c r="N46" s="103">
        <f>546.7-45.2</f>
        <v>501.50000000000006</v>
      </c>
      <c r="O46" s="103">
        <f>546.7-45.2</f>
        <v>501.50000000000006</v>
      </c>
      <c r="P46" s="123">
        <f>546.7-45.2</f>
        <v>501.50000000000006</v>
      </c>
    </row>
    <row r="47" spans="2:16" ht="13.5" hidden="1" thickBot="1" x14ac:dyDescent="0.35">
      <c r="B47" s="195" t="s">
        <v>16</v>
      </c>
      <c r="C47" s="88"/>
      <c r="D47" s="88"/>
      <c r="E47" s="88"/>
      <c r="F47" s="9"/>
      <c r="G47" s="9" t="s">
        <v>1</v>
      </c>
      <c r="H47" s="9"/>
      <c r="I47" s="88"/>
      <c r="J47" s="103">
        <v>45.2</v>
      </c>
      <c r="K47" s="103"/>
      <c r="L47" s="103">
        <v>45.2</v>
      </c>
      <c r="M47" s="103">
        <v>45.2</v>
      </c>
      <c r="N47" s="103">
        <v>45.2</v>
      </c>
      <c r="O47" s="103">
        <v>45.2</v>
      </c>
      <c r="P47" s="123">
        <v>45.2</v>
      </c>
    </row>
    <row r="48" spans="2:16" ht="42" hidden="1" customHeight="1" x14ac:dyDescent="0.25"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78">
        <f>J49</f>
        <v>99.305000000000007</v>
      </c>
      <c r="K48" s="78"/>
      <c r="L48" s="78">
        <f t="shared" ref="L48:P50" si="1">L49</f>
        <v>99.305000000000007</v>
      </c>
      <c r="M48" s="78">
        <f t="shared" si="1"/>
        <v>99.305000000000007</v>
      </c>
      <c r="N48" s="78">
        <f t="shared" si="1"/>
        <v>99.305000000000007</v>
      </c>
      <c r="O48" s="78">
        <f t="shared" si="1"/>
        <v>99.305000000000007</v>
      </c>
      <c r="P48" s="97">
        <f t="shared" si="1"/>
        <v>99.305000000000007</v>
      </c>
    </row>
    <row r="49" spans="2:24" ht="39.5" hidden="1" thickBot="1" x14ac:dyDescent="0.3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78">
        <f>J50</f>
        <v>99.305000000000007</v>
      </c>
      <c r="K49" s="78"/>
      <c r="L49" s="78">
        <f t="shared" si="1"/>
        <v>99.305000000000007</v>
      </c>
      <c r="M49" s="78">
        <f t="shared" si="1"/>
        <v>99.305000000000007</v>
      </c>
      <c r="N49" s="78">
        <f t="shared" si="1"/>
        <v>99.305000000000007</v>
      </c>
      <c r="O49" s="78">
        <f t="shared" si="1"/>
        <v>99.305000000000007</v>
      </c>
      <c r="P49" s="97">
        <f t="shared" si="1"/>
        <v>99.305000000000007</v>
      </c>
    </row>
    <row r="50" spans="2:24" ht="45.75" hidden="1" customHeight="1" x14ac:dyDescent="0.25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103">
        <f>J51</f>
        <v>99.305000000000007</v>
      </c>
      <c r="K50" s="103"/>
      <c r="L50" s="103">
        <f t="shared" si="1"/>
        <v>99.305000000000007</v>
      </c>
      <c r="M50" s="103">
        <f t="shared" si="1"/>
        <v>99.305000000000007</v>
      </c>
      <c r="N50" s="103">
        <f t="shared" si="1"/>
        <v>99.305000000000007</v>
      </c>
      <c r="O50" s="103">
        <f t="shared" si="1"/>
        <v>99.305000000000007</v>
      </c>
      <c r="P50" s="123">
        <f t="shared" si="1"/>
        <v>99.305000000000007</v>
      </c>
    </row>
    <row r="51" spans="2:24" ht="13.9" hidden="1" customHeight="1" x14ac:dyDescent="0.3">
      <c r="B51" s="195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103">
        <v>99.305000000000007</v>
      </c>
      <c r="K51" s="103"/>
      <c r="L51" s="103">
        <v>99.305000000000007</v>
      </c>
      <c r="M51" s="103">
        <v>99.305000000000007</v>
      </c>
      <c r="N51" s="103">
        <v>99.305000000000007</v>
      </c>
      <c r="O51" s="103">
        <v>99.305000000000007</v>
      </c>
      <c r="P51" s="123">
        <v>99.305000000000007</v>
      </c>
    </row>
    <row r="52" spans="2:24" ht="14.5" hidden="1" thickBot="1" x14ac:dyDescent="0.3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103"/>
      <c r="K52" s="103"/>
      <c r="L52" s="103"/>
      <c r="M52" s="103"/>
      <c r="N52" s="103"/>
      <c r="O52" s="103"/>
      <c r="P52" s="123"/>
    </row>
    <row r="53" spans="2:24" ht="39.5" hidden="1" thickBot="1" x14ac:dyDescent="0.3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103"/>
      <c r="K53" s="103"/>
      <c r="L53" s="103"/>
      <c r="M53" s="103"/>
      <c r="N53" s="103"/>
      <c r="O53" s="103"/>
      <c r="P53" s="123"/>
    </row>
    <row r="54" spans="2:24" ht="26.5" hidden="1" thickBot="1" x14ac:dyDescent="0.3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103"/>
      <c r="K54" s="103"/>
      <c r="L54" s="103"/>
      <c r="M54" s="103"/>
      <c r="N54" s="103"/>
      <c r="O54" s="103"/>
      <c r="P54" s="123"/>
    </row>
    <row r="55" spans="2:24" ht="13.5" hidden="1" thickBot="1" x14ac:dyDescent="0.3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87">
        <f>J56</f>
        <v>2000</v>
      </c>
      <c r="K55" s="87"/>
      <c r="L55" s="87">
        <f t="shared" ref="L55:P57" si="2">L56</f>
        <v>2000</v>
      </c>
      <c r="M55" s="87">
        <f t="shared" si="2"/>
        <v>2000</v>
      </c>
      <c r="N55" s="87">
        <f t="shared" si="2"/>
        <v>2000</v>
      </c>
      <c r="O55" s="87">
        <f t="shared" si="2"/>
        <v>2000</v>
      </c>
      <c r="P55" s="97">
        <f t="shared" si="2"/>
        <v>2000</v>
      </c>
    </row>
    <row r="56" spans="2:24" s="83" customFormat="1" ht="39.5" hidden="1" thickBot="1" x14ac:dyDescent="0.35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53">
        <f>J57</f>
        <v>2000</v>
      </c>
      <c r="K56" s="53"/>
      <c r="L56" s="53">
        <f t="shared" si="2"/>
        <v>2000</v>
      </c>
      <c r="M56" s="53">
        <f t="shared" si="2"/>
        <v>2000</v>
      </c>
      <c r="N56" s="53">
        <f t="shared" si="2"/>
        <v>2000</v>
      </c>
      <c r="O56" s="53">
        <f t="shared" si="2"/>
        <v>2000</v>
      </c>
      <c r="P56" s="419">
        <f t="shared" si="2"/>
        <v>2000</v>
      </c>
      <c r="Q56" s="84"/>
      <c r="R56" s="84"/>
      <c r="S56" s="84"/>
      <c r="T56" s="84"/>
      <c r="U56" s="84"/>
      <c r="V56" s="84"/>
      <c r="W56" s="84"/>
      <c r="X56" s="84"/>
    </row>
    <row r="57" spans="2:24" ht="26.5" hidden="1" thickBot="1" x14ac:dyDescent="0.3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53">
        <f>J58</f>
        <v>2000</v>
      </c>
      <c r="K57" s="53"/>
      <c r="L57" s="53">
        <f t="shared" si="2"/>
        <v>2000</v>
      </c>
      <c r="M57" s="53">
        <f t="shared" si="2"/>
        <v>2000</v>
      </c>
      <c r="N57" s="53">
        <f t="shared" si="2"/>
        <v>2000</v>
      </c>
      <c r="O57" s="53">
        <f t="shared" si="2"/>
        <v>2000</v>
      </c>
      <c r="P57" s="419">
        <f t="shared" si="2"/>
        <v>2000</v>
      </c>
    </row>
    <row r="58" spans="2:24" ht="13.5" hidden="1" thickBot="1" x14ac:dyDescent="0.35">
      <c r="B58" s="195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53">
        <v>2000</v>
      </c>
      <c r="K58" s="53"/>
      <c r="L58" s="53">
        <v>2000</v>
      </c>
      <c r="M58" s="53">
        <v>2000</v>
      </c>
      <c r="N58" s="53">
        <v>2000</v>
      </c>
      <c r="O58" s="53">
        <v>2000</v>
      </c>
      <c r="P58" s="419">
        <v>2000</v>
      </c>
    </row>
    <row r="59" spans="2:24" ht="13.5" hidden="1" thickBot="1" x14ac:dyDescent="0.3"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101">
        <f>J60</f>
        <v>108</v>
      </c>
      <c r="K59" s="101"/>
      <c r="L59" s="101">
        <f t="shared" ref="L59:P60" si="3">L60</f>
        <v>108</v>
      </c>
      <c r="M59" s="101">
        <f t="shared" si="3"/>
        <v>108</v>
      </c>
      <c r="N59" s="101">
        <f t="shared" si="3"/>
        <v>108</v>
      </c>
      <c r="O59" s="101">
        <f t="shared" si="3"/>
        <v>108</v>
      </c>
      <c r="P59" s="125">
        <f t="shared" si="3"/>
        <v>108</v>
      </c>
    </row>
    <row r="60" spans="2:24" ht="26.5" hidden="1" thickBot="1" x14ac:dyDescent="0.3"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78">
        <f>J61</f>
        <v>108</v>
      </c>
      <c r="K60" s="78"/>
      <c r="L60" s="78">
        <f t="shared" si="3"/>
        <v>108</v>
      </c>
      <c r="M60" s="78">
        <f t="shared" si="3"/>
        <v>108</v>
      </c>
      <c r="N60" s="78">
        <f t="shared" si="3"/>
        <v>108</v>
      </c>
      <c r="O60" s="78">
        <f t="shared" si="3"/>
        <v>108</v>
      </c>
      <c r="P60" s="97">
        <f t="shared" si="3"/>
        <v>108</v>
      </c>
    </row>
    <row r="61" spans="2:24" ht="13.5" hidden="1" thickBot="1" x14ac:dyDescent="0.3"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7">
        <f>J62+J63</f>
        <v>108</v>
      </c>
      <c r="K61" s="7"/>
      <c r="L61" s="7">
        <f>L62+L63</f>
        <v>108</v>
      </c>
      <c r="M61" s="7">
        <f>M62+M63</f>
        <v>108</v>
      </c>
      <c r="N61" s="7">
        <f>N62+N63</f>
        <v>108</v>
      </c>
      <c r="O61" s="7">
        <f>O62+O63</f>
        <v>108</v>
      </c>
      <c r="P61" s="419">
        <f>P62+P63</f>
        <v>108</v>
      </c>
    </row>
    <row r="62" spans="2:24" ht="13.5" hidden="1" thickBot="1" x14ac:dyDescent="0.35">
      <c r="B62" s="195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7">
        <v>105</v>
      </c>
      <c r="K62" s="7"/>
      <c r="L62" s="7">
        <v>105</v>
      </c>
      <c r="M62" s="7">
        <v>105</v>
      </c>
      <c r="N62" s="7">
        <v>105</v>
      </c>
      <c r="O62" s="7">
        <v>105</v>
      </c>
      <c r="P62" s="419">
        <v>105</v>
      </c>
    </row>
    <row r="63" spans="2:24" ht="13.5" hidden="1" thickBot="1" x14ac:dyDescent="0.35">
      <c r="B63" s="195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7">
        <v>3</v>
      </c>
      <c r="K63" s="7"/>
      <c r="L63" s="7">
        <v>3</v>
      </c>
      <c r="M63" s="7">
        <v>3</v>
      </c>
      <c r="N63" s="7">
        <v>3</v>
      </c>
      <c r="O63" s="7">
        <v>3</v>
      </c>
      <c r="P63" s="419">
        <v>3</v>
      </c>
    </row>
    <row r="64" spans="2:24" ht="14.5" hidden="1" thickBot="1" x14ac:dyDescent="0.3"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197">
        <f>J65</f>
        <v>605.88300000000004</v>
      </c>
      <c r="K64" s="197"/>
      <c r="L64" s="197">
        <f t="shared" ref="L64:P65" si="4">L65</f>
        <v>605.88300000000004</v>
      </c>
      <c r="M64" s="197">
        <f t="shared" si="4"/>
        <v>605.88300000000004</v>
      </c>
      <c r="N64" s="197">
        <f t="shared" si="4"/>
        <v>605.88300000000004</v>
      </c>
      <c r="O64" s="197">
        <f t="shared" si="4"/>
        <v>605.88300000000004</v>
      </c>
      <c r="P64" s="420">
        <f t="shared" si="4"/>
        <v>605.88300000000004</v>
      </c>
    </row>
    <row r="65" spans="2:16" ht="13.5" hidden="1" thickBot="1" x14ac:dyDescent="0.3"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7">
        <f>J66</f>
        <v>605.88300000000004</v>
      </c>
      <c r="K65" s="7"/>
      <c r="L65" s="7">
        <f t="shared" si="4"/>
        <v>605.88300000000004</v>
      </c>
      <c r="M65" s="7">
        <f t="shared" si="4"/>
        <v>605.88300000000004</v>
      </c>
      <c r="N65" s="7">
        <f t="shared" si="4"/>
        <v>605.88300000000004</v>
      </c>
      <c r="O65" s="7">
        <f t="shared" si="4"/>
        <v>605.88300000000004</v>
      </c>
      <c r="P65" s="419">
        <f t="shared" si="4"/>
        <v>605.88300000000004</v>
      </c>
    </row>
    <row r="66" spans="2:16" ht="26.5" hidden="1" thickBot="1" x14ac:dyDescent="0.3"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7">
        <f>J67+J68</f>
        <v>605.88300000000004</v>
      </c>
      <c r="K66" s="7"/>
      <c r="L66" s="7">
        <f>L67+L68</f>
        <v>605.88300000000004</v>
      </c>
      <c r="M66" s="7">
        <f>M67+M68</f>
        <v>605.88300000000004</v>
      </c>
      <c r="N66" s="7">
        <f>N67+N68</f>
        <v>605.88300000000004</v>
      </c>
      <c r="O66" s="7">
        <f>O67+O68</f>
        <v>605.88300000000004</v>
      </c>
      <c r="P66" s="419">
        <f>P67+P68</f>
        <v>605.88300000000004</v>
      </c>
    </row>
    <row r="67" spans="2:16" ht="13.5" hidden="1" thickBot="1" x14ac:dyDescent="0.35">
      <c r="B67" s="16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7">
        <v>555.32000000000005</v>
      </c>
      <c r="K67" s="7"/>
      <c r="L67" s="7">
        <v>555.32000000000005</v>
      </c>
      <c r="M67" s="7">
        <v>555.32000000000005</v>
      </c>
      <c r="N67" s="7">
        <v>555.32000000000005</v>
      </c>
      <c r="O67" s="7">
        <v>555.32000000000005</v>
      </c>
      <c r="P67" s="419">
        <v>555.32000000000005</v>
      </c>
    </row>
    <row r="68" spans="2:16" ht="13.5" hidden="1" thickBot="1" x14ac:dyDescent="0.35">
      <c r="B68" s="195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7">
        <v>50.563000000000002</v>
      </c>
      <c r="K68" s="7"/>
      <c r="L68" s="7">
        <v>50.563000000000002</v>
      </c>
      <c r="M68" s="7">
        <v>50.563000000000002</v>
      </c>
      <c r="N68" s="7">
        <v>50.563000000000002</v>
      </c>
      <c r="O68" s="7">
        <v>50.563000000000002</v>
      </c>
      <c r="P68" s="419">
        <v>50.563000000000002</v>
      </c>
    </row>
    <row r="69" spans="2:16" ht="32.25" hidden="1" customHeight="1" x14ac:dyDescent="0.25"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192">
        <f>J70</f>
        <v>1397</v>
      </c>
      <c r="K69" s="192"/>
      <c r="L69" s="192">
        <f t="shared" ref="L69:P70" si="5">L70</f>
        <v>1182</v>
      </c>
      <c r="M69" s="192">
        <f t="shared" si="5"/>
        <v>1022</v>
      </c>
      <c r="N69" s="192">
        <f t="shared" si="5"/>
        <v>1397</v>
      </c>
      <c r="O69" s="192">
        <f t="shared" si="5"/>
        <v>1397</v>
      </c>
      <c r="P69" s="420">
        <f t="shared" si="5"/>
        <v>1397</v>
      </c>
    </row>
    <row r="70" spans="2:16" ht="26.5" hidden="1" thickBot="1" x14ac:dyDescent="0.3"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53">
        <f>J71</f>
        <v>1397</v>
      </c>
      <c r="K70" s="53"/>
      <c r="L70" s="53">
        <f t="shared" si="5"/>
        <v>1182</v>
      </c>
      <c r="M70" s="53">
        <f t="shared" si="5"/>
        <v>1022</v>
      </c>
      <c r="N70" s="53">
        <f t="shared" si="5"/>
        <v>1397</v>
      </c>
      <c r="O70" s="53">
        <f t="shared" si="5"/>
        <v>1397</v>
      </c>
      <c r="P70" s="419">
        <f t="shared" si="5"/>
        <v>1397</v>
      </c>
    </row>
    <row r="71" spans="2:16" ht="39.65" hidden="1" customHeight="1" x14ac:dyDescent="0.25"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>L72+L77</f>
        <v>1182</v>
      </c>
      <c r="M71" s="51">
        <f>M72+M77</f>
        <v>1022</v>
      </c>
      <c r="N71" s="51">
        <f>N72+N77</f>
        <v>1397</v>
      </c>
      <c r="O71" s="51">
        <f>O72+O77</f>
        <v>1397</v>
      </c>
      <c r="P71" s="51">
        <f>P72+P77</f>
        <v>1397</v>
      </c>
    </row>
    <row r="72" spans="2:16" ht="65.5" hidden="1" thickBot="1" x14ac:dyDescent="0.3">
      <c r="B72" s="157" t="s">
        <v>239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7">
        <f>J73+J75</f>
        <v>711</v>
      </c>
      <c r="K72" s="7"/>
      <c r="L72" s="7">
        <f>L73+L75</f>
        <v>496</v>
      </c>
      <c r="M72" s="7">
        <f>M73+M75</f>
        <v>336</v>
      </c>
      <c r="N72" s="7">
        <f>N73+N75</f>
        <v>711</v>
      </c>
      <c r="O72" s="7">
        <f>O73+O75</f>
        <v>711</v>
      </c>
      <c r="P72" s="419">
        <f>P73+P75</f>
        <v>711</v>
      </c>
    </row>
    <row r="73" spans="2:16" ht="65.5" hidden="1" thickBot="1" x14ac:dyDescent="0.3">
      <c r="B73" s="49" t="s">
        <v>403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7">
        <f>J74</f>
        <v>426</v>
      </c>
      <c r="K73" s="7"/>
      <c r="L73" s="7">
        <f>L74</f>
        <v>296</v>
      </c>
      <c r="M73" s="7">
        <f>M74</f>
        <v>136</v>
      </c>
      <c r="N73" s="7">
        <f>N74</f>
        <v>426</v>
      </c>
      <c r="O73" s="7">
        <f>O74</f>
        <v>426</v>
      </c>
      <c r="P73" s="419">
        <f>P74</f>
        <v>426</v>
      </c>
    </row>
    <row r="74" spans="2:16" ht="13.5" hidden="1" thickBot="1" x14ac:dyDescent="0.35">
      <c r="B74" s="195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7">
        <v>426</v>
      </c>
      <c r="K74" s="7"/>
      <c r="L74" s="7">
        <v>296</v>
      </c>
      <c r="M74" s="7">
        <v>136</v>
      </c>
      <c r="N74" s="7">
        <v>426</v>
      </c>
      <c r="O74" s="7">
        <v>426</v>
      </c>
      <c r="P74" s="419">
        <v>426</v>
      </c>
    </row>
    <row r="75" spans="2:16" ht="52.5" hidden="1" thickBot="1" x14ac:dyDescent="0.3">
      <c r="B75" s="49" t="s">
        <v>402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7">
        <f>J76</f>
        <v>285</v>
      </c>
      <c r="K75" s="7"/>
      <c r="L75" s="7">
        <f>L76</f>
        <v>200</v>
      </c>
      <c r="M75" s="7">
        <f>M76</f>
        <v>200</v>
      </c>
      <c r="N75" s="7">
        <f>N76</f>
        <v>285</v>
      </c>
      <c r="O75" s="7">
        <f>O76</f>
        <v>285</v>
      </c>
      <c r="P75" s="419">
        <f>P76</f>
        <v>285</v>
      </c>
    </row>
    <row r="76" spans="2:16" ht="13.5" hidden="1" thickBot="1" x14ac:dyDescent="0.35">
      <c r="B76" s="195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7">
        <v>285</v>
      </c>
      <c r="K76" s="7"/>
      <c r="L76" s="7">
        <v>200</v>
      </c>
      <c r="M76" s="7">
        <v>200</v>
      </c>
      <c r="N76" s="7">
        <v>285</v>
      </c>
      <c r="O76" s="7">
        <v>285</v>
      </c>
      <c r="P76" s="419">
        <v>285</v>
      </c>
    </row>
    <row r="77" spans="2:16" ht="65.5" hidden="1" thickBot="1" x14ac:dyDescent="0.3">
      <c r="B77" s="157" t="s">
        <v>228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78">
        <f>J78</f>
        <v>686</v>
      </c>
      <c r="K77" s="78"/>
      <c r="L77" s="78">
        <f>L78</f>
        <v>686</v>
      </c>
      <c r="M77" s="78">
        <f>M78</f>
        <v>686</v>
      </c>
      <c r="N77" s="78">
        <f>N78</f>
        <v>686</v>
      </c>
      <c r="O77" s="78">
        <f>O78</f>
        <v>686</v>
      </c>
      <c r="P77" s="97">
        <f>P78</f>
        <v>686</v>
      </c>
    </row>
    <row r="78" spans="2:16" ht="65.5" hidden="1" thickBot="1" x14ac:dyDescent="0.3">
      <c r="B78" s="49" t="s">
        <v>398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7">
        <f>J80</f>
        <v>686</v>
      </c>
      <c r="K78" s="7"/>
      <c r="L78" s="7">
        <f>L80</f>
        <v>686</v>
      </c>
      <c r="M78" s="7">
        <f>M80</f>
        <v>686</v>
      </c>
      <c r="N78" s="7">
        <f>N80</f>
        <v>686</v>
      </c>
      <c r="O78" s="7">
        <f>O80</f>
        <v>686</v>
      </c>
      <c r="P78" s="419">
        <f>P80</f>
        <v>686</v>
      </c>
    </row>
    <row r="79" spans="2:16" ht="40.5" hidden="1" customHeight="1" x14ac:dyDescent="0.25"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159"/>
      <c r="K79" s="159"/>
      <c r="L79" s="159"/>
      <c r="M79" s="159"/>
      <c r="N79" s="159"/>
      <c r="O79" s="159"/>
      <c r="P79" s="421"/>
    </row>
    <row r="80" spans="2:16" ht="17.5" hidden="1" customHeight="1" x14ac:dyDescent="0.3">
      <c r="B80" s="195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7">
        <v>686</v>
      </c>
      <c r="K80" s="159"/>
      <c r="L80" s="7">
        <v>686</v>
      </c>
      <c r="M80" s="7">
        <v>686</v>
      </c>
      <c r="N80" s="7">
        <v>686</v>
      </c>
      <c r="O80" s="7">
        <v>686</v>
      </c>
      <c r="P80" s="419">
        <v>686</v>
      </c>
    </row>
    <row r="81" spans="2:24" ht="44.25" hidden="1" customHeight="1" x14ac:dyDescent="0.25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31"/>
      <c r="O81" s="131"/>
      <c r="P81" s="51"/>
    </row>
    <row r="82" spans="2:24" ht="39.5" hidden="1" thickBot="1" x14ac:dyDescent="0.3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7"/>
      <c r="K82" s="7"/>
      <c r="L82" s="7"/>
      <c r="M82" s="7"/>
      <c r="N82" s="7"/>
      <c r="O82" s="7"/>
      <c r="P82" s="419"/>
    </row>
    <row r="83" spans="2:24" s="83" customFormat="1" ht="14.5" hidden="1" thickBot="1" x14ac:dyDescent="0.35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216">
        <f>J84+J93</f>
        <v>18097.09</v>
      </c>
      <c r="K83" s="217"/>
      <c r="L83" s="216">
        <f>L84+L93</f>
        <v>11814.485000000001</v>
      </c>
      <c r="M83" s="216">
        <f>M84+M93</f>
        <v>14413.347</v>
      </c>
      <c r="N83" s="216">
        <f>N84+N93</f>
        <v>18097.09</v>
      </c>
      <c r="O83" s="216">
        <f>O84+O93</f>
        <v>18097.09</v>
      </c>
      <c r="P83" s="422">
        <f>P84+P93</f>
        <v>18097.09</v>
      </c>
      <c r="Q83" s="84"/>
      <c r="R83" s="84"/>
      <c r="S83" s="84"/>
      <c r="T83" s="84"/>
      <c r="U83" s="84"/>
      <c r="V83" s="84"/>
      <c r="W83" s="84"/>
      <c r="X83" s="84"/>
    </row>
    <row r="84" spans="2:24" s="83" customFormat="1" ht="13.5" hidden="1" thickBot="1" x14ac:dyDescent="0.35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87">
        <f>J85</f>
        <v>17447.29</v>
      </c>
      <c r="K84" s="7"/>
      <c r="L84" s="87">
        <f>L85</f>
        <v>11444.685000000001</v>
      </c>
      <c r="M84" s="87">
        <f>M85</f>
        <v>14038.547</v>
      </c>
      <c r="N84" s="87">
        <f>N85</f>
        <v>17447.29</v>
      </c>
      <c r="O84" s="87">
        <f>O85</f>
        <v>17447.29</v>
      </c>
      <c r="P84" s="97">
        <f>P85</f>
        <v>17447.29</v>
      </c>
      <c r="Q84" s="84"/>
      <c r="R84" s="84"/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3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>L86+L90</f>
        <v>11444.685000000001</v>
      </c>
      <c r="M85" s="51">
        <f>M86+M90</f>
        <v>14038.547</v>
      </c>
      <c r="N85" s="51">
        <f>N86+N90</f>
        <v>17447.29</v>
      </c>
      <c r="O85" s="51">
        <f>O86+O90</f>
        <v>17447.29</v>
      </c>
      <c r="P85" s="51">
        <f>P86+P90</f>
        <v>17447.29</v>
      </c>
      <c r="Q85" s="84"/>
      <c r="R85" s="84"/>
      <c r="S85" s="84"/>
      <c r="T85" s="84"/>
      <c r="U85" s="84"/>
      <c r="V85" s="84"/>
      <c r="W85" s="84"/>
      <c r="X85" s="84"/>
    </row>
    <row r="86" spans="2:24" s="83" customFormat="1" ht="65.5" hidden="1" thickBot="1" x14ac:dyDescent="0.35">
      <c r="B86" s="157" t="s">
        <v>393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87">
        <f>J87</f>
        <v>16806.29</v>
      </c>
      <c r="K86" s="78"/>
      <c r="L86" s="78">
        <f t="shared" ref="L86:P87" si="6">L87</f>
        <v>10777.685000000001</v>
      </c>
      <c r="M86" s="87">
        <f t="shared" si="6"/>
        <v>13305.547</v>
      </c>
      <c r="N86" s="87">
        <f t="shared" si="6"/>
        <v>16806.29</v>
      </c>
      <c r="O86" s="87">
        <f t="shared" si="6"/>
        <v>16806.29</v>
      </c>
      <c r="P86" s="97">
        <f t="shared" si="6"/>
        <v>16806.29</v>
      </c>
      <c r="Q86" s="84"/>
      <c r="R86" s="84"/>
      <c r="S86" s="84"/>
      <c r="T86" s="84"/>
      <c r="U86" s="84"/>
      <c r="V86" s="84"/>
      <c r="W86" s="84"/>
      <c r="X86" s="84"/>
    </row>
    <row r="87" spans="2:24" s="83" customFormat="1" ht="65.5" hidden="1" thickBot="1" x14ac:dyDescent="0.35">
      <c r="B87" s="90" t="s">
        <v>391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53">
        <f>J88</f>
        <v>16806.29</v>
      </c>
      <c r="K87" s="7"/>
      <c r="L87" s="53">
        <f t="shared" si="6"/>
        <v>10777.685000000001</v>
      </c>
      <c r="M87" s="53">
        <f t="shared" si="6"/>
        <v>13305.547</v>
      </c>
      <c r="N87" s="53">
        <f t="shared" si="6"/>
        <v>16806.29</v>
      </c>
      <c r="O87" s="53">
        <f t="shared" si="6"/>
        <v>16806.29</v>
      </c>
      <c r="P87" s="419">
        <f t="shared" si="6"/>
        <v>16806.29</v>
      </c>
      <c r="Q87" s="84"/>
      <c r="R87" s="84"/>
      <c r="S87" s="84"/>
      <c r="T87" s="84"/>
      <c r="U87" s="84"/>
      <c r="V87" s="84"/>
      <c r="W87" s="84"/>
      <c r="X87" s="84"/>
    </row>
    <row r="88" spans="2:24" s="83" customFormat="1" ht="13.5" hidden="1" thickBot="1" x14ac:dyDescent="0.35">
      <c r="B88" s="195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53">
        <f>7156.753+13430-3780.463</f>
        <v>16806.29</v>
      </c>
      <c r="K88" s="7"/>
      <c r="L88" s="53">
        <f>22480.2-11702.515</f>
        <v>10777.685000000001</v>
      </c>
      <c r="M88" s="53">
        <v>13305.547</v>
      </c>
      <c r="N88" s="53">
        <f>7156.753+13430-3780.463</f>
        <v>16806.29</v>
      </c>
      <c r="O88" s="53">
        <f>7156.753+13430-3780.463</f>
        <v>16806.29</v>
      </c>
      <c r="P88" s="419">
        <f>7156.753+13430-3780.463</f>
        <v>16806.29</v>
      </c>
      <c r="Q88" s="84"/>
      <c r="R88" s="84"/>
      <c r="S88" s="84"/>
      <c r="T88" s="84"/>
      <c r="U88" s="84"/>
      <c r="V88" s="84"/>
      <c r="W88" s="84"/>
      <c r="X88" s="84"/>
    </row>
    <row r="89" spans="2:24" s="83" customFormat="1" ht="52.5" hidden="1" thickBot="1" x14ac:dyDescent="0.35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7"/>
      <c r="K89" s="7"/>
      <c r="L89" s="7"/>
      <c r="M89" s="7"/>
      <c r="N89" s="7"/>
      <c r="O89" s="7"/>
      <c r="P89" s="419"/>
      <c r="Q89" s="84"/>
      <c r="R89" s="84"/>
      <c r="S89" s="84"/>
      <c r="T89" s="84"/>
      <c r="U89" s="84"/>
      <c r="V89" s="84"/>
      <c r="W89" s="84"/>
      <c r="X89" s="84"/>
    </row>
    <row r="90" spans="2:24" s="83" customFormat="1" ht="65.5" hidden="1" thickBot="1" x14ac:dyDescent="0.35">
      <c r="B90" s="157" t="s">
        <v>389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78">
        <f>J91</f>
        <v>641</v>
      </c>
      <c r="K90" s="78"/>
      <c r="L90" s="78">
        <f t="shared" ref="L90:P91" si="7">L91</f>
        <v>667</v>
      </c>
      <c r="M90" s="78">
        <f t="shared" si="7"/>
        <v>733</v>
      </c>
      <c r="N90" s="78">
        <f t="shared" si="7"/>
        <v>641</v>
      </c>
      <c r="O90" s="78">
        <f t="shared" si="7"/>
        <v>641</v>
      </c>
      <c r="P90" s="97">
        <f t="shared" si="7"/>
        <v>641</v>
      </c>
      <c r="Q90" s="84"/>
      <c r="R90" s="84"/>
      <c r="S90" s="84"/>
      <c r="T90" s="84"/>
      <c r="U90" s="84"/>
      <c r="V90" s="84"/>
      <c r="W90" s="84"/>
      <c r="X90" s="84"/>
    </row>
    <row r="91" spans="2:24" s="83" customFormat="1" ht="65.5" hidden="1" thickBot="1" x14ac:dyDescent="0.35">
      <c r="B91" s="49" t="s">
        <v>387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7">
        <f>J92</f>
        <v>641</v>
      </c>
      <c r="K91" s="7"/>
      <c r="L91" s="7">
        <f t="shared" si="7"/>
        <v>667</v>
      </c>
      <c r="M91" s="7">
        <f t="shared" si="7"/>
        <v>733</v>
      </c>
      <c r="N91" s="7">
        <f t="shared" si="7"/>
        <v>641</v>
      </c>
      <c r="O91" s="7">
        <f t="shared" si="7"/>
        <v>641</v>
      </c>
      <c r="P91" s="419">
        <f t="shared" si="7"/>
        <v>641</v>
      </c>
      <c r="Q91" s="84"/>
      <c r="R91" s="84"/>
      <c r="S91" s="84"/>
      <c r="T91" s="84"/>
      <c r="U91" s="84"/>
      <c r="V91" s="84"/>
      <c r="W91" s="84"/>
      <c r="X91" s="84"/>
    </row>
    <row r="92" spans="2:24" s="83" customFormat="1" ht="13.5" hidden="1" thickBot="1" x14ac:dyDescent="0.35">
      <c r="B92" s="195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7">
        <v>641</v>
      </c>
      <c r="K92" s="7"/>
      <c r="L92" s="7">
        <v>667</v>
      </c>
      <c r="M92" s="7">
        <v>733</v>
      </c>
      <c r="N92" s="7">
        <v>641</v>
      </c>
      <c r="O92" s="7">
        <v>641</v>
      </c>
      <c r="P92" s="419">
        <v>641</v>
      </c>
      <c r="Q92" s="84"/>
      <c r="R92" s="84"/>
      <c r="S92" s="84"/>
      <c r="T92" s="84"/>
      <c r="U92" s="84"/>
      <c r="V92" s="84"/>
      <c r="W92" s="84"/>
      <c r="X92" s="84"/>
    </row>
    <row r="93" spans="2:24" s="83" customFormat="1" ht="13.5" hidden="1" thickBot="1" x14ac:dyDescent="0.35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97">
        <f>J94+J98</f>
        <v>649.79999999999995</v>
      </c>
      <c r="K93" s="97"/>
      <c r="L93" s="97">
        <f>L94+L98</f>
        <v>369.8</v>
      </c>
      <c r="M93" s="97">
        <f>M94+M98</f>
        <v>374.8</v>
      </c>
      <c r="N93" s="97">
        <f>N94+N98</f>
        <v>649.79999999999995</v>
      </c>
      <c r="O93" s="97">
        <f>O94+O98</f>
        <v>649.79999999999995</v>
      </c>
      <c r="P93" s="97">
        <f>P94+P98</f>
        <v>649.79999999999995</v>
      </c>
      <c r="Q93" s="84"/>
      <c r="R93" s="84"/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3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>L96</f>
        <v>305</v>
      </c>
      <c r="M94" s="51">
        <f>M96</f>
        <v>310</v>
      </c>
      <c r="N94" s="51">
        <f>N96</f>
        <v>300</v>
      </c>
      <c r="O94" s="51">
        <f>O96</f>
        <v>300</v>
      </c>
      <c r="P94" s="51">
        <f>P96</f>
        <v>300</v>
      </c>
      <c r="Q94" s="84"/>
      <c r="R94" s="84"/>
      <c r="S94" s="84"/>
      <c r="T94" s="84"/>
      <c r="U94" s="84"/>
      <c r="V94" s="84"/>
      <c r="W94" s="84"/>
      <c r="X94" s="84"/>
    </row>
    <row r="95" spans="2:24" s="83" customFormat="1" ht="78" hidden="1" customHeight="1" x14ac:dyDescent="0.3">
      <c r="B95" s="170" t="s">
        <v>291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78"/>
      <c r="K95" s="78"/>
      <c r="L95" s="78"/>
      <c r="M95" s="78"/>
      <c r="N95" s="78"/>
      <c r="O95" s="78"/>
      <c r="P95" s="97"/>
      <c r="Q95" s="84"/>
      <c r="R95" s="84"/>
      <c r="S95" s="84"/>
      <c r="T95" s="84"/>
      <c r="U95" s="84"/>
      <c r="V95" s="84"/>
      <c r="W95" s="84"/>
      <c r="X95" s="84"/>
    </row>
    <row r="96" spans="2:24" s="83" customFormat="1" ht="70.5" hidden="1" thickBot="1" x14ac:dyDescent="0.35">
      <c r="B96" s="214" t="s">
        <v>383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78">
        <f>J97</f>
        <v>300</v>
      </c>
      <c r="K96" s="78"/>
      <c r="L96" s="78">
        <f>L97</f>
        <v>305</v>
      </c>
      <c r="M96" s="78">
        <f>M97</f>
        <v>310</v>
      </c>
      <c r="N96" s="78">
        <f>N97</f>
        <v>300</v>
      </c>
      <c r="O96" s="78">
        <f>O97</f>
        <v>300</v>
      </c>
      <c r="P96" s="97">
        <f>P97</f>
        <v>300</v>
      </c>
      <c r="Q96" s="84"/>
      <c r="R96" s="84"/>
      <c r="S96" s="84"/>
      <c r="T96" s="84"/>
      <c r="U96" s="84"/>
      <c r="V96" s="84"/>
      <c r="W96" s="84"/>
      <c r="X96" s="84"/>
    </row>
    <row r="97" spans="2:24" s="83" customFormat="1" ht="13.5" hidden="1" thickBot="1" x14ac:dyDescent="0.35">
      <c r="B97" s="195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7">
        <v>300</v>
      </c>
      <c r="K97" s="78"/>
      <c r="L97" s="7">
        <v>305</v>
      </c>
      <c r="M97" s="7">
        <v>310</v>
      </c>
      <c r="N97" s="7">
        <v>300</v>
      </c>
      <c r="O97" s="7">
        <v>300</v>
      </c>
      <c r="P97" s="419">
        <v>300</v>
      </c>
      <c r="Q97" s="84"/>
      <c r="R97" s="84"/>
      <c r="S97" s="84"/>
      <c r="T97" s="84"/>
      <c r="U97" s="84"/>
      <c r="V97" s="84"/>
      <c r="W97" s="84"/>
      <c r="X97" s="84"/>
    </row>
    <row r="98" spans="2:24" s="83" customFormat="1" ht="39.5" hidden="1" thickBot="1" x14ac:dyDescent="0.35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78">
        <f>J99+J101+J103</f>
        <v>349.8</v>
      </c>
      <c r="K98" s="78"/>
      <c r="L98" s="78">
        <f>L99+L101+L103</f>
        <v>64.8</v>
      </c>
      <c r="M98" s="78">
        <f>M99+M101+M103</f>
        <v>64.8</v>
      </c>
      <c r="N98" s="78">
        <f>N99+N101+N103</f>
        <v>349.8</v>
      </c>
      <c r="O98" s="78">
        <f>O99+O101+O103</f>
        <v>349.8</v>
      </c>
      <c r="P98" s="97">
        <f>P99+P101+P103</f>
        <v>349.8</v>
      </c>
      <c r="Q98" s="84"/>
      <c r="R98" s="84"/>
      <c r="S98" s="84"/>
      <c r="T98" s="84"/>
      <c r="U98" s="84"/>
      <c r="V98" s="84"/>
      <c r="W98" s="84"/>
      <c r="X98" s="84"/>
    </row>
    <row r="99" spans="2:24" s="83" customFormat="1" ht="13.5" hidden="1" thickBot="1" x14ac:dyDescent="0.35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78">
        <f>J100</f>
        <v>195</v>
      </c>
      <c r="K99" s="78"/>
      <c r="L99" s="78">
        <f>L100</f>
        <v>0</v>
      </c>
      <c r="M99" s="78">
        <f>M100</f>
        <v>0</v>
      </c>
      <c r="N99" s="78">
        <f>N100</f>
        <v>195</v>
      </c>
      <c r="O99" s="78">
        <f>O100</f>
        <v>195</v>
      </c>
      <c r="P99" s="97">
        <f>P100</f>
        <v>195</v>
      </c>
      <c r="Q99" s="84"/>
      <c r="R99" s="84"/>
      <c r="S99" s="84"/>
      <c r="T99" s="84"/>
      <c r="U99" s="84"/>
      <c r="V99" s="84"/>
      <c r="W99" s="84"/>
      <c r="X99" s="84"/>
    </row>
    <row r="100" spans="2:24" s="83" customFormat="1" ht="13.5" hidden="1" thickBot="1" x14ac:dyDescent="0.35">
      <c r="B100" s="195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7">
        <v>195</v>
      </c>
      <c r="K100" s="7"/>
      <c r="L100" s="7"/>
      <c r="M100" s="7"/>
      <c r="N100" s="7">
        <v>195</v>
      </c>
      <c r="O100" s="7">
        <v>195</v>
      </c>
      <c r="P100" s="419">
        <v>195</v>
      </c>
      <c r="Q100" s="84"/>
      <c r="R100" s="84"/>
      <c r="S100" s="84"/>
      <c r="T100" s="84"/>
      <c r="U100" s="84"/>
      <c r="V100" s="84"/>
      <c r="W100" s="84"/>
      <c r="X100" s="84"/>
    </row>
    <row r="101" spans="2:24" s="83" customFormat="1" ht="13.5" hidden="1" thickBot="1" x14ac:dyDescent="0.35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78">
        <f>J102</f>
        <v>64.8</v>
      </c>
      <c r="K101" s="78"/>
      <c r="L101" s="78">
        <f>L102</f>
        <v>64.8</v>
      </c>
      <c r="M101" s="78">
        <f>M102</f>
        <v>64.8</v>
      </c>
      <c r="N101" s="78">
        <f>N102</f>
        <v>64.8</v>
      </c>
      <c r="O101" s="78">
        <f>O102</f>
        <v>64.8</v>
      </c>
      <c r="P101" s="97">
        <f>P102</f>
        <v>64.8</v>
      </c>
      <c r="Q101" s="84"/>
      <c r="R101" s="84"/>
      <c r="S101" s="84"/>
      <c r="T101" s="84"/>
      <c r="U101" s="84"/>
      <c r="V101" s="84"/>
      <c r="W101" s="84"/>
      <c r="X101" s="84"/>
    </row>
    <row r="102" spans="2:24" s="83" customFormat="1" ht="13.5" hidden="1" thickBot="1" x14ac:dyDescent="0.35">
      <c r="B102" s="195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7">
        <v>64.8</v>
      </c>
      <c r="K102" s="7"/>
      <c r="L102" s="7">
        <v>64.8</v>
      </c>
      <c r="M102" s="7">
        <v>64.8</v>
      </c>
      <c r="N102" s="7">
        <v>64.8</v>
      </c>
      <c r="O102" s="7">
        <v>64.8</v>
      </c>
      <c r="P102" s="419">
        <v>64.8</v>
      </c>
      <c r="Q102" s="84"/>
      <c r="R102" s="84"/>
      <c r="S102" s="84"/>
      <c r="T102" s="84"/>
      <c r="U102" s="84"/>
      <c r="V102" s="84"/>
      <c r="W102" s="84"/>
      <c r="X102" s="84"/>
    </row>
    <row r="103" spans="2:24" s="83" customFormat="1" ht="13.5" hidden="1" thickBot="1" x14ac:dyDescent="0.35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78">
        <f>J104</f>
        <v>90</v>
      </c>
      <c r="K103" s="78"/>
      <c r="L103" s="78">
        <f>L104</f>
        <v>0</v>
      </c>
      <c r="M103" s="78">
        <f>M104</f>
        <v>0</v>
      </c>
      <c r="N103" s="78">
        <f>N104</f>
        <v>90</v>
      </c>
      <c r="O103" s="78">
        <f>O104</f>
        <v>90</v>
      </c>
      <c r="P103" s="97">
        <f>P104</f>
        <v>90</v>
      </c>
      <c r="Q103" s="84"/>
      <c r="R103" s="84"/>
      <c r="S103" s="84"/>
      <c r="T103" s="84"/>
      <c r="U103" s="84"/>
      <c r="V103" s="84"/>
      <c r="W103" s="84"/>
      <c r="X103" s="84"/>
    </row>
    <row r="104" spans="2:24" s="83" customFormat="1" ht="13.5" hidden="1" thickBot="1" x14ac:dyDescent="0.35">
      <c r="B104" s="195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7">
        <v>90</v>
      </c>
      <c r="K104" s="78"/>
      <c r="L104" s="78"/>
      <c r="M104" s="78"/>
      <c r="N104" s="7">
        <v>90</v>
      </c>
      <c r="O104" s="7">
        <v>90</v>
      </c>
      <c r="P104" s="419">
        <v>90</v>
      </c>
      <c r="Q104" s="84"/>
      <c r="R104" s="84"/>
      <c r="S104" s="84"/>
      <c r="T104" s="84"/>
      <c r="U104" s="84"/>
      <c r="V104" s="84"/>
      <c r="W104" s="84"/>
      <c r="X104" s="84"/>
    </row>
    <row r="105" spans="2:24" s="83" customFormat="1" ht="14.5" hidden="1" thickBot="1" x14ac:dyDescent="0.35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212">
        <f>J106+J117+J130+J139</f>
        <v>22021.318999999996</v>
      </c>
      <c r="K105" s="197"/>
      <c r="L105" s="212">
        <f>L106+L117+L130+L139</f>
        <v>27710.55</v>
      </c>
      <c r="M105" s="212">
        <f>M106+M117+M130+M139</f>
        <v>26064.505000000001</v>
      </c>
      <c r="N105" s="212">
        <f>N106+N117+N130+N139</f>
        <v>22021.318999999996</v>
      </c>
      <c r="O105" s="212">
        <f>O106+O117+O130+O139</f>
        <v>22021.318999999996</v>
      </c>
      <c r="P105" s="420">
        <f>P106+P117+P130+P139</f>
        <v>22021.318999999996</v>
      </c>
      <c r="Q105" s="84"/>
      <c r="R105" s="84"/>
      <c r="S105" s="84"/>
      <c r="T105" s="84"/>
      <c r="U105" s="84"/>
      <c r="V105" s="84"/>
      <c r="W105" s="84"/>
      <c r="X105" s="84"/>
    </row>
    <row r="106" spans="2:24" ht="13.5" hidden="1" thickBot="1" x14ac:dyDescent="0.3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53">
        <f>J107+J112</f>
        <v>9048</v>
      </c>
      <c r="K106" s="53"/>
      <c r="L106" s="53">
        <f>L107+L112</f>
        <v>10000</v>
      </c>
      <c r="M106" s="53">
        <f>M107+M112</f>
        <v>10000</v>
      </c>
      <c r="N106" s="53">
        <f>N107+N112</f>
        <v>9048</v>
      </c>
      <c r="O106" s="53">
        <f>O107+O112</f>
        <v>9048</v>
      </c>
      <c r="P106" s="419">
        <f>P107+P112</f>
        <v>9048</v>
      </c>
    </row>
    <row r="107" spans="2:24" ht="53.5" hidden="1" customHeight="1" x14ac:dyDescent="0.25"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31"/>
      <c r="O107" s="131"/>
      <c r="P107" s="51"/>
    </row>
    <row r="108" spans="2:24" ht="52.5" hidden="1" thickBot="1" x14ac:dyDescent="0.35">
      <c r="B108" s="211" t="s">
        <v>283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101"/>
      <c r="K108" s="101"/>
      <c r="L108" s="101"/>
      <c r="M108" s="101"/>
      <c r="N108" s="101"/>
      <c r="O108" s="101"/>
      <c r="P108" s="125"/>
    </row>
    <row r="109" spans="2:24" ht="81.650000000000006" hidden="1" customHeight="1" x14ac:dyDescent="0.3">
      <c r="B109" s="210" t="s">
        <v>281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101"/>
      <c r="K109" s="101"/>
      <c r="L109" s="101"/>
      <c r="M109" s="101"/>
      <c r="N109" s="101"/>
      <c r="O109" s="101"/>
      <c r="P109" s="125"/>
    </row>
    <row r="110" spans="2:24" ht="81" hidden="1" customHeight="1" x14ac:dyDescent="0.3">
      <c r="B110" s="211" t="s">
        <v>279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78"/>
      <c r="K110" s="78"/>
      <c r="L110" s="78"/>
      <c r="M110" s="78"/>
      <c r="N110" s="78"/>
      <c r="O110" s="78"/>
      <c r="P110" s="97"/>
    </row>
    <row r="111" spans="2:24" ht="52.5" hidden="1" thickBot="1" x14ac:dyDescent="0.35">
      <c r="B111" s="210" t="s">
        <v>277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78"/>
      <c r="K111" s="78"/>
      <c r="L111" s="78"/>
      <c r="M111" s="78"/>
      <c r="N111" s="78"/>
      <c r="O111" s="78"/>
      <c r="P111" s="97"/>
    </row>
    <row r="112" spans="2:24" ht="39.65" hidden="1" customHeight="1" x14ac:dyDescent="0.25"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>L113+L115</f>
        <v>10000</v>
      </c>
      <c r="M112" s="47">
        <f>M113+M115</f>
        <v>10000</v>
      </c>
      <c r="N112" s="47">
        <f>N113+N115</f>
        <v>9048</v>
      </c>
      <c r="O112" s="47">
        <f>O113+O115</f>
        <v>9048</v>
      </c>
      <c r="P112" s="47">
        <f>P113+P115</f>
        <v>9048</v>
      </c>
    </row>
    <row r="113" spans="2:16" ht="26.5" hidden="1" thickBot="1" x14ac:dyDescent="0.3"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>L114</f>
        <v>0</v>
      </c>
      <c r="M113" s="47">
        <f>M114</f>
        <v>0</v>
      </c>
      <c r="N113" s="47">
        <f>N114</f>
        <v>420</v>
      </c>
      <c r="O113" s="47">
        <f>O114</f>
        <v>420</v>
      </c>
      <c r="P113" s="47">
        <f>P114</f>
        <v>420</v>
      </c>
    </row>
    <row r="114" spans="2:16" ht="13.5" hidden="1" thickBot="1" x14ac:dyDescent="0.35">
      <c r="B114" s="195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57">
        <v>420</v>
      </c>
      <c r="O114" s="57">
        <v>420</v>
      </c>
      <c r="P114" s="57">
        <v>420</v>
      </c>
    </row>
    <row r="115" spans="2:16" ht="18.75" hidden="1" customHeight="1" x14ac:dyDescent="0.25"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>L116</f>
        <v>10000</v>
      </c>
      <c r="M115" s="57">
        <f>M116</f>
        <v>10000</v>
      </c>
      <c r="N115" s="57">
        <f>N116</f>
        <v>8628</v>
      </c>
      <c r="O115" s="57">
        <f>O116</f>
        <v>8628</v>
      </c>
      <c r="P115" s="57">
        <f>P116</f>
        <v>8628</v>
      </c>
    </row>
    <row r="116" spans="2:16" ht="25.9" hidden="1" customHeight="1" x14ac:dyDescent="0.3">
      <c r="B116" s="208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71">
        <v>8628</v>
      </c>
      <c r="K116" s="207"/>
      <c r="L116" s="54">
        <v>10000</v>
      </c>
      <c r="M116" s="206">
        <v>10000</v>
      </c>
      <c r="N116" s="71">
        <v>8628</v>
      </c>
      <c r="O116" s="71">
        <v>8628</v>
      </c>
      <c r="P116" s="423">
        <v>8628</v>
      </c>
    </row>
    <row r="117" spans="2:16" ht="13.5" hidden="1" thickBot="1" x14ac:dyDescent="0.3"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87">
        <f>J118+J125</f>
        <v>1214.55</v>
      </c>
      <c r="K117" s="78"/>
      <c r="L117" s="138">
        <f>L118+L125</f>
        <v>4085</v>
      </c>
      <c r="M117" s="78">
        <f>M118+M125</f>
        <v>85</v>
      </c>
      <c r="N117" s="87">
        <f>N118+N125</f>
        <v>1214.55</v>
      </c>
      <c r="O117" s="87">
        <f>O118+O125</f>
        <v>1214.55</v>
      </c>
      <c r="P117" s="97">
        <f>P118+P125</f>
        <v>1214.55</v>
      </c>
    </row>
    <row r="118" spans="2:16" ht="58.15" hidden="1" customHeight="1" x14ac:dyDescent="0.25"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P119" si="8">L119</f>
        <v>4000</v>
      </c>
      <c r="M118" s="205">
        <f t="shared" si="8"/>
        <v>0</v>
      </c>
      <c r="N118" s="205">
        <f t="shared" si="8"/>
        <v>1129.55</v>
      </c>
      <c r="O118" s="205">
        <f t="shared" si="8"/>
        <v>1129.55</v>
      </c>
      <c r="P118" s="205">
        <f t="shared" si="8"/>
        <v>1129.55</v>
      </c>
    </row>
    <row r="119" spans="2:16" ht="65.5" hidden="1" thickBot="1" x14ac:dyDescent="0.3">
      <c r="B119" s="58" t="s">
        <v>369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138">
        <f>J120</f>
        <v>1129.55</v>
      </c>
      <c r="K119" s="138"/>
      <c r="L119" s="138">
        <f t="shared" si="8"/>
        <v>4000</v>
      </c>
      <c r="M119" s="78">
        <f t="shared" si="8"/>
        <v>0</v>
      </c>
      <c r="N119" s="138">
        <f t="shared" si="8"/>
        <v>1129.55</v>
      </c>
      <c r="O119" s="138">
        <f t="shared" si="8"/>
        <v>1129.55</v>
      </c>
      <c r="P119" s="97">
        <f t="shared" si="8"/>
        <v>1129.55</v>
      </c>
    </row>
    <row r="120" spans="2:16" ht="26.5" hidden="1" thickBot="1" x14ac:dyDescent="0.3"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137">
        <v>1129.55</v>
      </c>
      <c r="K120" s="138"/>
      <c r="L120" s="137">
        <v>4000</v>
      </c>
      <c r="M120" s="78"/>
      <c r="N120" s="137">
        <v>1129.55</v>
      </c>
      <c r="O120" s="137">
        <v>1129.55</v>
      </c>
      <c r="P120" s="419">
        <v>1129.55</v>
      </c>
    </row>
    <row r="121" spans="2:16" ht="52.5" hidden="1" thickBot="1" x14ac:dyDescent="0.3"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78"/>
      <c r="K121" s="78"/>
      <c r="L121" s="78"/>
      <c r="M121" s="78"/>
      <c r="N121" s="78"/>
      <c r="O121" s="78"/>
      <c r="P121" s="97"/>
    </row>
    <row r="122" spans="2:16" ht="42.75" hidden="1" customHeight="1" x14ac:dyDescent="0.25"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31"/>
      <c r="O122" s="131"/>
      <c r="P122" s="51"/>
    </row>
    <row r="123" spans="2:16" ht="72.75" hidden="1" customHeight="1" x14ac:dyDescent="0.25"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78"/>
      <c r="K123" s="78"/>
      <c r="L123" s="78"/>
      <c r="M123" s="78"/>
      <c r="N123" s="78"/>
      <c r="O123" s="78"/>
      <c r="P123" s="97"/>
    </row>
    <row r="124" spans="2:16" ht="57" hidden="1" customHeight="1" x14ac:dyDescent="0.25"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78"/>
      <c r="K124" s="78"/>
      <c r="L124" s="78"/>
      <c r="M124" s="78"/>
      <c r="N124" s="78"/>
      <c r="O124" s="78"/>
      <c r="P124" s="97"/>
    </row>
    <row r="125" spans="2:16" ht="39.65" hidden="1" customHeight="1" x14ac:dyDescent="0.25"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>L126</f>
        <v>85</v>
      </c>
      <c r="M125" s="51">
        <f>M126</f>
        <v>85</v>
      </c>
      <c r="N125" s="51">
        <f>N126</f>
        <v>85</v>
      </c>
      <c r="O125" s="51">
        <f>O126</f>
        <v>85</v>
      </c>
      <c r="P125" s="51">
        <f>P126</f>
        <v>85</v>
      </c>
    </row>
    <row r="126" spans="2:16" ht="43.5" hidden="1" customHeight="1" x14ac:dyDescent="0.25"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>L129</f>
        <v>85</v>
      </c>
      <c r="M126" s="47">
        <f>M129</f>
        <v>85</v>
      </c>
      <c r="N126" s="47">
        <f>N129</f>
        <v>85</v>
      </c>
      <c r="O126" s="47">
        <f>O129</f>
        <v>85</v>
      </c>
      <c r="P126" s="47">
        <f>P129</f>
        <v>85</v>
      </c>
    </row>
    <row r="127" spans="2:16" ht="60.75" hidden="1" customHeight="1" x14ac:dyDescent="0.25"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3379" t="s">
        <v>20</v>
      </c>
      <c r="H127" s="3380"/>
      <c r="I127" s="3380"/>
      <c r="J127" s="3381"/>
      <c r="K127" s="41"/>
      <c r="L127" s="1"/>
      <c r="M127" s="1"/>
      <c r="N127" s="1"/>
      <c r="O127" s="1"/>
      <c r="P127" s="237"/>
    </row>
    <row r="128" spans="2:16" ht="48" hidden="1" customHeight="1" x14ac:dyDescent="0.25"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3373" t="s">
        <v>17</v>
      </c>
      <c r="H128" s="3374"/>
      <c r="I128" s="3374"/>
      <c r="J128" s="3375"/>
      <c r="K128" s="41"/>
      <c r="L128" s="1"/>
      <c r="M128" s="1"/>
      <c r="N128" s="1"/>
      <c r="O128" s="1"/>
      <c r="P128" s="237"/>
    </row>
    <row r="129" spans="2:16" ht="16.899999999999999" hidden="1" customHeight="1" x14ac:dyDescent="0.3">
      <c r="B129" s="195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28">
        <v>85</v>
      </c>
      <c r="O129" s="28">
        <v>85</v>
      </c>
      <c r="P129" s="28">
        <v>85</v>
      </c>
    </row>
    <row r="130" spans="2:16" ht="20.25" hidden="1" customHeight="1" x14ac:dyDescent="0.25"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136">
        <f>J131+J134</f>
        <v>11758.768999999998</v>
      </c>
      <c r="K130" s="78"/>
      <c r="L130" s="136">
        <f>L131+L134</f>
        <v>13625.55</v>
      </c>
      <c r="M130" s="136">
        <f>M131+M134</f>
        <v>15979.505000000001</v>
      </c>
      <c r="N130" s="136">
        <f>N131+N134</f>
        <v>11758.768999999998</v>
      </c>
      <c r="O130" s="136">
        <f>O131+O134</f>
        <v>11758.768999999998</v>
      </c>
      <c r="P130" s="424">
        <f>P131+P134</f>
        <v>11758.768999999998</v>
      </c>
    </row>
    <row r="131" spans="2:16" ht="55.15" hidden="1" customHeight="1" x14ac:dyDescent="0.25"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P132" si="9">L132</f>
        <v>6008.35</v>
      </c>
      <c r="M131" s="51">
        <f t="shared" si="9"/>
        <v>8515.7049999999999</v>
      </c>
      <c r="N131" s="51">
        <f t="shared" si="9"/>
        <v>2275.0059999999999</v>
      </c>
      <c r="O131" s="51">
        <f t="shared" si="9"/>
        <v>2275.0059999999999</v>
      </c>
      <c r="P131" s="51">
        <f t="shared" si="9"/>
        <v>2275.0059999999999</v>
      </c>
    </row>
    <row r="132" spans="2:16" ht="70.150000000000006" hidden="1" customHeight="1" x14ac:dyDescent="0.25">
      <c r="B132" s="58" t="s">
        <v>362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87">
        <f>J133</f>
        <v>2275.0059999999999</v>
      </c>
      <c r="K132" s="78"/>
      <c r="L132" s="87">
        <f t="shared" si="9"/>
        <v>6008.35</v>
      </c>
      <c r="M132" s="87">
        <f t="shared" si="9"/>
        <v>8515.7049999999999</v>
      </c>
      <c r="N132" s="87">
        <f t="shared" si="9"/>
        <v>2275.0059999999999</v>
      </c>
      <c r="O132" s="87">
        <f t="shared" si="9"/>
        <v>2275.0059999999999</v>
      </c>
      <c r="P132" s="97">
        <f t="shared" si="9"/>
        <v>2275.0059999999999</v>
      </c>
    </row>
    <row r="133" spans="2:16" ht="12.65" hidden="1" customHeight="1" x14ac:dyDescent="0.3">
      <c r="B133" s="195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87">
        <v>2275.0059999999999</v>
      </c>
      <c r="K133" s="78"/>
      <c r="L133" s="87">
        <v>6008.35</v>
      </c>
      <c r="M133" s="87">
        <v>8515.7049999999999</v>
      </c>
      <c r="N133" s="87">
        <v>2275.0059999999999</v>
      </c>
      <c r="O133" s="87">
        <v>2275.0059999999999</v>
      </c>
      <c r="P133" s="97">
        <v>2275.0059999999999</v>
      </c>
    </row>
    <row r="134" spans="2:16" ht="56.5" hidden="1" customHeight="1" x14ac:dyDescent="0.25"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>L135+L137</f>
        <v>7617.2</v>
      </c>
      <c r="M134" s="136">
        <f>M135+M137</f>
        <v>7463.8</v>
      </c>
      <c r="N134" s="51">
        <f>N135+N137</f>
        <v>9483.762999999999</v>
      </c>
      <c r="O134" s="51">
        <f>O135+O137</f>
        <v>9483.762999999999</v>
      </c>
      <c r="P134" s="51">
        <f>P135+P137</f>
        <v>9483.762999999999</v>
      </c>
    </row>
    <row r="135" spans="2:16" ht="65.5" hidden="1" thickBot="1" x14ac:dyDescent="0.3">
      <c r="B135" s="49" t="s">
        <v>358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87">
        <f>J136</f>
        <v>5353.7750000000005</v>
      </c>
      <c r="K135" s="78"/>
      <c r="L135" s="78">
        <f>L136</f>
        <v>5406.2</v>
      </c>
      <c r="M135" s="78">
        <f>M136</f>
        <v>5230.3</v>
      </c>
      <c r="N135" s="87">
        <f>N136</f>
        <v>5353.7750000000005</v>
      </c>
      <c r="O135" s="87">
        <f>O136</f>
        <v>5353.7750000000005</v>
      </c>
      <c r="P135" s="97">
        <f>P136</f>
        <v>5353.7750000000005</v>
      </c>
    </row>
    <row r="136" spans="2:16" ht="13.5" hidden="1" thickBot="1" x14ac:dyDescent="0.35">
      <c r="B136" s="195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53">
        <f>5356.1-4835.3+2500.3+2332.675</f>
        <v>5353.7750000000005</v>
      </c>
      <c r="K136" s="78"/>
      <c r="L136" s="53">
        <v>5406.2</v>
      </c>
      <c r="M136" s="53">
        <v>5230.3</v>
      </c>
      <c r="N136" s="53">
        <f>5356.1-4835.3+2500.3+2332.675</f>
        <v>5353.7750000000005</v>
      </c>
      <c r="O136" s="53">
        <f>5356.1-4835.3+2500.3+2332.675</f>
        <v>5353.7750000000005</v>
      </c>
      <c r="P136" s="419">
        <f>5356.1-4835.3+2500.3+2332.675</f>
        <v>5353.7750000000005</v>
      </c>
    </row>
    <row r="137" spans="2:16" ht="79.150000000000006" hidden="1" customHeight="1" x14ac:dyDescent="0.25">
      <c r="B137" s="49" t="s">
        <v>356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87">
        <f>J138</f>
        <v>4129.9879999999994</v>
      </c>
      <c r="K137" s="87"/>
      <c r="L137" s="87">
        <f>L138</f>
        <v>2211</v>
      </c>
      <c r="M137" s="87">
        <f>M138</f>
        <v>2233.5</v>
      </c>
      <c r="N137" s="87">
        <f>N138</f>
        <v>4129.9879999999994</v>
      </c>
      <c r="O137" s="87">
        <f>O138</f>
        <v>4129.9879999999994</v>
      </c>
      <c r="P137" s="97">
        <f>P138</f>
        <v>4129.9879999999994</v>
      </c>
    </row>
    <row r="138" spans="2:16" ht="18.649999999999999" hidden="1" customHeight="1" x14ac:dyDescent="0.3">
      <c r="B138" s="195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87">
        <f>2142.2+1447.788+540</f>
        <v>4129.9879999999994</v>
      </c>
      <c r="K138" s="87"/>
      <c r="L138" s="87">
        <v>2211</v>
      </c>
      <c r="M138" s="87">
        <v>2233.5</v>
      </c>
      <c r="N138" s="87">
        <f>2142.2+1447.788+540</f>
        <v>4129.9879999999994</v>
      </c>
      <c r="O138" s="87">
        <f>2142.2+1447.788+540</f>
        <v>4129.9879999999994</v>
      </c>
      <c r="P138" s="97">
        <f>2142.2+1447.788+540</f>
        <v>4129.9879999999994</v>
      </c>
    </row>
    <row r="139" spans="2:16" ht="19.5" hidden="1" customHeight="1" x14ac:dyDescent="0.25"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78">
        <f>J140</f>
        <v>0</v>
      </c>
      <c r="K139" s="78"/>
      <c r="L139" s="78">
        <f t="shared" ref="L139:P142" si="10">L140</f>
        <v>0</v>
      </c>
      <c r="M139" s="78">
        <f t="shared" si="10"/>
        <v>0</v>
      </c>
      <c r="N139" s="78">
        <f t="shared" si="10"/>
        <v>0</v>
      </c>
      <c r="O139" s="78">
        <f t="shared" si="10"/>
        <v>0</v>
      </c>
      <c r="P139" s="97">
        <f t="shared" si="10"/>
        <v>0</v>
      </c>
    </row>
    <row r="140" spans="2:16" ht="39.5" hidden="1" thickBot="1" x14ac:dyDescent="0.3"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78">
        <f>J141</f>
        <v>0</v>
      </c>
      <c r="K140" s="78"/>
      <c r="L140" s="78">
        <f t="shared" si="10"/>
        <v>0</v>
      </c>
      <c r="M140" s="78">
        <f t="shared" si="10"/>
        <v>0</v>
      </c>
      <c r="N140" s="78">
        <f t="shared" si="10"/>
        <v>0</v>
      </c>
      <c r="O140" s="78">
        <f t="shared" si="10"/>
        <v>0</v>
      </c>
      <c r="P140" s="97">
        <f t="shared" si="10"/>
        <v>0</v>
      </c>
    </row>
    <row r="141" spans="2:16" ht="30.75" hidden="1" customHeight="1" x14ac:dyDescent="0.25"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204">
        <f>J142</f>
        <v>0</v>
      </c>
      <c r="K141" s="204"/>
      <c r="L141" s="204">
        <f t="shared" si="10"/>
        <v>0</v>
      </c>
      <c r="M141" s="204">
        <f t="shared" si="10"/>
        <v>0</v>
      </c>
      <c r="N141" s="204">
        <f t="shared" si="10"/>
        <v>0</v>
      </c>
      <c r="O141" s="204">
        <f t="shared" si="10"/>
        <v>0</v>
      </c>
      <c r="P141" s="425">
        <f t="shared" si="10"/>
        <v>0</v>
      </c>
    </row>
    <row r="142" spans="2:16" ht="26.5" hidden="1" thickBot="1" x14ac:dyDescent="0.3"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204">
        <f>J143</f>
        <v>0</v>
      </c>
      <c r="K142" s="204"/>
      <c r="L142" s="204">
        <f t="shared" si="10"/>
        <v>0</v>
      </c>
      <c r="M142" s="204">
        <f t="shared" si="10"/>
        <v>0</v>
      </c>
      <c r="N142" s="204">
        <f t="shared" si="10"/>
        <v>0</v>
      </c>
      <c r="O142" s="204">
        <f t="shared" si="10"/>
        <v>0</v>
      </c>
      <c r="P142" s="425">
        <f t="shared" si="10"/>
        <v>0</v>
      </c>
    </row>
    <row r="143" spans="2:16" ht="13.5" hidden="1" thickBot="1" x14ac:dyDescent="0.3"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204"/>
      <c r="K143" s="204"/>
      <c r="L143" s="204"/>
      <c r="M143" s="204"/>
      <c r="N143" s="204"/>
      <c r="O143" s="204"/>
      <c r="P143" s="425"/>
    </row>
    <row r="144" spans="2:16" ht="14.5" hidden="1" thickBot="1" x14ac:dyDescent="0.3"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198">
        <f>J145</f>
        <v>160</v>
      </c>
      <c r="K144" s="198"/>
      <c r="L144" s="198">
        <f t="shared" ref="L144:P146" si="11">L145</f>
        <v>172</v>
      </c>
      <c r="M144" s="198">
        <f t="shared" si="11"/>
        <v>184</v>
      </c>
      <c r="N144" s="198">
        <f t="shared" si="11"/>
        <v>160</v>
      </c>
      <c r="O144" s="198">
        <f t="shared" si="11"/>
        <v>160</v>
      </c>
      <c r="P144" s="418">
        <f t="shared" si="11"/>
        <v>160</v>
      </c>
    </row>
    <row r="145" spans="2:16" ht="13.5" hidden="1" thickBot="1" x14ac:dyDescent="0.3"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103">
        <f>J146</f>
        <v>160</v>
      </c>
      <c r="K145" s="103"/>
      <c r="L145" s="103">
        <f t="shared" si="11"/>
        <v>172</v>
      </c>
      <c r="M145" s="103">
        <f t="shared" si="11"/>
        <v>184</v>
      </c>
      <c r="N145" s="103">
        <f t="shared" si="11"/>
        <v>160</v>
      </c>
      <c r="O145" s="103">
        <f t="shared" si="11"/>
        <v>160</v>
      </c>
      <c r="P145" s="123">
        <f t="shared" si="11"/>
        <v>160</v>
      </c>
    </row>
    <row r="146" spans="2:16" ht="53.25" hidden="1" customHeight="1" x14ac:dyDescent="0.25"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11"/>
        <v>172</v>
      </c>
      <c r="M146" s="51">
        <f t="shared" si="11"/>
        <v>184</v>
      </c>
      <c r="N146" s="51">
        <f t="shared" si="11"/>
        <v>160</v>
      </c>
      <c r="O146" s="51">
        <f t="shared" si="11"/>
        <v>160</v>
      </c>
      <c r="P146" s="51">
        <f t="shared" si="11"/>
        <v>160</v>
      </c>
    </row>
    <row r="147" spans="2:16" ht="65.5" hidden="1" thickBot="1" x14ac:dyDescent="0.3">
      <c r="B147" s="157" t="s">
        <v>347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103">
        <f>J150</f>
        <v>160</v>
      </c>
      <c r="K147" s="103"/>
      <c r="L147" s="103">
        <f>L150</f>
        <v>172</v>
      </c>
      <c r="M147" s="103">
        <f>M150</f>
        <v>184</v>
      </c>
      <c r="N147" s="103">
        <f>N150</f>
        <v>160</v>
      </c>
      <c r="O147" s="103">
        <f>O150</f>
        <v>160</v>
      </c>
      <c r="P147" s="123">
        <f>P150</f>
        <v>160</v>
      </c>
    </row>
    <row r="148" spans="2:16" ht="75" hidden="1" customHeight="1" x14ac:dyDescent="0.25"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103"/>
      <c r="K148" s="103"/>
      <c r="L148" s="103"/>
      <c r="M148" s="103"/>
      <c r="N148" s="103"/>
      <c r="O148" s="103"/>
      <c r="P148" s="123"/>
    </row>
    <row r="149" spans="2:16" ht="16.149999999999999" hidden="1" customHeight="1" x14ac:dyDescent="0.3">
      <c r="B149" s="195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103"/>
      <c r="K149" s="103"/>
      <c r="L149" s="103"/>
      <c r="M149" s="103"/>
      <c r="N149" s="103"/>
      <c r="O149" s="103"/>
      <c r="P149" s="123"/>
    </row>
    <row r="150" spans="2:16" ht="77.25" hidden="1" customHeight="1" x14ac:dyDescent="0.25">
      <c r="B150" s="49" t="s">
        <v>345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103">
        <f>J151</f>
        <v>160</v>
      </c>
      <c r="K150" s="103"/>
      <c r="L150" s="103">
        <f>L151</f>
        <v>172</v>
      </c>
      <c r="M150" s="103">
        <f>M151</f>
        <v>184</v>
      </c>
      <c r="N150" s="103">
        <f>N151</f>
        <v>160</v>
      </c>
      <c r="O150" s="103">
        <f>O151</f>
        <v>160</v>
      </c>
      <c r="P150" s="123">
        <f>P151</f>
        <v>160</v>
      </c>
    </row>
    <row r="151" spans="2:16" ht="16.899999999999999" hidden="1" customHeight="1" x14ac:dyDescent="0.3">
      <c r="B151" s="195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103">
        <v>160</v>
      </c>
      <c r="K151" s="103"/>
      <c r="L151" s="103">
        <v>172</v>
      </c>
      <c r="M151" s="103">
        <v>184</v>
      </c>
      <c r="N151" s="103">
        <v>160</v>
      </c>
      <c r="O151" s="103">
        <v>160</v>
      </c>
      <c r="P151" s="123">
        <v>160</v>
      </c>
    </row>
    <row r="152" spans="2:16" ht="14.5" hidden="1" thickBot="1" x14ac:dyDescent="0.3"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198">
        <f>J153+J160</f>
        <v>7152.5</v>
      </c>
      <c r="K152" s="198"/>
      <c r="L152" s="198">
        <f>L153+L160</f>
        <v>7583.5</v>
      </c>
      <c r="M152" s="198">
        <f>M153+M160</f>
        <v>8198.5</v>
      </c>
      <c r="N152" s="198">
        <f>N153+N160</f>
        <v>7152.5</v>
      </c>
      <c r="O152" s="198">
        <f>O153+O160</f>
        <v>7152.5</v>
      </c>
      <c r="P152" s="418">
        <f>P153+P160</f>
        <v>7152.5</v>
      </c>
    </row>
    <row r="153" spans="2:16" ht="13.5" hidden="1" thickBot="1" x14ac:dyDescent="0.3"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101">
        <f>J154</f>
        <v>5947</v>
      </c>
      <c r="K153" s="101"/>
      <c r="L153" s="101">
        <f t="shared" ref="L153:P155" si="12">L154</f>
        <v>6305</v>
      </c>
      <c r="M153" s="101">
        <f t="shared" si="12"/>
        <v>6960</v>
      </c>
      <c r="N153" s="101">
        <f t="shared" si="12"/>
        <v>5947</v>
      </c>
      <c r="O153" s="101">
        <f t="shared" si="12"/>
        <v>5947</v>
      </c>
      <c r="P153" s="125">
        <f t="shared" si="12"/>
        <v>5947</v>
      </c>
    </row>
    <row r="154" spans="2:16" ht="55.5" hidden="1" customHeight="1" x14ac:dyDescent="0.25"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12"/>
        <v>6305</v>
      </c>
      <c r="M154" s="51">
        <f t="shared" si="12"/>
        <v>6960</v>
      </c>
      <c r="N154" s="51">
        <f t="shared" si="12"/>
        <v>5947</v>
      </c>
      <c r="O154" s="51">
        <f t="shared" si="12"/>
        <v>5947</v>
      </c>
      <c r="P154" s="51">
        <f t="shared" si="12"/>
        <v>5947</v>
      </c>
    </row>
    <row r="155" spans="2:16" ht="83.5" hidden="1" customHeight="1" x14ac:dyDescent="0.25">
      <c r="B155" s="157" t="s">
        <v>342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93">
        <f>J156</f>
        <v>5947</v>
      </c>
      <c r="K155" s="93"/>
      <c r="L155" s="93">
        <f t="shared" si="12"/>
        <v>6305</v>
      </c>
      <c r="M155" s="93">
        <f t="shared" si="12"/>
        <v>6960</v>
      </c>
      <c r="N155" s="93">
        <f t="shared" si="12"/>
        <v>5947</v>
      </c>
      <c r="O155" s="93">
        <f t="shared" si="12"/>
        <v>5947</v>
      </c>
      <c r="P155" s="123">
        <f t="shared" si="12"/>
        <v>5947</v>
      </c>
    </row>
    <row r="156" spans="2:16" ht="65.5" hidden="1" thickBot="1" x14ac:dyDescent="0.3">
      <c r="B156" s="49" t="s">
        <v>340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93">
        <f>J157+J158+J159</f>
        <v>5947</v>
      </c>
      <c r="K156" s="93"/>
      <c r="L156" s="93">
        <f>L157+L158+L159</f>
        <v>6305</v>
      </c>
      <c r="M156" s="93">
        <f>M157+M158+M159</f>
        <v>6960</v>
      </c>
      <c r="N156" s="93">
        <f>N157+N158+N159</f>
        <v>5947</v>
      </c>
      <c r="O156" s="93">
        <f>O157+O158+O159</f>
        <v>5947</v>
      </c>
      <c r="P156" s="123">
        <f>P157+P158+P159</f>
        <v>5947</v>
      </c>
    </row>
    <row r="157" spans="2:16" ht="13.5" hidden="1" thickBot="1" x14ac:dyDescent="0.35">
      <c r="B157" s="195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166">
        <v>4171.2870000000003</v>
      </c>
      <c r="K157" s="166"/>
      <c r="L157" s="93">
        <v>5305.1139999999996</v>
      </c>
      <c r="M157" s="93">
        <v>6631.482</v>
      </c>
      <c r="N157" s="166">
        <v>4171.2870000000003</v>
      </c>
      <c r="O157" s="166">
        <v>4171.2870000000003</v>
      </c>
      <c r="P157" s="123">
        <v>4171.2870000000003</v>
      </c>
    </row>
    <row r="158" spans="2:16" ht="13.5" hidden="1" thickBot="1" x14ac:dyDescent="0.35">
      <c r="B158" s="195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93">
        <f>1775.713-0.713</f>
        <v>1775</v>
      </c>
      <c r="K158" s="93"/>
      <c r="L158" s="93">
        <f>999.886-0.886</f>
        <v>999</v>
      </c>
      <c r="M158" s="93">
        <v>328</v>
      </c>
      <c r="N158" s="93">
        <f>1775.713-0.713</f>
        <v>1775</v>
      </c>
      <c r="O158" s="93">
        <f>1775.713-0.713</f>
        <v>1775</v>
      </c>
      <c r="P158" s="123">
        <f>1775.713-0.713</f>
        <v>1775</v>
      </c>
    </row>
    <row r="159" spans="2:16" ht="13.5" hidden="1" thickBot="1" x14ac:dyDescent="0.35">
      <c r="B159" s="195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103">
        <v>0.71299999999999997</v>
      </c>
      <c r="K159" s="103"/>
      <c r="L159" s="103">
        <v>0.88600000000000001</v>
      </c>
      <c r="M159" s="103">
        <v>0.51800000000000002</v>
      </c>
      <c r="N159" s="103">
        <v>0.71299999999999997</v>
      </c>
      <c r="O159" s="103">
        <v>0.71299999999999997</v>
      </c>
      <c r="P159" s="123">
        <v>0.71299999999999997</v>
      </c>
    </row>
    <row r="160" spans="2:16" ht="30.75" hidden="1" customHeight="1" x14ac:dyDescent="0.25"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101">
        <f>J161</f>
        <v>1205.5</v>
      </c>
      <c r="K160" s="101"/>
      <c r="L160" s="101">
        <f t="shared" ref="L160:P163" si="13">L161</f>
        <v>1278.5</v>
      </c>
      <c r="M160" s="101">
        <f t="shared" si="13"/>
        <v>1238.5</v>
      </c>
      <c r="N160" s="101">
        <f t="shared" si="13"/>
        <v>1205.5</v>
      </c>
      <c r="O160" s="101">
        <f t="shared" si="13"/>
        <v>1205.5</v>
      </c>
      <c r="P160" s="125">
        <f t="shared" si="13"/>
        <v>1205.5</v>
      </c>
    </row>
    <row r="161" spans="2:24" ht="39.65" hidden="1" customHeight="1" x14ac:dyDescent="0.25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13"/>
        <v>1278.5</v>
      </c>
      <c r="M161" s="51">
        <f t="shared" si="13"/>
        <v>1238.5</v>
      </c>
      <c r="N161" s="51">
        <f t="shared" si="13"/>
        <v>1205.5</v>
      </c>
      <c r="O161" s="51">
        <f t="shared" si="13"/>
        <v>1205.5</v>
      </c>
      <c r="P161" s="51">
        <f t="shared" si="13"/>
        <v>1205.5</v>
      </c>
    </row>
    <row r="162" spans="2:24" ht="85.9" hidden="1" customHeight="1" x14ac:dyDescent="0.25">
      <c r="B162" s="157" t="s">
        <v>338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93">
        <f>J163</f>
        <v>1205.5</v>
      </c>
      <c r="K162" s="93"/>
      <c r="L162" s="93">
        <f t="shared" si="13"/>
        <v>1278.5</v>
      </c>
      <c r="M162" s="93">
        <f t="shared" si="13"/>
        <v>1238.5</v>
      </c>
      <c r="N162" s="93">
        <f t="shared" si="13"/>
        <v>1205.5</v>
      </c>
      <c r="O162" s="93">
        <f t="shared" si="13"/>
        <v>1205.5</v>
      </c>
      <c r="P162" s="123">
        <f t="shared" si="13"/>
        <v>1205.5</v>
      </c>
    </row>
    <row r="163" spans="2:24" ht="65.5" hidden="1" thickBot="1" x14ac:dyDescent="0.3">
      <c r="B163" s="49" t="s">
        <v>336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93">
        <f>J164</f>
        <v>1205.5</v>
      </c>
      <c r="K163" s="93"/>
      <c r="L163" s="93">
        <f t="shared" si="13"/>
        <v>1278.5</v>
      </c>
      <c r="M163" s="93">
        <f t="shared" si="13"/>
        <v>1238.5</v>
      </c>
      <c r="N163" s="93">
        <f t="shared" si="13"/>
        <v>1205.5</v>
      </c>
      <c r="O163" s="93">
        <f t="shared" si="13"/>
        <v>1205.5</v>
      </c>
      <c r="P163" s="123">
        <f t="shared" si="13"/>
        <v>1205.5</v>
      </c>
    </row>
    <row r="164" spans="2:24" ht="13.5" hidden="1" thickBot="1" x14ac:dyDescent="0.35">
      <c r="B164" s="195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93">
        <v>1205.5</v>
      </c>
      <c r="K164" s="93"/>
      <c r="L164" s="93">
        <v>1278.5</v>
      </c>
      <c r="M164" s="93">
        <v>1238.5</v>
      </c>
      <c r="N164" s="93">
        <v>1205.5</v>
      </c>
      <c r="O164" s="93">
        <v>1205.5</v>
      </c>
      <c r="P164" s="123">
        <v>1205.5</v>
      </c>
    </row>
    <row r="165" spans="2:24" s="162" customFormat="1" ht="52.5" hidden="1" thickBot="1" x14ac:dyDescent="0.35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103"/>
      <c r="K165" s="103"/>
      <c r="L165" s="103"/>
      <c r="M165" s="103"/>
      <c r="N165" s="103"/>
      <c r="O165" s="103"/>
      <c r="P165" s="123"/>
      <c r="Q165" s="163"/>
      <c r="R165" s="163"/>
      <c r="S165" s="163"/>
      <c r="T165" s="163"/>
      <c r="U165" s="163"/>
      <c r="V165" s="163"/>
      <c r="W165" s="163"/>
      <c r="X165" s="163"/>
    </row>
    <row r="166" spans="2:24" ht="14.5" hidden="1" thickBot="1" x14ac:dyDescent="0.3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197">
        <f>J167+J170</f>
        <v>412.5</v>
      </c>
      <c r="K166" s="197"/>
      <c r="L166" s="197">
        <f>L167+L170</f>
        <v>412.5</v>
      </c>
      <c r="M166" s="197">
        <f>M167+M170</f>
        <v>412.5</v>
      </c>
      <c r="N166" s="197">
        <f>N167+N170</f>
        <v>412.5</v>
      </c>
      <c r="O166" s="197">
        <f>O167+O170</f>
        <v>412.5</v>
      </c>
      <c r="P166" s="420">
        <f>P167+P170</f>
        <v>412.5</v>
      </c>
    </row>
    <row r="167" spans="2:24" ht="13.5" hidden="1" thickBot="1" x14ac:dyDescent="0.3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78">
        <f>J168</f>
        <v>240.5</v>
      </c>
      <c r="K167" s="78"/>
      <c r="L167" s="78">
        <f t="shared" ref="L167:P168" si="14">L168</f>
        <v>240.5</v>
      </c>
      <c r="M167" s="78">
        <f t="shared" si="14"/>
        <v>240.5</v>
      </c>
      <c r="N167" s="78">
        <f t="shared" si="14"/>
        <v>240.5</v>
      </c>
      <c r="O167" s="78">
        <f t="shared" si="14"/>
        <v>240.5</v>
      </c>
      <c r="P167" s="97">
        <f t="shared" si="14"/>
        <v>240.5</v>
      </c>
    </row>
    <row r="168" spans="2:24" ht="21" hidden="1" customHeight="1" x14ac:dyDescent="0.25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7">
        <f>J169</f>
        <v>240.5</v>
      </c>
      <c r="K168" s="7"/>
      <c r="L168" s="7">
        <f t="shared" si="14"/>
        <v>240.5</v>
      </c>
      <c r="M168" s="7">
        <f t="shared" si="14"/>
        <v>240.5</v>
      </c>
      <c r="N168" s="7">
        <f t="shared" si="14"/>
        <v>240.5</v>
      </c>
      <c r="O168" s="7">
        <f t="shared" si="14"/>
        <v>240.5</v>
      </c>
      <c r="P168" s="419">
        <f t="shared" si="14"/>
        <v>240.5</v>
      </c>
    </row>
    <row r="169" spans="2:24" ht="21" hidden="1" customHeight="1" x14ac:dyDescent="0.3">
      <c r="B169" s="195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7">
        <v>240.5</v>
      </c>
      <c r="K169" s="7"/>
      <c r="L169" s="7">
        <v>240.5</v>
      </c>
      <c r="M169" s="7">
        <v>240.5</v>
      </c>
      <c r="N169" s="7">
        <v>240.5</v>
      </c>
      <c r="O169" s="7">
        <v>240.5</v>
      </c>
      <c r="P169" s="419">
        <v>240.5</v>
      </c>
    </row>
    <row r="170" spans="2:24" ht="13.5" hidden="1" thickBot="1" x14ac:dyDescent="0.3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78">
        <f>J171</f>
        <v>172</v>
      </c>
      <c r="K170" s="78"/>
      <c r="L170" s="78">
        <f t="shared" ref="L170:P171" si="15">L171</f>
        <v>172</v>
      </c>
      <c r="M170" s="78">
        <f t="shared" si="15"/>
        <v>172</v>
      </c>
      <c r="N170" s="78">
        <f t="shared" si="15"/>
        <v>172</v>
      </c>
      <c r="O170" s="78">
        <f t="shared" si="15"/>
        <v>172</v>
      </c>
      <c r="P170" s="97">
        <f t="shared" si="15"/>
        <v>172</v>
      </c>
    </row>
    <row r="171" spans="2:24" ht="21" hidden="1" customHeight="1" x14ac:dyDescent="0.25"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7">
        <f>J172</f>
        <v>172</v>
      </c>
      <c r="K171" s="7"/>
      <c r="L171" s="7">
        <f t="shared" si="15"/>
        <v>172</v>
      </c>
      <c r="M171" s="7">
        <f t="shared" si="15"/>
        <v>172</v>
      </c>
      <c r="N171" s="7">
        <f t="shared" si="15"/>
        <v>172</v>
      </c>
      <c r="O171" s="7">
        <f t="shared" si="15"/>
        <v>172</v>
      </c>
      <c r="P171" s="419">
        <f t="shared" si="15"/>
        <v>172</v>
      </c>
    </row>
    <row r="172" spans="2:24" ht="21" hidden="1" customHeight="1" x14ac:dyDescent="0.3">
      <c r="B172" s="195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7">
        <v>172</v>
      </c>
      <c r="K172" s="7"/>
      <c r="L172" s="7">
        <v>172</v>
      </c>
      <c r="M172" s="7">
        <v>172</v>
      </c>
      <c r="N172" s="7">
        <v>172</v>
      </c>
      <c r="O172" s="7">
        <v>172</v>
      </c>
      <c r="P172" s="419">
        <v>172</v>
      </c>
    </row>
    <row r="173" spans="2:24" ht="14.5" hidden="1" thickBot="1" x14ac:dyDescent="0.3"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192">
        <f>J175</f>
        <v>3930</v>
      </c>
      <c r="K173" s="192"/>
      <c r="L173" s="192">
        <f>L175</f>
        <v>3930</v>
      </c>
      <c r="M173" s="192">
        <f>M175</f>
        <v>1185</v>
      </c>
      <c r="N173" s="192">
        <f>N175</f>
        <v>3930</v>
      </c>
      <c r="O173" s="192">
        <f>O175</f>
        <v>3930</v>
      </c>
      <c r="P173" s="420">
        <f>P175</f>
        <v>3930</v>
      </c>
    </row>
    <row r="174" spans="2:24" ht="24" hidden="1" customHeight="1" x14ac:dyDescent="0.25"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53">
        <f>J175</f>
        <v>3930</v>
      </c>
      <c r="K174" s="53"/>
      <c r="L174" s="53">
        <f>L175</f>
        <v>3930</v>
      </c>
      <c r="M174" s="53">
        <f>M175</f>
        <v>1185</v>
      </c>
      <c r="N174" s="53">
        <f>N175</f>
        <v>3930</v>
      </c>
      <c r="O174" s="53">
        <f>O175</f>
        <v>3930</v>
      </c>
      <c r="P174" s="419">
        <f>P175</f>
        <v>3930</v>
      </c>
    </row>
    <row r="175" spans="2:24" ht="58.5" hidden="1" customHeight="1" x14ac:dyDescent="0.25"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174">
        <f>J178+J182</f>
        <v>3930</v>
      </c>
      <c r="K175" s="174"/>
      <c r="L175" s="174">
        <f>L178+L182</f>
        <v>3930</v>
      </c>
      <c r="M175" s="174">
        <f>M178+M182</f>
        <v>1185</v>
      </c>
      <c r="N175" s="174">
        <f>N178+N182</f>
        <v>3930</v>
      </c>
      <c r="O175" s="174">
        <f>O178+O182</f>
        <v>3930</v>
      </c>
      <c r="P175" s="426">
        <f>P178+P182</f>
        <v>3930</v>
      </c>
    </row>
    <row r="176" spans="2:24" ht="52.5" hidden="1" thickBot="1" x14ac:dyDescent="0.3">
      <c r="B176" s="157" t="s">
        <v>310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53"/>
      <c r="K176" s="53"/>
      <c r="L176" s="53"/>
      <c r="M176" s="53"/>
      <c r="N176" s="53"/>
      <c r="O176" s="53"/>
      <c r="P176" s="419"/>
    </row>
    <row r="177" spans="1:17" ht="52.5" hidden="1" thickBot="1" x14ac:dyDescent="0.3">
      <c r="B177" s="76" t="s">
        <v>308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53"/>
      <c r="K177" s="53"/>
      <c r="L177" s="53"/>
      <c r="M177" s="53"/>
      <c r="N177" s="53"/>
      <c r="O177" s="53"/>
      <c r="P177" s="419"/>
    </row>
    <row r="178" spans="1:17" ht="65.5" hidden="1" thickBot="1" x14ac:dyDescent="0.3">
      <c r="B178" s="157" t="s">
        <v>328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92">
        <f>J179</f>
        <v>3600</v>
      </c>
      <c r="K178" s="92"/>
      <c r="L178" s="92">
        <f t="shared" ref="L178:P179" si="16">L179</f>
        <v>3600</v>
      </c>
      <c r="M178" s="92">
        <f t="shared" si="16"/>
        <v>850</v>
      </c>
      <c r="N178" s="92">
        <f t="shared" si="16"/>
        <v>3600</v>
      </c>
      <c r="O178" s="92">
        <f t="shared" si="16"/>
        <v>3600</v>
      </c>
      <c r="P178" s="125">
        <f t="shared" si="16"/>
        <v>3600</v>
      </c>
    </row>
    <row r="179" spans="1:17" ht="80.5" hidden="1" customHeight="1" x14ac:dyDescent="0.25">
      <c r="B179" s="49" t="s">
        <v>327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53">
        <f>J180</f>
        <v>3600</v>
      </c>
      <c r="K179" s="53"/>
      <c r="L179" s="53">
        <f t="shared" si="16"/>
        <v>3600</v>
      </c>
      <c r="M179" s="53">
        <f t="shared" si="16"/>
        <v>850</v>
      </c>
      <c r="N179" s="53">
        <f t="shared" si="16"/>
        <v>3600</v>
      </c>
      <c r="O179" s="53">
        <f t="shared" si="16"/>
        <v>3600</v>
      </c>
      <c r="P179" s="419">
        <f t="shared" si="16"/>
        <v>3600</v>
      </c>
    </row>
    <row r="180" spans="1:17" ht="13.5" hidden="1" thickBot="1" x14ac:dyDescent="0.35">
      <c r="B180" s="16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53">
        <v>3600</v>
      </c>
      <c r="K180" s="53"/>
      <c r="L180" s="53">
        <v>3600</v>
      </c>
      <c r="M180" s="53">
        <v>850</v>
      </c>
      <c r="N180" s="53">
        <v>3600</v>
      </c>
      <c r="O180" s="53">
        <v>3600</v>
      </c>
      <c r="P180" s="419">
        <v>3600</v>
      </c>
    </row>
    <row r="181" spans="1:17" ht="52.5" hidden="1" thickBot="1" x14ac:dyDescent="0.3"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7"/>
      <c r="K181" s="7"/>
      <c r="L181" s="7"/>
      <c r="M181" s="7"/>
      <c r="N181" s="7"/>
      <c r="O181" s="7"/>
      <c r="P181" s="419"/>
    </row>
    <row r="182" spans="1:17" ht="52.5" hidden="1" thickBot="1" x14ac:dyDescent="0.3">
      <c r="B182" s="191" t="s">
        <v>326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78">
        <f>J183</f>
        <v>330</v>
      </c>
      <c r="K182" s="78"/>
      <c r="L182" s="78">
        <f>L183</f>
        <v>330</v>
      </c>
      <c r="M182" s="78">
        <f>M183</f>
        <v>335</v>
      </c>
      <c r="N182" s="78">
        <f>N183</f>
        <v>330</v>
      </c>
      <c r="O182" s="78">
        <f>O183</f>
        <v>330</v>
      </c>
      <c r="P182" s="97">
        <f>P183</f>
        <v>330</v>
      </c>
    </row>
    <row r="183" spans="1:17" ht="92.25" hidden="1" customHeight="1" x14ac:dyDescent="0.25">
      <c r="B183" s="76" t="s">
        <v>324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7">
        <f>J184</f>
        <v>330</v>
      </c>
      <c r="K183" s="7"/>
      <c r="L183" s="7">
        <f>L184</f>
        <v>330</v>
      </c>
      <c r="M183" s="7">
        <v>335</v>
      </c>
      <c r="N183" s="7">
        <f>N184</f>
        <v>330</v>
      </c>
      <c r="O183" s="7">
        <f>O184</f>
        <v>330</v>
      </c>
      <c r="P183" s="419">
        <f>P184</f>
        <v>330</v>
      </c>
    </row>
    <row r="184" spans="1:17" ht="13.9" hidden="1" customHeight="1" x14ac:dyDescent="0.3">
      <c r="B184" s="16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7">
        <v>330</v>
      </c>
      <c r="K184" s="7"/>
      <c r="L184" s="7">
        <v>330</v>
      </c>
      <c r="M184" s="7">
        <v>330</v>
      </c>
      <c r="N184" s="7">
        <v>330</v>
      </c>
      <c r="O184" s="7">
        <v>330</v>
      </c>
      <c r="P184" s="419">
        <v>330</v>
      </c>
    </row>
    <row r="185" spans="1:17" ht="13" hidden="1" thickBot="1" x14ac:dyDescent="0.3"/>
    <row r="186" spans="1:17" ht="13" hidden="1" thickBot="1" x14ac:dyDescent="0.3"/>
    <row r="187" spans="1:17" ht="13" hidden="1" thickBot="1" x14ac:dyDescent="0.3"/>
    <row r="188" spans="1:17" ht="45" x14ac:dyDescent="0.25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183" t="s">
        <v>319</v>
      </c>
      <c r="K188" s="185"/>
      <c r="L188" s="184" t="s">
        <v>318</v>
      </c>
      <c r="M188" s="184" t="s">
        <v>317</v>
      </c>
      <c r="N188" s="183" t="s">
        <v>316</v>
      </c>
      <c r="O188" s="183" t="s">
        <v>844</v>
      </c>
      <c r="P188" s="428" t="s">
        <v>899</v>
      </c>
    </row>
    <row r="189" spans="1:17" ht="15" x14ac:dyDescent="0.25">
      <c r="A189" s="32"/>
      <c r="B189" s="182" t="s">
        <v>314</v>
      </c>
      <c r="C189" s="179"/>
      <c r="D189" s="178"/>
      <c r="E189" s="178"/>
      <c r="F189" s="94"/>
      <c r="G189" s="94"/>
      <c r="H189" s="94"/>
      <c r="I189" s="94"/>
      <c r="J189" s="181">
        <f>J190+J317</f>
        <v>72325.900000000009</v>
      </c>
      <c r="K189" s="177"/>
      <c r="L189" s="176">
        <f>L190+L317</f>
        <v>70391</v>
      </c>
      <c r="M189" s="176">
        <f>M190+M317</f>
        <v>70022.100000000006</v>
      </c>
      <c r="N189" s="181">
        <f>N190+N317</f>
        <v>101533.09999999999</v>
      </c>
      <c r="O189" s="181">
        <f>O190+O317</f>
        <v>103129.439</v>
      </c>
      <c r="P189" s="180">
        <f>P190+P317</f>
        <v>105256.977</v>
      </c>
    </row>
    <row r="190" spans="1:17" ht="15" x14ac:dyDescent="0.25">
      <c r="A190" s="32"/>
      <c r="B190" s="129" t="s">
        <v>313</v>
      </c>
      <c r="C190" s="179"/>
      <c r="D190" s="178"/>
      <c r="E190" s="178"/>
      <c r="F190" s="94"/>
      <c r="G190" s="94"/>
      <c r="H190" s="94"/>
      <c r="I190" s="94"/>
      <c r="J190" s="176">
        <f>J191+J204+J215+J240+J260+J284+J290+J307</f>
        <v>25287.312000000002</v>
      </c>
      <c r="K190" s="177"/>
      <c r="L190" s="176">
        <f>L191+L204+L215+L240+L260+L284+L290+L307</f>
        <v>42242.735000000001</v>
      </c>
      <c r="M190" s="176">
        <f>M191+M204+M215+M240+M260+M284+M290+M307</f>
        <v>40917.551999999996</v>
      </c>
      <c r="N190" s="176">
        <f>N307+N299+N290+N284+N260+N240+N215+N204+N191</f>
        <v>69692.387999999992</v>
      </c>
      <c r="O190" s="176">
        <f>O307+O299+O290+O284+O260+O240+O215+O204+O191</f>
        <v>73405.188999999998</v>
      </c>
      <c r="P190" s="180">
        <f>P307+P299+P290+P284+P260+P240+P215+P204+P191</f>
        <v>74422.180999999997</v>
      </c>
    </row>
    <row r="191" spans="1:17" ht="58.5" customHeight="1" x14ac:dyDescent="0.25">
      <c r="A191" s="91">
        <v>1</v>
      </c>
      <c r="B191" s="126" t="s">
        <v>312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173">
        <f>J194+J199</f>
        <v>330</v>
      </c>
      <c r="K191" s="174"/>
      <c r="L191" s="174">
        <f>L194+L199</f>
        <v>3930</v>
      </c>
      <c r="M191" s="174">
        <f>M194+M199</f>
        <v>1185</v>
      </c>
      <c r="N191" s="173">
        <f>N194+N199</f>
        <v>400</v>
      </c>
      <c r="O191" s="173">
        <f>O194+O199</f>
        <v>550</v>
      </c>
      <c r="P191" s="711">
        <f>P194+P199</f>
        <v>600</v>
      </c>
      <c r="Q191" s="172"/>
    </row>
    <row r="192" spans="1:17" ht="52" hidden="1" x14ac:dyDescent="0.25">
      <c r="A192" s="32"/>
      <c r="B192" s="157" t="s">
        <v>310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53"/>
      <c r="K192" s="53"/>
      <c r="L192" s="53"/>
      <c r="M192" s="53"/>
      <c r="N192" s="53"/>
      <c r="O192" s="53"/>
      <c r="P192" s="429"/>
    </row>
    <row r="193" spans="1:24" ht="52" hidden="1" x14ac:dyDescent="0.25">
      <c r="A193" s="32"/>
      <c r="B193" s="49" t="s">
        <v>308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53"/>
      <c r="K193" s="53"/>
      <c r="L193" s="53"/>
      <c r="M193" s="53"/>
      <c r="N193" s="53"/>
      <c r="O193" s="53"/>
      <c r="P193" s="429"/>
    </row>
    <row r="194" spans="1:24" ht="52" hidden="1" x14ac:dyDescent="0.3">
      <c r="A194" s="32"/>
      <c r="B194" s="157" t="s">
        <v>306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92">
        <f>J195</f>
        <v>0</v>
      </c>
      <c r="K194" s="92"/>
      <c r="L194" s="92">
        <f t="shared" ref="L194:P195" si="17">L195</f>
        <v>3600</v>
      </c>
      <c r="M194" s="92">
        <f t="shared" si="17"/>
        <v>850</v>
      </c>
      <c r="N194" s="92">
        <f t="shared" si="17"/>
        <v>0</v>
      </c>
      <c r="O194" s="92">
        <f t="shared" si="17"/>
        <v>0</v>
      </c>
      <c r="P194" s="124">
        <f t="shared" si="17"/>
        <v>0</v>
      </c>
      <c r="Q194" s="171"/>
      <c r="R194" s="171"/>
      <c r="S194" s="171"/>
      <c r="T194" s="171"/>
    </row>
    <row r="195" spans="1:24" ht="52" hidden="1" x14ac:dyDescent="0.3">
      <c r="A195" s="32"/>
      <c r="B195" s="49" t="s">
        <v>304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53">
        <f>J196</f>
        <v>0</v>
      </c>
      <c r="K195" s="53"/>
      <c r="L195" s="53">
        <f t="shared" si="17"/>
        <v>3600</v>
      </c>
      <c r="M195" s="53">
        <f t="shared" si="17"/>
        <v>850</v>
      </c>
      <c r="N195" s="53">
        <f t="shared" si="17"/>
        <v>0</v>
      </c>
      <c r="O195" s="53">
        <f t="shared" si="17"/>
        <v>0</v>
      </c>
      <c r="P195" s="429">
        <f t="shared" si="17"/>
        <v>0</v>
      </c>
      <c r="Q195" s="171"/>
      <c r="R195" s="171"/>
      <c r="S195" s="171"/>
      <c r="T195" s="171"/>
    </row>
    <row r="196" spans="1:24" ht="26" hidden="1" x14ac:dyDescent="0.3">
      <c r="A196" s="32"/>
      <c r="B196" s="15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53">
        <f>J198</f>
        <v>0</v>
      </c>
      <c r="K196" s="53"/>
      <c r="L196" s="53">
        <v>3600</v>
      </c>
      <c r="M196" s="53">
        <v>850</v>
      </c>
      <c r="N196" s="53">
        <f>N198</f>
        <v>0</v>
      </c>
      <c r="O196" s="53">
        <f>O198</f>
        <v>0</v>
      </c>
      <c r="P196" s="429">
        <f>P198</f>
        <v>0</v>
      </c>
      <c r="Q196" s="171"/>
      <c r="R196" s="171"/>
      <c r="S196" s="171"/>
      <c r="T196" s="171"/>
    </row>
    <row r="197" spans="1:24" ht="52" hidden="1" x14ac:dyDescent="0.3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7"/>
      <c r="K197" s="7"/>
      <c r="L197" s="7"/>
      <c r="M197" s="7"/>
      <c r="N197" s="7"/>
      <c r="O197" s="7"/>
      <c r="P197" s="429"/>
      <c r="Q197" s="171"/>
      <c r="R197" s="171"/>
      <c r="S197" s="171"/>
      <c r="T197" s="171"/>
    </row>
    <row r="198" spans="1:24" ht="15" hidden="1" x14ac:dyDescent="0.3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/>
      <c r="I198" s="9" t="s">
        <v>62</v>
      </c>
      <c r="J198" s="53"/>
      <c r="K198" s="53"/>
      <c r="L198" s="53">
        <v>3600</v>
      </c>
      <c r="M198" s="53">
        <v>850</v>
      </c>
      <c r="N198" s="53"/>
      <c r="O198" s="53"/>
      <c r="P198" s="429"/>
      <c r="Q198" s="171"/>
      <c r="R198" s="171"/>
      <c r="S198" s="171"/>
      <c r="T198" s="171"/>
    </row>
    <row r="199" spans="1:24" ht="39" x14ac:dyDescent="0.3">
      <c r="A199" s="32"/>
      <c r="B199" s="157" t="s">
        <v>300</v>
      </c>
      <c r="C199" s="9"/>
      <c r="D199" s="9" t="s">
        <v>295</v>
      </c>
      <c r="E199" s="9" t="s">
        <v>62</v>
      </c>
      <c r="F199" s="34" t="s">
        <v>299</v>
      </c>
      <c r="G199" s="9"/>
      <c r="H199" s="9"/>
      <c r="I199" s="9"/>
      <c r="J199" s="78">
        <f>J200</f>
        <v>330</v>
      </c>
      <c r="K199" s="78"/>
      <c r="L199" s="78">
        <f>L200</f>
        <v>330</v>
      </c>
      <c r="M199" s="78">
        <f>M200</f>
        <v>335</v>
      </c>
      <c r="N199" s="78">
        <f>N200</f>
        <v>400</v>
      </c>
      <c r="O199" s="78">
        <f>O200</f>
        <v>550</v>
      </c>
      <c r="P199" s="96">
        <f>P200</f>
        <v>600</v>
      </c>
      <c r="Q199" s="171"/>
      <c r="R199" s="171"/>
      <c r="S199" s="171"/>
      <c r="T199" s="171"/>
    </row>
    <row r="200" spans="1:24" ht="39" x14ac:dyDescent="0.25">
      <c r="A200" s="32"/>
      <c r="B200" s="148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7">
        <f>J202</f>
        <v>330</v>
      </c>
      <c r="K200" s="7"/>
      <c r="L200" s="7">
        <f>L202</f>
        <v>330</v>
      </c>
      <c r="M200" s="7">
        <v>335</v>
      </c>
      <c r="N200" s="7">
        <f t="shared" ref="N200:P201" si="18">N202</f>
        <v>400</v>
      </c>
      <c r="O200" s="7">
        <f t="shared" si="18"/>
        <v>550</v>
      </c>
      <c r="P200" s="429">
        <f t="shared" si="18"/>
        <v>600</v>
      </c>
    </row>
    <row r="201" spans="1:24" ht="26" x14ac:dyDescent="0.25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7">
        <f>J203</f>
        <v>330</v>
      </c>
      <c r="K201" s="7"/>
      <c r="L201" s="7"/>
      <c r="M201" s="7"/>
      <c r="N201" s="7">
        <f t="shared" si="18"/>
        <v>400</v>
      </c>
      <c r="O201" s="7">
        <f t="shared" si="18"/>
        <v>550</v>
      </c>
      <c r="P201" s="429">
        <f t="shared" si="18"/>
        <v>600</v>
      </c>
    </row>
    <row r="202" spans="1:24" ht="25.15" customHeight="1" x14ac:dyDescent="0.25">
      <c r="A202" s="32"/>
      <c r="B202" s="15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7">
        <f>J203</f>
        <v>330</v>
      </c>
      <c r="K202" s="7"/>
      <c r="L202" s="7">
        <v>330</v>
      </c>
      <c r="M202" s="7">
        <v>330</v>
      </c>
      <c r="N202" s="7">
        <f>N203</f>
        <v>400</v>
      </c>
      <c r="O202" s="7">
        <f>O203</f>
        <v>550</v>
      </c>
      <c r="P202" s="429">
        <f>P203</f>
        <v>600</v>
      </c>
    </row>
    <row r="203" spans="1:24" ht="13.9" customHeight="1" x14ac:dyDescent="0.25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7">
        <v>330</v>
      </c>
      <c r="K203" s="7"/>
      <c r="L203" s="7">
        <v>330</v>
      </c>
      <c r="M203" s="7">
        <v>330</v>
      </c>
      <c r="N203" s="7">
        <v>400</v>
      </c>
      <c r="O203" s="7">
        <v>550</v>
      </c>
      <c r="P203" s="429">
        <v>600</v>
      </c>
    </row>
    <row r="204" spans="1:24" s="83" customFormat="1" ht="51.75" customHeight="1" x14ac:dyDescent="0.3">
      <c r="A204" s="91">
        <v>2</v>
      </c>
      <c r="B204" s="52" t="s">
        <v>293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>L206</f>
        <v>305</v>
      </c>
      <c r="M204" s="51">
        <f>M206</f>
        <v>310</v>
      </c>
      <c r="N204" s="51">
        <f>N206</f>
        <v>310</v>
      </c>
      <c r="O204" s="51">
        <f>O206</f>
        <v>320</v>
      </c>
      <c r="P204" s="50">
        <f>P206</f>
        <v>330</v>
      </c>
      <c r="Q204" s="84"/>
      <c r="R204" s="84"/>
      <c r="S204" s="84"/>
      <c r="T204" s="84"/>
      <c r="U204" s="84"/>
      <c r="V204" s="84"/>
      <c r="W204" s="84"/>
      <c r="X204" s="84"/>
    </row>
    <row r="205" spans="1:24" s="83" customFormat="1" ht="78" hidden="1" customHeight="1" x14ac:dyDescent="0.3">
      <c r="A205" s="85"/>
      <c r="B205" s="170" t="s">
        <v>291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78"/>
      <c r="K205" s="78"/>
      <c r="L205" s="78"/>
      <c r="M205" s="78"/>
      <c r="N205" s="78"/>
      <c r="O205" s="78"/>
      <c r="P205" s="96"/>
      <c r="Q205" s="84"/>
      <c r="R205" s="84"/>
      <c r="S205" s="84"/>
      <c r="T205" s="84"/>
      <c r="U205" s="84"/>
      <c r="V205" s="84"/>
      <c r="W205" s="84"/>
      <c r="X205" s="84"/>
    </row>
    <row r="206" spans="1:24" s="83" customFormat="1" ht="39" x14ac:dyDescent="0.3">
      <c r="A206" s="85"/>
      <c r="B206" s="102" t="s">
        <v>289</v>
      </c>
      <c r="C206" s="9"/>
      <c r="D206" s="33" t="s">
        <v>52</v>
      </c>
      <c r="E206" s="33" t="s">
        <v>49</v>
      </c>
      <c r="F206" s="9" t="s">
        <v>288</v>
      </c>
      <c r="G206" s="9"/>
      <c r="H206" s="9"/>
      <c r="I206" s="33"/>
      <c r="J206" s="7">
        <f>J208</f>
        <v>305</v>
      </c>
      <c r="K206" s="78"/>
      <c r="L206" s="78">
        <f>L208</f>
        <v>305</v>
      </c>
      <c r="M206" s="78">
        <f>M208</f>
        <v>310</v>
      </c>
      <c r="N206" s="7">
        <f>N208</f>
        <v>310</v>
      </c>
      <c r="O206" s="7">
        <f>O208</f>
        <v>320</v>
      </c>
      <c r="P206" s="429">
        <f>P208</f>
        <v>330</v>
      </c>
      <c r="Q206" s="84"/>
      <c r="R206" s="84"/>
      <c r="S206" s="84"/>
      <c r="T206" s="84"/>
      <c r="U206" s="84"/>
      <c r="V206" s="84"/>
      <c r="W206" s="84"/>
      <c r="X206" s="84"/>
    </row>
    <row r="207" spans="1:24" s="83" customFormat="1" ht="26" x14ac:dyDescent="0.3">
      <c r="A207" s="85"/>
      <c r="B207" s="169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7">
        <f>J208</f>
        <v>305</v>
      </c>
      <c r="K207" s="78"/>
      <c r="L207" s="78"/>
      <c r="M207" s="78"/>
      <c r="N207" s="7">
        <f>N208</f>
        <v>310</v>
      </c>
      <c r="O207" s="7">
        <f>O208</f>
        <v>320</v>
      </c>
      <c r="P207" s="429">
        <f>P208</f>
        <v>330</v>
      </c>
      <c r="Q207" s="84"/>
      <c r="R207" s="84"/>
      <c r="S207" s="84"/>
      <c r="T207" s="84"/>
      <c r="U207" s="84"/>
      <c r="V207" s="84"/>
      <c r="W207" s="84"/>
      <c r="X207" s="84"/>
    </row>
    <row r="208" spans="1:24" s="83" customFormat="1" ht="25.15" customHeight="1" x14ac:dyDescent="0.3">
      <c r="A208" s="85"/>
      <c r="B208" s="15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7">
        <f>J214</f>
        <v>305</v>
      </c>
      <c r="K208" s="78"/>
      <c r="L208" s="7">
        <v>305</v>
      </c>
      <c r="M208" s="7">
        <v>310</v>
      </c>
      <c r="N208" s="7">
        <f>N214</f>
        <v>310</v>
      </c>
      <c r="O208" s="7">
        <f>O214</f>
        <v>320</v>
      </c>
      <c r="P208" s="429">
        <f>P214</f>
        <v>330</v>
      </c>
      <c r="Q208" s="84"/>
      <c r="R208" s="84"/>
      <c r="S208" s="84"/>
      <c r="T208" s="84"/>
      <c r="U208" s="84"/>
      <c r="V208" s="84"/>
      <c r="W208" s="84"/>
      <c r="X208" s="84"/>
    </row>
    <row r="209" spans="1:17" ht="53.5" hidden="1" customHeight="1" x14ac:dyDescent="0.25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L209" s="2"/>
      <c r="M209" s="13"/>
      <c r="N209" s="131"/>
      <c r="O209" s="131"/>
      <c r="P209" s="50"/>
    </row>
    <row r="210" spans="1:17" ht="52" hidden="1" x14ac:dyDescent="0.3">
      <c r="A210" s="32"/>
      <c r="B210" s="168" t="s">
        <v>283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101"/>
      <c r="K210" s="101"/>
      <c r="L210" s="101"/>
      <c r="M210" s="101"/>
      <c r="N210" s="101"/>
      <c r="O210" s="101"/>
      <c r="P210" s="124"/>
    </row>
    <row r="211" spans="1:17" ht="81.650000000000006" hidden="1" customHeight="1" x14ac:dyDescent="0.3">
      <c r="A211" s="32"/>
      <c r="B211" s="167" t="s">
        <v>281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101"/>
      <c r="K211" s="101"/>
      <c r="L211" s="101"/>
      <c r="M211" s="101"/>
      <c r="N211" s="101"/>
      <c r="O211" s="101"/>
      <c r="P211" s="124"/>
    </row>
    <row r="212" spans="1:17" ht="81" hidden="1" customHeight="1" x14ac:dyDescent="0.3">
      <c r="A212" s="32"/>
      <c r="B212" s="168" t="s">
        <v>279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78"/>
      <c r="K212" s="78"/>
      <c r="L212" s="78"/>
      <c r="M212" s="78"/>
      <c r="N212" s="78"/>
      <c r="O212" s="78"/>
      <c r="P212" s="96"/>
    </row>
    <row r="213" spans="1:17" ht="52" hidden="1" x14ac:dyDescent="0.3">
      <c r="A213" s="32"/>
      <c r="B213" s="167" t="s">
        <v>277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78"/>
      <c r="K213" s="78"/>
      <c r="L213" s="78"/>
      <c r="M213" s="78"/>
      <c r="N213" s="78"/>
      <c r="O213" s="78"/>
      <c r="P213" s="96"/>
    </row>
    <row r="214" spans="1:17" ht="13" x14ac:dyDescent="0.3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7">
        <v>305</v>
      </c>
      <c r="K214" s="78"/>
      <c r="L214" s="7">
        <v>305</v>
      </c>
      <c r="M214" s="7">
        <v>310</v>
      </c>
      <c r="N214" s="7">
        <v>310</v>
      </c>
      <c r="O214" s="7">
        <v>320</v>
      </c>
      <c r="P214" s="429">
        <v>330</v>
      </c>
    </row>
    <row r="215" spans="1:17" ht="53.25" customHeight="1" x14ac:dyDescent="0.25">
      <c r="A215" s="91">
        <v>3</v>
      </c>
      <c r="B215" s="52" t="s">
        <v>274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J216+J224+J234</f>
        <v>7755.5</v>
      </c>
      <c r="K215" s="51"/>
      <c r="L215" s="51">
        <f>L216+L224+L234</f>
        <v>7755.5</v>
      </c>
      <c r="M215" s="51">
        <f>M216+M224+M234</f>
        <v>8382.5</v>
      </c>
      <c r="N215" s="51">
        <f>N216+N224+N234</f>
        <v>8482.5</v>
      </c>
      <c r="O215" s="51">
        <f>O216+O224+O234</f>
        <v>9340</v>
      </c>
      <c r="P215" s="50">
        <f>P216+P224+P234</f>
        <v>9556</v>
      </c>
    </row>
    <row r="216" spans="1:17" ht="39" x14ac:dyDescent="0.25">
      <c r="A216" s="32"/>
      <c r="B216" s="157" t="s">
        <v>272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103">
        <f>J220</f>
        <v>272</v>
      </c>
      <c r="K216" s="103"/>
      <c r="L216" s="103">
        <f>L220</f>
        <v>172</v>
      </c>
      <c r="M216" s="103">
        <f>M220</f>
        <v>184</v>
      </c>
      <c r="N216" s="103">
        <f>N219</f>
        <v>284</v>
      </c>
      <c r="O216" s="103">
        <f>O219</f>
        <v>348</v>
      </c>
      <c r="P216" s="122">
        <f>P219</f>
        <v>362</v>
      </c>
    </row>
    <row r="217" spans="1:17" ht="75" hidden="1" customHeight="1" x14ac:dyDescent="0.25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103"/>
      <c r="K217" s="103"/>
      <c r="L217" s="103"/>
      <c r="M217" s="103"/>
      <c r="N217" s="103"/>
      <c r="O217" s="103"/>
      <c r="P217" s="122"/>
    </row>
    <row r="218" spans="1:17" ht="25.15" hidden="1" customHeight="1" x14ac:dyDescent="0.25">
      <c r="A218" s="32"/>
      <c r="B218" s="15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103"/>
      <c r="K218" s="103"/>
      <c r="L218" s="103"/>
      <c r="M218" s="103"/>
      <c r="N218" s="103"/>
      <c r="O218" s="103"/>
      <c r="P218" s="122"/>
    </row>
    <row r="219" spans="1:17" ht="25.15" customHeight="1" x14ac:dyDescent="0.25">
      <c r="A219" s="32"/>
      <c r="B219" s="102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103">
        <f>J220</f>
        <v>272</v>
      </c>
      <c r="K219" s="103"/>
      <c r="L219" s="103"/>
      <c r="M219" s="103"/>
      <c r="N219" s="103">
        <f t="shared" ref="N219:P221" si="19">N220</f>
        <v>284</v>
      </c>
      <c r="O219" s="103">
        <f t="shared" si="19"/>
        <v>348</v>
      </c>
      <c r="P219" s="122">
        <f t="shared" si="19"/>
        <v>362</v>
      </c>
    </row>
    <row r="220" spans="1:17" ht="26" x14ac:dyDescent="0.25">
      <c r="A220" s="32"/>
      <c r="B220" s="49" t="s">
        <v>266</v>
      </c>
      <c r="C220" s="34"/>
      <c r="D220" s="34" t="s">
        <v>265</v>
      </c>
      <c r="E220" s="34" t="s">
        <v>262</v>
      </c>
      <c r="F220" s="9" t="s">
        <v>263</v>
      </c>
      <c r="G220" s="9"/>
      <c r="H220" s="9"/>
      <c r="I220" s="34"/>
      <c r="J220" s="103">
        <f>J221</f>
        <v>272</v>
      </c>
      <c r="K220" s="103"/>
      <c r="L220" s="103">
        <f>L221</f>
        <v>172</v>
      </c>
      <c r="M220" s="103">
        <f>M221</f>
        <v>184</v>
      </c>
      <c r="N220" s="103">
        <f t="shared" si="19"/>
        <v>284</v>
      </c>
      <c r="O220" s="103">
        <f t="shared" si="19"/>
        <v>348</v>
      </c>
      <c r="P220" s="122">
        <f t="shared" si="19"/>
        <v>362</v>
      </c>
    </row>
    <row r="221" spans="1:17" ht="25.15" customHeight="1" x14ac:dyDescent="0.25">
      <c r="A221" s="32"/>
      <c r="B221" s="15" t="s">
        <v>4</v>
      </c>
      <c r="C221" s="34"/>
      <c r="D221" s="34" t="s">
        <v>265</v>
      </c>
      <c r="E221" s="34" t="s">
        <v>262</v>
      </c>
      <c r="F221" s="9" t="s">
        <v>263</v>
      </c>
      <c r="G221" s="9" t="s">
        <v>1</v>
      </c>
      <c r="H221" s="9"/>
      <c r="I221" s="9"/>
      <c r="J221" s="103">
        <f>J222</f>
        <v>272</v>
      </c>
      <c r="K221" s="103"/>
      <c r="L221" s="103">
        <v>172</v>
      </c>
      <c r="M221" s="103">
        <v>184</v>
      </c>
      <c r="N221" s="103">
        <f t="shared" si="19"/>
        <v>284</v>
      </c>
      <c r="O221" s="103">
        <f t="shared" si="19"/>
        <v>348</v>
      </c>
      <c r="P221" s="122">
        <f t="shared" si="19"/>
        <v>362</v>
      </c>
    </row>
    <row r="222" spans="1:17" ht="16.899999999999999" customHeight="1" x14ac:dyDescent="0.3">
      <c r="A222" s="32"/>
      <c r="B222" s="86" t="s">
        <v>264</v>
      </c>
      <c r="C222" s="34"/>
      <c r="D222" s="34"/>
      <c r="E222" s="34"/>
      <c r="F222" s="9" t="s">
        <v>263</v>
      </c>
      <c r="G222" s="9" t="s">
        <v>1</v>
      </c>
      <c r="H222" s="9" t="s">
        <v>506</v>
      </c>
      <c r="I222" s="9" t="s">
        <v>506</v>
      </c>
      <c r="J222" s="103">
        <v>272</v>
      </c>
      <c r="K222" s="103"/>
      <c r="L222" s="103">
        <v>172</v>
      </c>
      <c r="M222" s="103">
        <v>184</v>
      </c>
      <c r="N222" s="103">
        <v>284</v>
      </c>
      <c r="O222" s="103">
        <v>348</v>
      </c>
      <c r="P222" s="122">
        <v>362</v>
      </c>
    </row>
    <row r="223" spans="1:17" ht="55.5" hidden="1" customHeight="1" x14ac:dyDescent="0.25">
      <c r="A223" s="91">
        <v>4</v>
      </c>
      <c r="B223" s="52" t="s">
        <v>253</v>
      </c>
      <c r="C223" s="34"/>
      <c r="D223" s="34" t="s">
        <v>246</v>
      </c>
      <c r="E223" s="34" t="s">
        <v>85</v>
      </c>
      <c r="F223" s="34" t="s">
        <v>252</v>
      </c>
      <c r="G223" s="131"/>
      <c r="H223" s="131"/>
      <c r="I223" s="34"/>
      <c r="J223" s="51">
        <f>J224</f>
        <v>6205</v>
      </c>
      <c r="K223" s="51"/>
      <c r="L223" s="51">
        <f>L224</f>
        <v>6305</v>
      </c>
      <c r="M223" s="51">
        <f>M224</f>
        <v>6960</v>
      </c>
      <c r="N223" s="51">
        <f>N224</f>
        <v>6960</v>
      </c>
      <c r="O223" s="51">
        <f>O224</f>
        <v>7858</v>
      </c>
      <c r="P223" s="50">
        <f>P224</f>
        <v>7937</v>
      </c>
    </row>
    <row r="224" spans="1:17" ht="39" x14ac:dyDescent="0.25">
      <c r="A224" s="32"/>
      <c r="B224" s="157" t="s">
        <v>261</v>
      </c>
      <c r="C224" s="9"/>
      <c r="D224" s="9" t="s">
        <v>246</v>
      </c>
      <c r="E224" s="9" t="s">
        <v>85</v>
      </c>
      <c r="F224" s="9" t="s">
        <v>260</v>
      </c>
      <c r="G224" s="9"/>
      <c r="H224" s="9"/>
      <c r="I224" s="9"/>
      <c r="J224" s="93">
        <f>J226</f>
        <v>6205</v>
      </c>
      <c r="K224" s="93"/>
      <c r="L224" s="93">
        <f>L226</f>
        <v>6305</v>
      </c>
      <c r="M224" s="93">
        <f>M226</f>
        <v>6960</v>
      </c>
      <c r="N224" s="93">
        <f>N226</f>
        <v>6960</v>
      </c>
      <c r="O224" s="93">
        <f>O226</f>
        <v>7858</v>
      </c>
      <c r="P224" s="122">
        <f>P226</f>
        <v>7937</v>
      </c>
      <c r="Q224" s="912"/>
    </row>
    <row r="225" spans="1:24" ht="13" x14ac:dyDescent="0.25">
      <c r="A225" s="32"/>
      <c r="B225" s="102" t="s">
        <v>259</v>
      </c>
      <c r="C225" s="9"/>
      <c r="D225" s="9"/>
      <c r="E225" s="9"/>
      <c r="F225" s="9" t="s">
        <v>258</v>
      </c>
      <c r="G225" s="9"/>
      <c r="H225" s="9"/>
      <c r="I225" s="9"/>
      <c r="J225" s="93">
        <f>J226</f>
        <v>6205</v>
      </c>
      <c r="K225" s="93"/>
      <c r="L225" s="93"/>
      <c r="M225" s="93"/>
      <c r="N225" s="93">
        <f>N226</f>
        <v>6960</v>
      </c>
      <c r="O225" s="93">
        <f>O226</f>
        <v>7858</v>
      </c>
      <c r="P225" s="122">
        <f>P226</f>
        <v>7937</v>
      </c>
    </row>
    <row r="226" spans="1:24" ht="26" x14ac:dyDescent="0.25">
      <c r="A226" s="32"/>
      <c r="B226" s="49" t="s">
        <v>257</v>
      </c>
      <c r="C226" s="9"/>
      <c r="D226" s="9" t="s">
        <v>246</v>
      </c>
      <c r="E226" s="9" t="s">
        <v>85</v>
      </c>
      <c r="F226" s="9" t="s">
        <v>254</v>
      </c>
      <c r="G226" s="9"/>
      <c r="H226" s="9"/>
      <c r="I226" s="9"/>
      <c r="J226" s="93">
        <f>J227+J229+J231</f>
        <v>6205</v>
      </c>
      <c r="K226" s="93"/>
      <c r="L226" s="93">
        <f>L227+L229+L231</f>
        <v>6305</v>
      </c>
      <c r="M226" s="93">
        <f>M227+M229+M231</f>
        <v>6960</v>
      </c>
      <c r="N226" s="93">
        <f>N227+N229+N231</f>
        <v>6960</v>
      </c>
      <c r="O226" s="93">
        <f>O227+O229+O231</f>
        <v>7858</v>
      </c>
      <c r="P226" s="122">
        <f>P227+P229+P231</f>
        <v>7937</v>
      </c>
    </row>
    <row r="227" spans="1:24" ht="13" x14ac:dyDescent="0.3">
      <c r="A227" s="32"/>
      <c r="B227" s="16" t="s">
        <v>256</v>
      </c>
      <c r="C227" s="9"/>
      <c r="D227" s="9" t="s">
        <v>246</v>
      </c>
      <c r="E227" s="9" t="s">
        <v>85</v>
      </c>
      <c r="F227" s="9" t="s">
        <v>254</v>
      </c>
      <c r="G227" s="9" t="s">
        <v>255</v>
      </c>
      <c r="H227" s="9"/>
      <c r="I227" s="9"/>
      <c r="J227" s="93">
        <f>J228</f>
        <v>4156.915</v>
      </c>
      <c r="K227" s="166"/>
      <c r="L227" s="93">
        <v>5305.1139999999996</v>
      </c>
      <c r="M227" s="93">
        <v>6631.482</v>
      </c>
      <c r="N227" s="93">
        <f>N228</f>
        <v>4510.8630000000003</v>
      </c>
      <c r="O227" s="93">
        <f>O228</f>
        <v>5837.6840000000002</v>
      </c>
      <c r="P227" s="122">
        <f>P228</f>
        <v>5657.9449999999997</v>
      </c>
    </row>
    <row r="228" spans="1:24" ht="13" x14ac:dyDescent="0.3">
      <c r="A228" s="32"/>
      <c r="B228" s="16" t="s">
        <v>87</v>
      </c>
      <c r="C228" s="9"/>
      <c r="D228" s="9"/>
      <c r="E228" s="9"/>
      <c r="F228" s="9" t="s">
        <v>254</v>
      </c>
      <c r="G228" s="9" t="s">
        <v>255</v>
      </c>
      <c r="H228" s="9" t="s">
        <v>453</v>
      </c>
      <c r="I228" s="9" t="s">
        <v>456</v>
      </c>
      <c r="J228" s="93">
        <v>4156.915</v>
      </c>
      <c r="K228" s="166"/>
      <c r="L228" s="93"/>
      <c r="M228" s="93"/>
      <c r="N228" s="93">
        <v>4510.8630000000003</v>
      </c>
      <c r="O228" s="93">
        <f>5337.684+500</f>
        <v>5837.6840000000002</v>
      </c>
      <c r="P228" s="122">
        <v>5657.9449999999997</v>
      </c>
    </row>
    <row r="229" spans="1:24" ht="25.15" customHeight="1" x14ac:dyDescent="0.25">
      <c r="A229" s="32"/>
      <c r="B229" s="15" t="s">
        <v>4</v>
      </c>
      <c r="C229" s="9"/>
      <c r="D229" s="9" t="s">
        <v>246</v>
      </c>
      <c r="E229" s="9" t="s">
        <v>85</v>
      </c>
      <c r="F229" s="9" t="s">
        <v>254</v>
      </c>
      <c r="G229" s="9" t="s">
        <v>1</v>
      </c>
      <c r="H229" s="9"/>
      <c r="I229" s="9"/>
      <c r="J229" s="93">
        <f>J230</f>
        <v>2047.085</v>
      </c>
      <c r="K229" s="93"/>
      <c r="L229" s="93">
        <f>999.886-0.886</f>
        <v>999</v>
      </c>
      <c r="M229" s="93">
        <v>328</v>
      </c>
      <c r="N229" s="93">
        <f>N230</f>
        <v>2448.424</v>
      </c>
      <c r="O229" s="93">
        <f>O230</f>
        <v>2019.316</v>
      </c>
      <c r="P229" s="122">
        <f>P230</f>
        <v>2278.0549999999998</v>
      </c>
    </row>
    <row r="230" spans="1:24" ht="13" x14ac:dyDescent="0.3">
      <c r="A230" s="32"/>
      <c r="B230" s="16" t="s">
        <v>87</v>
      </c>
      <c r="C230" s="9"/>
      <c r="D230" s="9"/>
      <c r="E230" s="9"/>
      <c r="F230" s="9" t="s">
        <v>254</v>
      </c>
      <c r="G230" s="9" t="s">
        <v>1</v>
      </c>
      <c r="H230" s="9" t="s">
        <v>453</v>
      </c>
      <c r="I230" s="9" t="s">
        <v>456</v>
      </c>
      <c r="J230" s="93">
        <v>2047.085</v>
      </c>
      <c r="K230" s="93"/>
      <c r="L230" s="93"/>
      <c r="M230" s="93"/>
      <c r="N230" s="93">
        <v>2448.424</v>
      </c>
      <c r="O230" s="93">
        <f>1520.316+500-1</f>
        <v>2019.316</v>
      </c>
      <c r="P230" s="122">
        <v>2278.0549999999998</v>
      </c>
    </row>
    <row r="231" spans="1:24" ht="13" x14ac:dyDescent="0.3">
      <c r="A231" s="32"/>
      <c r="B231" s="16" t="s">
        <v>94</v>
      </c>
      <c r="C231" s="9"/>
      <c r="D231" s="9" t="s">
        <v>246</v>
      </c>
      <c r="E231" s="9" t="s">
        <v>85</v>
      </c>
      <c r="F231" s="9" t="s">
        <v>254</v>
      </c>
      <c r="G231" s="9" t="s">
        <v>91</v>
      </c>
      <c r="H231" s="9"/>
      <c r="I231" s="9"/>
      <c r="J231" s="103">
        <f>J232</f>
        <v>1</v>
      </c>
      <c r="K231" s="103"/>
      <c r="L231" s="103">
        <v>0.88600000000000001</v>
      </c>
      <c r="M231" s="103">
        <v>0.51800000000000002</v>
      </c>
      <c r="N231" s="103">
        <f>N232</f>
        <v>0.71299999999999997</v>
      </c>
      <c r="O231" s="103">
        <f>O232</f>
        <v>1</v>
      </c>
      <c r="P231" s="122">
        <f>P232</f>
        <v>1</v>
      </c>
    </row>
    <row r="232" spans="1:24" ht="13" x14ac:dyDescent="0.3">
      <c r="A232" s="32"/>
      <c r="B232" s="16" t="s">
        <v>87</v>
      </c>
      <c r="C232" s="9"/>
      <c r="D232" s="9"/>
      <c r="E232" s="9"/>
      <c r="F232" s="9" t="s">
        <v>254</v>
      </c>
      <c r="G232" s="9" t="s">
        <v>91</v>
      </c>
      <c r="H232" s="9" t="s">
        <v>453</v>
      </c>
      <c r="I232" s="9" t="s">
        <v>456</v>
      </c>
      <c r="J232" s="103">
        <v>1</v>
      </c>
      <c r="K232" s="103"/>
      <c r="L232" s="103">
        <f>L227+L229+L231</f>
        <v>6305</v>
      </c>
      <c r="M232" s="103">
        <f>M227+M229+M231</f>
        <v>6960</v>
      </c>
      <c r="N232" s="103">
        <v>0.71299999999999997</v>
      </c>
      <c r="O232" s="103">
        <v>1</v>
      </c>
      <c r="P232" s="122">
        <v>1</v>
      </c>
    </row>
    <row r="233" spans="1:24" ht="39.65" hidden="1" customHeight="1" x14ac:dyDescent="0.25">
      <c r="A233" s="91">
        <v>5</v>
      </c>
      <c r="B233" s="52" t="s">
        <v>253</v>
      </c>
      <c r="C233" s="34"/>
      <c r="D233" s="34" t="s">
        <v>246</v>
      </c>
      <c r="E233" s="34" t="s">
        <v>242</v>
      </c>
      <c r="F233" s="9" t="s">
        <v>252</v>
      </c>
      <c r="G233" s="131"/>
      <c r="H233" s="131"/>
      <c r="I233" s="34"/>
      <c r="J233" s="51">
        <f>J234</f>
        <v>1278.5</v>
      </c>
      <c r="K233" s="51"/>
      <c r="L233" s="51">
        <f>L234</f>
        <v>1278.5</v>
      </c>
      <c r="M233" s="51">
        <f>M234</f>
        <v>1238.5</v>
      </c>
      <c r="N233" s="51">
        <f>N234</f>
        <v>1238.5</v>
      </c>
      <c r="O233" s="51">
        <f>O234</f>
        <v>1134</v>
      </c>
      <c r="P233" s="50">
        <f>P234</f>
        <v>1257</v>
      </c>
    </row>
    <row r="234" spans="1:24" ht="26" x14ac:dyDescent="0.25">
      <c r="A234" s="32"/>
      <c r="B234" s="157" t="s">
        <v>836</v>
      </c>
      <c r="C234" s="9"/>
      <c r="D234" s="9" t="s">
        <v>246</v>
      </c>
      <c r="E234" s="9" t="s">
        <v>242</v>
      </c>
      <c r="F234" s="9" t="s">
        <v>251</v>
      </c>
      <c r="G234" s="9"/>
      <c r="H234" s="9"/>
      <c r="I234" s="9"/>
      <c r="J234" s="93">
        <f>J236</f>
        <v>1278.5</v>
      </c>
      <c r="K234" s="93"/>
      <c r="L234" s="93">
        <f>L236</f>
        <v>1278.5</v>
      </c>
      <c r="M234" s="93">
        <f>M236</f>
        <v>1238.5</v>
      </c>
      <c r="N234" s="93">
        <f>N236</f>
        <v>1238.5</v>
      </c>
      <c r="O234" s="93">
        <f>O236</f>
        <v>1134</v>
      </c>
      <c r="P234" s="122">
        <f>P236</f>
        <v>1257</v>
      </c>
    </row>
    <row r="235" spans="1:24" ht="13" x14ac:dyDescent="0.25">
      <c r="A235" s="32"/>
      <c r="B235" s="102" t="s">
        <v>250</v>
      </c>
      <c r="C235" s="9"/>
      <c r="D235" s="9"/>
      <c r="E235" s="9"/>
      <c r="F235" s="9" t="s">
        <v>249</v>
      </c>
      <c r="G235" s="9"/>
      <c r="H235" s="9"/>
      <c r="I235" s="9"/>
      <c r="J235" s="93">
        <f>J236</f>
        <v>1278.5</v>
      </c>
      <c r="K235" s="93"/>
      <c r="L235" s="93"/>
      <c r="M235" s="93"/>
      <c r="N235" s="93">
        <f t="shared" ref="N235:P236" si="20">N236</f>
        <v>1238.5</v>
      </c>
      <c r="O235" s="93">
        <f t="shared" si="20"/>
        <v>1134</v>
      </c>
      <c r="P235" s="122">
        <f t="shared" si="20"/>
        <v>1257</v>
      </c>
    </row>
    <row r="236" spans="1:24" ht="13" x14ac:dyDescent="0.25">
      <c r="A236" s="32"/>
      <c r="B236" s="49" t="s">
        <v>248</v>
      </c>
      <c r="C236" s="9"/>
      <c r="D236" s="9" t="s">
        <v>246</v>
      </c>
      <c r="E236" s="9" t="s">
        <v>242</v>
      </c>
      <c r="F236" s="9" t="s">
        <v>243</v>
      </c>
      <c r="G236" s="9"/>
      <c r="H236" s="9"/>
      <c r="I236" s="9"/>
      <c r="J236" s="93">
        <f>J237</f>
        <v>1278.5</v>
      </c>
      <c r="K236" s="93"/>
      <c r="L236" s="93">
        <f>L237</f>
        <v>1278.5</v>
      </c>
      <c r="M236" s="93">
        <f>M237</f>
        <v>1238.5</v>
      </c>
      <c r="N236" s="93">
        <f t="shared" si="20"/>
        <v>1238.5</v>
      </c>
      <c r="O236" s="93">
        <f t="shared" si="20"/>
        <v>1134</v>
      </c>
      <c r="P236" s="122">
        <f t="shared" si="20"/>
        <v>1257</v>
      </c>
    </row>
    <row r="237" spans="1:24" ht="25.15" customHeight="1" x14ac:dyDescent="0.25">
      <c r="A237" s="32"/>
      <c r="B237" s="15" t="s">
        <v>4</v>
      </c>
      <c r="C237" s="9"/>
      <c r="D237" s="9" t="s">
        <v>246</v>
      </c>
      <c r="E237" s="9" t="s">
        <v>242</v>
      </c>
      <c r="F237" s="9" t="s">
        <v>243</v>
      </c>
      <c r="G237" s="9" t="s">
        <v>1</v>
      </c>
      <c r="H237" s="9"/>
      <c r="I237" s="9"/>
      <c r="J237" s="93">
        <f>J239</f>
        <v>1278.5</v>
      </c>
      <c r="K237" s="93"/>
      <c r="L237" s="93">
        <v>1278.5</v>
      </c>
      <c r="M237" s="93">
        <v>1238.5</v>
      </c>
      <c r="N237" s="93">
        <f>N239</f>
        <v>1238.5</v>
      </c>
      <c r="O237" s="93">
        <f>O239</f>
        <v>1134</v>
      </c>
      <c r="P237" s="122">
        <f>P239</f>
        <v>1257</v>
      </c>
    </row>
    <row r="238" spans="1:24" s="162" customFormat="1" ht="52" hidden="1" x14ac:dyDescent="0.3">
      <c r="A238" s="165"/>
      <c r="B238" s="164" t="s">
        <v>247</v>
      </c>
      <c r="C238" s="33"/>
      <c r="D238" s="33" t="s">
        <v>246</v>
      </c>
      <c r="E238" s="9" t="s">
        <v>242</v>
      </c>
      <c r="F238" s="33" t="s">
        <v>245</v>
      </c>
      <c r="G238" s="31"/>
      <c r="H238" s="31"/>
      <c r="I238" s="9" t="s">
        <v>242</v>
      </c>
      <c r="J238" s="103"/>
      <c r="K238" s="103"/>
      <c r="L238" s="103"/>
      <c r="M238" s="103"/>
      <c r="N238" s="103"/>
      <c r="O238" s="103"/>
      <c r="P238" s="122"/>
      <c r="Q238" s="163"/>
      <c r="R238" s="163"/>
      <c r="S238" s="163"/>
      <c r="T238" s="163"/>
      <c r="U238" s="163"/>
      <c r="V238" s="163"/>
      <c r="W238" s="163"/>
      <c r="X238" s="163"/>
    </row>
    <row r="239" spans="1:24" s="162" customFormat="1" ht="15" x14ac:dyDescent="0.3">
      <c r="A239" s="165"/>
      <c r="B239" s="164" t="s">
        <v>244</v>
      </c>
      <c r="C239" s="33"/>
      <c r="D239" s="33"/>
      <c r="E239" s="9"/>
      <c r="F239" s="9" t="s">
        <v>243</v>
      </c>
      <c r="G239" s="9" t="s">
        <v>1</v>
      </c>
      <c r="H239" s="9" t="s">
        <v>453</v>
      </c>
      <c r="I239" s="9" t="s">
        <v>452</v>
      </c>
      <c r="J239" s="93">
        <v>1278.5</v>
      </c>
      <c r="K239" s="93"/>
      <c r="L239" s="93">
        <v>1278.5</v>
      </c>
      <c r="M239" s="93">
        <v>1238.5</v>
      </c>
      <c r="N239" s="93">
        <v>1238.5</v>
      </c>
      <c r="O239" s="93">
        <v>1134</v>
      </c>
      <c r="P239" s="122">
        <v>1257</v>
      </c>
      <c r="Q239" s="163"/>
      <c r="R239" s="163"/>
      <c r="S239" s="163"/>
      <c r="T239" s="163"/>
      <c r="U239" s="163"/>
      <c r="V239" s="163"/>
      <c r="W239" s="163"/>
      <c r="X239" s="163"/>
    </row>
    <row r="240" spans="1:24" ht="39.65" customHeight="1" x14ac:dyDescent="0.25">
      <c r="A240" s="91">
        <v>4</v>
      </c>
      <c r="B240" s="52" t="s">
        <v>241</v>
      </c>
      <c r="C240" s="34"/>
      <c r="D240" s="34" t="s">
        <v>168</v>
      </c>
      <c r="E240" s="34" t="s">
        <v>166</v>
      </c>
      <c r="F240" s="34" t="s">
        <v>240</v>
      </c>
      <c r="G240" s="131"/>
      <c r="H240" s="131"/>
      <c r="I240" s="34"/>
      <c r="J240" s="51">
        <f>J241+J254</f>
        <v>1182</v>
      </c>
      <c r="K240" s="51"/>
      <c r="L240" s="51">
        <f>L241+L254</f>
        <v>1182</v>
      </c>
      <c r="M240" s="51">
        <f>M241+M254</f>
        <v>1022</v>
      </c>
      <c r="N240" s="51">
        <f>N241+N254</f>
        <v>1179</v>
      </c>
      <c r="O240" s="51">
        <f>O241+O254</f>
        <v>836</v>
      </c>
      <c r="P240" s="50">
        <f>P241+P254</f>
        <v>1202</v>
      </c>
    </row>
    <row r="241" spans="1:16" ht="65" x14ac:dyDescent="0.25">
      <c r="A241" s="32"/>
      <c r="B241" s="157" t="s">
        <v>239</v>
      </c>
      <c r="C241" s="9"/>
      <c r="D241" s="9" t="s">
        <v>168</v>
      </c>
      <c r="E241" s="9" t="s">
        <v>166</v>
      </c>
      <c r="F241" s="9" t="s">
        <v>238</v>
      </c>
      <c r="G241" s="88"/>
      <c r="H241" s="88"/>
      <c r="I241" s="9"/>
      <c r="J241" s="7">
        <f>J242</f>
        <v>496</v>
      </c>
      <c r="K241" s="7"/>
      <c r="L241" s="7">
        <f>L243+L251</f>
        <v>496</v>
      </c>
      <c r="M241" s="7">
        <f>M243+M251</f>
        <v>336</v>
      </c>
      <c r="N241" s="7">
        <f>N242+N246</f>
        <v>473</v>
      </c>
      <c r="O241" s="7">
        <f>O242+O246</f>
        <v>606</v>
      </c>
      <c r="P241" s="429">
        <f>P242+P246</f>
        <v>606</v>
      </c>
    </row>
    <row r="242" spans="1:16" ht="39" hidden="1" x14ac:dyDescent="0.25">
      <c r="A242" s="32"/>
      <c r="B242" s="102" t="s">
        <v>236</v>
      </c>
      <c r="C242" s="9"/>
      <c r="D242" s="9"/>
      <c r="E242" s="9"/>
      <c r="F242" s="9" t="s">
        <v>235</v>
      </c>
      <c r="G242" s="88"/>
      <c r="H242" s="88"/>
      <c r="I242" s="9"/>
      <c r="J242" s="7">
        <f>J243+J251</f>
        <v>496</v>
      </c>
      <c r="K242" s="7"/>
      <c r="L242" s="7"/>
      <c r="M242" s="7"/>
      <c r="N242" s="7">
        <f t="shared" ref="N242:P244" si="21">N243</f>
        <v>0</v>
      </c>
      <c r="O242" s="7">
        <f t="shared" si="21"/>
        <v>0</v>
      </c>
      <c r="P242" s="429">
        <f t="shared" si="21"/>
        <v>0</v>
      </c>
    </row>
    <row r="243" spans="1:16" ht="26" hidden="1" x14ac:dyDescent="0.25">
      <c r="A243" s="32"/>
      <c r="B243" s="49" t="s">
        <v>237</v>
      </c>
      <c r="C243" s="9"/>
      <c r="D243" s="9" t="s">
        <v>168</v>
      </c>
      <c r="E243" s="9" t="s">
        <v>166</v>
      </c>
      <c r="F243" s="9" t="s">
        <v>233</v>
      </c>
      <c r="G243" s="88"/>
      <c r="H243" s="88"/>
      <c r="I243" s="9"/>
      <c r="J243" s="7">
        <f>J244</f>
        <v>296</v>
      </c>
      <c r="K243" s="7"/>
      <c r="L243" s="7">
        <f>L244</f>
        <v>296</v>
      </c>
      <c r="M243" s="7">
        <f>M244</f>
        <v>136</v>
      </c>
      <c r="N243" s="7">
        <f t="shared" si="21"/>
        <v>0</v>
      </c>
      <c r="O243" s="7">
        <f t="shared" si="21"/>
        <v>0</v>
      </c>
      <c r="P243" s="429">
        <f t="shared" si="21"/>
        <v>0</v>
      </c>
    </row>
    <row r="244" spans="1:16" ht="25.15" hidden="1" customHeight="1" x14ac:dyDescent="0.25">
      <c r="A244" s="32"/>
      <c r="B244" s="15" t="s">
        <v>4</v>
      </c>
      <c r="C244" s="9"/>
      <c r="D244" s="9" t="s">
        <v>168</v>
      </c>
      <c r="E244" s="9" t="s">
        <v>166</v>
      </c>
      <c r="F244" s="9" t="s">
        <v>233</v>
      </c>
      <c r="G244" s="88">
        <v>240</v>
      </c>
      <c r="H244" s="88"/>
      <c r="I244" s="9"/>
      <c r="J244" s="7">
        <f>J245</f>
        <v>296</v>
      </c>
      <c r="K244" s="7"/>
      <c r="L244" s="7">
        <v>296</v>
      </c>
      <c r="M244" s="7">
        <v>136</v>
      </c>
      <c r="N244" s="7">
        <f t="shared" si="21"/>
        <v>0</v>
      </c>
      <c r="O244" s="7">
        <f t="shared" si="21"/>
        <v>0</v>
      </c>
      <c r="P244" s="429">
        <f t="shared" si="21"/>
        <v>0</v>
      </c>
    </row>
    <row r="245" spans="1:16" ht="26" hidden="1" x14ac:dyDescent="0.3">
      <c r="A245" s="32"/>
      <c r="B245" s="82" t="s">
        <v>221</v>
      </c>
      <c r="C245" s="9"/>
      <c r="D245" s="9"/>
      <c r="E245" s="9"/>
      <c r="F245" s="9" t="s">
        <v>233</v>
      </c>
      <c r="G245" s="88">
        <v>240</v>
      </c>
      <c r="H245" s="88"/>
      <c r="I245" s="9" t="s">
        <v>166</v>
      </c>
      <c r="J245" s="7">
        <v>296</v>
      </c>
      <c r="K245" s="7"/>
      <c r="L245" s="7">
        <v>296</v>
      </c>
      <c r="M245" s="7">
        <v>136</v>
      </c>
      <c r="N245" s="7"/>
      <c r="O245" s="7"/>
      <c r="P245" s="429"/>
    </row>
    <row r="246" spans="1:16" ht="39" x14ac:dyDescent="0.25">
      <c r="A246" s="32"/>
      <c r="B246" s="102" t="s">
        <v>236</v>
      </c>
      <c r="C246" s="9"/>
      <c r="D246" s="9"/>
      <c r="E246" s="9"/>
      <c r="F246" s="9" t="s">
        <v>235</v>
      </c>
      <c r="G246" s="88"/>
      <c r="H246" s="88"/>
      <c r="I246" s="9"/>
      <c r="J246" s="7">
        <f>J251</f>
        <v>200</v>
      </c>
      <c r="K246" s="7"/>
      <c r="L246" s="7"/>
      <c r="M246" s="7"/>
      <c r="N246" s="7">
        <f>N251+N247</f>
        <v>473</v>
      </c>
      <c r="O246" s="7">
        <f>O251+O247</f>
        <v>606</v>
      </c>
      <c r="P246" s="429">
        <f>P251+P247</f>
        <v>606</v>
      </c>
    </row>
    <row r="247" spans="1:16" ht="26" x14ac:dyDescent="0.25">
      <c r="A247" s="32"/>
      <c r="B247" s="114" t="s">
        <v>234</v>
      </c>
      <c r="C247" s="9"/>
      <c r="D247" s="9"/>
      <c r="E247" s="9"/>
      <c r="F247" s="9" t="s">
        <v>233</v>
      </c>
      <c r="G247" s="88"/>
      <c r="H247" s="88"/>
      <c r="I247" s="9"/>
      <c r="J247" s="7"/>
      <c r="K247" s="7"/>
      <c r="L247" s="7"/>
      <c r="M247" s="7"/>
      <c r="N247" s="7">
        <f t="shared" ref="N247:P248" si="22">N248</f>
        <v>240</v>
      </c>
      <c r="O247" s="7">
        <f t="shared" si="22"/>
        <v>376</v>
      </c>
      <c r="P247" s="429">
        <f t="shared" si="22"/>
        <v>376</v>
      </c>
    </row>
    <row r="248" spans="1:16" ht="26" x14ac:dyDescent="0.25">
      <c r="A248" s="32"/>
      <c r="B248" s="15" t="s">
        <v>4</v>
      </c>
      <c r="C248" s="9"/>
      <c r="D248" s="9"/>
      <c r="E248" s="9"/>
      <c r="F248" s="9" t="s">
        <v>233</v>
      </c>
      <c r="G248" s="88">
        <v>240</v>
      </c>
      <c r="H248" s="88"/>
      <c r="I248" s="9"/>
      <c r="J248" s="7"/>
      <c r="K248" s="7"/>
      <c r="L248" s="7"/>
      <c r="M248" s="7"/>
      <c r="N248" s="7">
        <f t="shared" si="22"/>
        <v>240</v>
      </c>
      <c r="O248" s="7">
        <f t="shared" si="22"/>
        <v>376</v>
      </c>
      <c r="P248" s="429">
        <f t="shared" si="22"/>
        <v>376</v>
      </c>
    </row>
    <row r="249" spans="1:16" ht="26" x14ac:dyDescent="0.3">
      <c r="A249" s="32"/>
      <c r="B249" s="95" t="s">
        <v>221</v>
      </c>
      <c r="C249" s="9"/>
      <c r="D249" s="9"/>
      <c r="E249" s="9"/>
      <c r="F249" s="9" t="s">
        <v>233</v>
      </c>
      <c r="G249" s="88">
        <v>240</v>
      </c>
      <c r="H249" s="9" t="s">
        <v>495</v>
      </c>
      <c r="I249" s="9" t="s">
        <v>539</v>
      </c>
      <c r="J249" s="7"/>
      <c r="K249" s="7"/>
      <c r="L249" s="7"/>
      <c r="M249" s="7"/>
      <c r="N249" s="7">
        <v>240</v>
      </c>
      <c r="O249" s="7">
        <v>376</v>
      </c>
      <c r="P249" s="429">
        <v>376</v>
      </c>
    </row>
    <row r="250" spans="1:16" ht="13" x14ac:dyDescent="0.25">
      <c r="A250" s="32"/>
      <c r="B250" s="102" t="s">
        <v>232</v>
      </c>
      <c r="C250" s="9"/>
      <c r="D250" s="9"/>
      <c r="E250" s="9"/>
      <c r="F250" s="9" t="s">
        <v>231</v>
      </c>
      <c r="G250" s="88"/>
      <c r="H250" s="88"/>
      <c r="I250" s="9"/>
      <c r="J250" s="7"/>
      <c r="K250" s="7"/>
      <c r="L250" s="7"/>
      <c r="M250" s="7"/>
      <c r="N250" s="7">
        <f t="shared" ref="N250:P252" si="23">N251</f>
        <v>233</v>
      </c>
      <c r="O250" s="7">
        <f t="shared" si="23"/>
        <v>230</v>
      </c>
      <c r="P250" s="429">
        <f t="shared" si="23"/>
        <v>230</v>
      </c>
    </row>
    <row r="251" spans="1:16" ht="13" x14ac:dyDescent="0.25">
      <c r="A251" s="32"/>
      <c r="B251" s="114" t="s">
        <v>230</v>
      </c>
      <c r="C251" s="9"/>
      <c r="D251" s="9" t="s">
        <v>168</v>
      </c>
      <c r="E251" s="9" t="s">
        <v>166</v>
      </c>
      <c r="F251" s="9" t="s">
        <v>229</v>
      </c>
      <c r="G251" s="88"/>
      <c r="H251" s="88"/>
      <c r="I251" s="9"/>
      <c r="J251" s="7">
        <f>J252</f>
        <v>200</v>
      </c>
      <c r="K251" s="7"/>
      <c r="L251" s="7">
        <f>L252</f>
        <v>200</v>
      </c>
      <c r="M251" s="7">
        <f>M252</f>
        <v>200</v>
      </c>
      <c r="N251" s="7">
        <f t="shared" si="23"/>
        <v>233</v>
      </c>
      <c r="O251" s="7">
        <f t="shared" si="23"/>
        <v>230</v>
      </c>
      <c r="P251" s="429">
        <f t="shared" si="23"/>
        <v>230</v>
      </c>
    </row>
    <row r="252" spans="1:16" ht="25.15" customHeight="1" x14ac:dyDescent="0.25">
      <c r="A252" s="32"/>
      <c r="B252" s="15" t="s">
        <v>4</v>
      </c>
      <c r="C252" s="9"/>
      <c r="D252" s="9" t="s">
        <v>168</v>
      </c>
      <c r="E252" s="9" t="s">
        <v>166</v>
      </c>
      <c r="F252" s="9" t="s">
        <v>229</v>
      </c>
      <c r="G252" s="88">
        <v>240</v>
      </c>
      <c r="H252" s="88"/>
      <c r="I252" s="9"/>
      <c r="J252" s="7">
        <f>J253</f>
        <v>200</v>
      </c>
      <c r="K252" s="7"/>
      <c r="L252" s="7">
        <v>200</v>
      </c>
      <c r="M252" s="7">
        <v>200</v>
      </c>
      <c r="N252" s="7">
        <f t="shared" si="23"/>
        <v>233</v>
      </c>
      <c r="O252" s="7">
        <f t="shared" si="23"/>
        <v>230</v>
      </c>
      <c r="P252" s="429">
        <f t="shared" si="23"/>
        <v>230</v>
      </c>
    </row>
    <row r="253" spans="1:16" ht="26" x14ac:dyDescent="0.3">
      <c r="A253" s="32"/>
      <c r="B253" s="95" t="s">
        <v>221</v>
      </c>
      <c r="C253" s="9"/>
      <c r="D253" s="9"/>
      <c r="E253" s="9"/>
      <c r="F253" s="9" t="s">
        <v>229</v>
      </c>
      <c r="G253" s="88">
        <v>240</v>
      </c>
      <c r="H253" s="9" t="s">
        <v>495</v>
      </c>
      <c r="I253" s="9" t="s">
        <v>539</v>
      </c>
      <c r="J253" s="7">
        <v>200</v>
      </c>
      <c r="K253" s="7"/>
      <c r="L253" s="7">
        <v>200</v>
      </c>
      <c r="M253" s="7">
        <v>200</v>
      </c>
      <c r="N253" s="7">
        <v>233</v>
      </c>
      <c r="O253" s="7">
        <v>230</v>
      </c>
      <c r="P253" s="429">
        <v>230</v>
      </c>
    </row>
    <row r="254" spans="1:16" ht="65" x14ac:dyDescent="0.25">
      <c r="A254" s="32"/>
      <c r="B254" s="157" t="s">
        <v>228</v>
      </c>
      <c r="C254" s="34"/>
      <c r="D254" s="9" t="s">
        <v>168</v>
      </c>
      <c r="E254" s="9" t="s">
        <v>166</v>
      </c>
      <c r="F254" s="9" t="s">
        <v>227</v>
      </c>
      <c r="G254" s="9"/>
      <c r="H254" s="9"/>
      <c r="I254" s="9"/>
      <c r="J254" s="7">
        <f>J256</f>
        <v>686</v>
      </c>
      <c r="K254" s="7"/>
      <c r="L254" s="7">
        <f>L256</f>
        <v>686</v>
      </c>
      <c r="M254" s="7">
        <f>M256</f>
        <v>686</v>
      </c>
      <c r="N254" s="7">
        <f t="shared" ref="N254:P255" si="24">N255</f>
        <v>706</v>
      </c>
      <c r="O254" s="7">
        <f t="shared" si="24"/>
        <v>230</v>
      </c>
      <c r="P254" s="429">
        <f t="shared" si="24"/>
        <v>596</v>
      </c>
    </row>
    <row r="255" spans="1:16" ht="52" x14ac:dyDescent="0.25">
      <c r="A255" s="32"/>
      <c r="B255" s="102" t="s">
        <v>226</v>
      </c>
      <c r="C255" s="34"/>
      <c r="D255" s="9"/>
      <c r="E255" s="9"/>
      <c r="F255" s="9" t="s">
        <v>225</v>
      </c>
      <c r="G255" s="9"/>
      <c r="H255" s="9"/>
      <c r="I255" s="9"/>
      <c r="J255" s="7">
        <f>J254</f>
        <v>686</v>
      </c>
      <c r="K255" s="7"/>
      <c r="L255" s="7"/>
      <c r="M255" s="7"/>
      <c r="N255" s="7">
        <f t="shared" si="24"/>
        <v>706</v>
      </c>
      <c r="O255" s="7">
        <f t="shared" si="24"/>
        <v>230</v>
      </c>
      <c r="P255" s="429">
        <f t="shared" si="24"/>
        <v>596</v>
      </c>
    </row>
    <row r="256" spans="1:16" ht="13" x14ac:dyDescent="0.25">
      <c r="A256" s="32"/>
      <c r="B256" s="114" t="s">
        <v>224</v>
      </c>
      <c r="C256" s="34"/>
      <c r="D256" s="9" t="s">
        <v>168</v>
      </c>
      <c r="E256" s="9" t="s">
        <v>166</v>
      </c>
      <c r="F256" s="9" t="s">
        <v>220</v>
      </c>
      <c r="G256" s="34"/>
      <c r="H256" s="34"/>
      <c r="I256" s="9"/>
      <c r="J256" s="7">
        <f>J258</f>
        <v>686</v>
      </c>
      <c r="K256" s="7"/>
      <c r="L256" s="7">
        <f>L258</f>
        <v>686</v>
      </c>
      <c r="M256" s="7">
        <f>M258</f>
        <v>686</v>
      </c>
      <c r="N256" s="7">
        <f>N258</f>
        <v>706</v>
      </c>
      <c r="O256" s="7">
        <f>O258</f>
        <v>230</v>
      </c>
      <c r="P256" s="429">
        <f>P258</f>
        <v>596</v>
      </c>
    </row>
    <row r="257" spans="1:24" ht="40.5" hidden="1" customHeight="1" x14ac:dyDescent="0.25">
      <c r="A257" s="32"/>
      <c r="B257" s="42" t="s">
        <v>223</v>
      </c>
      <c r="C257" s="160"/>
      <c r="D257" s="31" t="s">
        <v>168</v>
      </c>
      <c r="E257" s="31" t="s">
        <v>166</v>
      </c>
      <c r="F257" s="31" t="s">
        <v>222</v>
      </c>
      <c r="G257" s="161"/>
      <c r="H257" s="161"/>
      <c r="I257" s="31" t="s">
        <v>166</v>
      </c>
      <c r="J257" s="159"/>
      <c r="K257" s="159"/>
      <c r="L257" s="159"/>
      <c r="M257" s="159"/>
      <c r="N257" s="159"/>
      <c r="O257" s="159"/>
      <c r="P257" s="430"/>
    </row>
    <row r="258" spans="1:24" ht="25.15" customHeight="1" x14ac:dyDescent="0.25">
      <c r="A258" s="32"/>
      <c r="B258" s="15" t="s">
        <v>4</v>
      </c>
      <c r="C258" s="160"/>
      <c r="D258" s="9" t="s">
        <v>168</v>
      </c>
      <c r="E258" s="9" t="s">
        <v>166</v>
      </c>
      <c r="F258" s="9" t="s">
        <v>220</v>
      </c>
      <c r="G258" s="33" t="s">
        <v>1</v>
      </c>
      <c r="H258" s="33"/>
      <c r="I258" s="9"/>
      <c r="J258" s="7">
        <v>686</v>
      </c>
      <c r="K258" s="159"/>
      <c r="L258" s="7">
        <v>686</v>
      </c>
      <c r="M258" s="7">
        <v>686</v>
      </c>
      <c r="N258" s="7">
        <f>N259</f>
        <v>706</v>
      </c>
      <c r="O258" s="7">
        <f>O259</f>
        <v>230</v>
      </c>
      <c r="P258" s="429">
        <f>P259</f>
        <v>596</v>
      </c>
    </row>
    <row r="259" spans="1:24" ht="27.65" customHeight="1" x14ac:dyDescent="0.3">
      <c r="A259" s="32"/>
      <c r="B259" s="95" t="s">
        <v>221</v>
      </c>
      <c r="C259" s="160"/>
      <c r="D259" s="9"/>
      <c r="E259" s="9"/>
      <c r="F259" s="9" t="s">
        <v>220</v>
      </c>
      <c r="G259" s="33" t="s">
        <v>1</v>
      </c>
      <c r="H259" s="9" t="s">
        <v>495</v>
      </c>
      <c r="I259" s="9" t="s">
        <v>539</v>
      </c>
      <c r="J259" s="7">
        <v>686</v>
      </c>
      <c r="K259" s="159"/>
      <c r="L259" s="7">
        <v>686</v>
      </c>
      <c r="M259" s="7">
        <v>686</v>
      </c>
      <c r="N259" s="7">
        <v>706</v>
      </c>
      <c r="O259" s="7">
        <v>230</v>
      </c>
      <c r="P259" s="429">
        <f>230+366</f>
        <v>596</v>
      </c>
    </row>
    <row r="260" spans="1:24" s="83" customFormat="1" ht="38.25" customHeight="1" x14ac:dyDescent="0.3">
      <c r="A260" s="91">
        <v>5</v>
      </c>
      <c r="B260" s="52" t="s">
        <v>219</v>
      </c>
      <c r="C260" s="89"/>
      <c r="D260" s="89" t="s">
        <v>52</v>
      </c>
      <c r="E260" s="89" t="s">
        <v>58</v>
      </c>
      <c r="F260" s="89" t="s">
        <v>218</v>
      </c>
      <c r="G260" s="131"/>
      <c r="H260" s="131"/>
      <c r="I260" s="89"/>
      <c r="J260" s="51">
        <f>J261+J276</f>
        <v>1600</v>
      </c>
      <c r="K260" s="158"/>
      <c r="L260" s="51">
        <f>L261+L276</f>
        <v>11444.685000000001</v>
      </c>
      <c r="M260" s="51">
        <f>M261+M276</f>
        <v>14038.547</v>
      </c>
      <c r="N260" s="51">
        <f>N261+N276</f>
        <v>6230</v>
      </c>
      <c r="O260" s="51">
        <f>O261+O276</f>
        <v>6170</v>
      </c>
      <c r="P260" s="50">
        <f>P261+P276</f>
        <v>6540.2</v>
      </c>
      <c r="Q260" s="84"/>
      <c r="R260" s="84"/>
      <c r="S260" s="84"/>
      <c r="T260" s="84"/>
      <c r="U260" s="84"/>
      <c r="V260" s="84"/>
      <c r="W260" s="84"/>
      <c r="X260" s="84"/>
    </row>
    <row r="261" spans="1:24" s="83" customFormat="1" ht="26" hidden="1" x14ac:dyDescent="0.3">
      <c r="A261" s="85"/>
      <c r="B261" s="157" t="s">
        <v>217</v>
      </c>
      <c r="C261" s="33"/>
      <c r="D261" s="33" t="s">
        <v>52</v>
      </c>
      <c r="E261" s="33" t="s">
        <v>58</v>
      </c>
      <c r="F261" s="33" t="s">
        <v>216</v>
      </c>
      <c r="G261" s="33"/>
      <c r="H261" s="33"/>
      <c r="I261" s="33"/>
      <c r="J261" s="53">
        <f>J262</f>
        <v>800</v>
      </c>
      <c r="K261" s="7"/>
      <c r="L261" s="7">
        <f>L263</f>
        <v>10777.685000000001</v>
      </c>
      <c r="M261" s="53">
        <f>M263</f>
        <v>13305.547</v>
      </c>
      <c r="N261" s="53">
        <f>N262</f>
        <v>3125.5</v>
      </c>
      <c r="O261" s="53">
        <f>O262</f>
        <v>0</v>
      </c>
      <c r="P261" s="429">
        <f>P262</f>
        <v>0</v>
      </c>
      <c r="Q261" s="84"/>
      <c r="R261" s="84"/>
      <c r="S261" s="84"/>
      <c r="T261" s="84"/>
      <c r="U261" s="84"/>
      <c r="V261" s="84"/>
      <c r="W261" s="84"/>
      <c r="X261" s="84"/>
    </row>
    <row r="262" spans="1:24" s="83" customFormat="1" ht="52" hidden="1" x14ac:dyDescent="0.3">
      <c r="A262" s="85"/>
      <c r="B262" s="102" t="s">
        <v>215</v>
      </c>
      <c r="C262" s="33"/>
      <c r="D262" s="33"/>
      <c r="E262" s="33"/>
      <c r="F262" s="33" t="s">
        <v>214</v>
      </c>
      <c r="G262" s="89"/>
      <c r="H262" s="89"/>
      <c r="I262" s="33"/>
      <c r="J262" s="53">
        <f>J265+J269+J272+J275</f>
        <v>800</v>
      </c>
      <c r="K262" s="7"/>
      <c r="L262" s="7"/>
      <c r="M262" s="53"/>
      <c r="N262" s="53">
        <f>N265+N269+N275</f>
        <v>3125.5</v>
      </c>
      <c r="O262" s="53">
        <f>O265+O269+O275</f>
        <v>0</v>
      </c>
      <c r="P262" s="429">
        <f>P265+P269+P275</f>
        <v>0</v>
      </c>
      <c r="Q262" s="84"/>
      <c r="R262" s="84"/>
      <c r="S262" s="84"/>
      <c r="T262" s="84"/>
      <c r="U262" s="84"/>
      <c r="V262" s="84"/>
      <c r="W262" s="84"/>
      <c r="X262" s="84"/>
    </row>
    <row r="263" spans="1:24" s="83" customFormat="1" ht="13" hidden="1" x14ac:dyDescent="0.3">
      <c r="A263" s="85"/>
      <c r="B263" s="114" t="s">
        <v>201</v>
      </c>
      <c r="C263" s="33"/>
      <c r="D263" s="33" t="s">
        <v>52</v>
      </c>
      <c r="E263" s="33" t="s">
        <v>58</v>
      </c>
      <c r="F263" s="33" t="s">
        <v>213</v>
      </c>
      <c r="G263" s="33"/>
      <c r="H263" s="33"/>
      <c r="I263" s="33"/>
      <c r="J263" s="53">
        <f>J264</f>
        <v>0</v>
      </c>
      <c r="K263" s="7"/>
      <c r="L263" s="53">
        <f>L267</f>
        <v>10777.685000000001</v>
      </c>
      <c r="M263" s="53">
        <f>M267</f>
        <v>13305.547</v>
      </c>
      <c r="N263" s="53">
        <f t="shared" ref="N263:P264" si="25">N264</f>
        <v>2530</v>
      </c>
      <c r="O263" s="53">
        <f t="shared" si="25"/>
        <v>0</v>
      </c>
      <c r="P263" s="429">
        <f t="shared" si="25"/>
        <v>0</v>
      </c>
      <c r="Q263" s="84"/>
      <c r="R263" s="84"/>
      <c r="S263" s="84"/>
      <c r="T263" s="84"/>
      <c r="U263" s="84"/>
      <c r="V263" s="84"/>
      <c r="W263" s="84"/>
      <c r="X263" s="84"/>
    </row>
    <row r="264" spans="1:24" s="83" customFormat="1" ht="26" hidden="1" x14ac:dyDescent="0.3">
      <c r="A264" s="85"/>
      <c r="B264" s="15" t="s">
        <v>4</v>
      </c>
      <c r="C264" s="33"/>
      <c r="D264" s="33"/>
      <c r="E264" s="33"/>
      <c r="F264" s="33" t="s">
        <v>213</v>
      </c>
      <c r="G264" s="33" t="s">
        <v>1</v>
      </c>
      <c r="H264" s="33"/>
      <c r="I264" s="33"/>
      <c r="J264" s="53">
        <f>J265</f>
        <v>0</v>
      </c>
      <c r="K264" s="7"/>
      <c r="L264" s="53"/>
      <c r="M264" s="53"/>
      <c r="N264" s="53">
        <f t="shared" si="25"/>
        <v>2530</v>
      </c>
      <c r="O264" s="53">
        <f t="shared" si="25"/>
        <v>0</v>
      </c>
      <c r="P264" s="429">
        <f t="shared" si="25"/>
        <v>0</v>
      </c>
      <c r="Q264" s="84"/>
      <c r="R264" s="84"/>
      <c r="S264" s="84"/>
      <c r="T264" s="84"/>
      <c r="U264" s="84"/>
      <c r="V264" s="84"/>
      <c r="W264" s="84"/>
      <c r="X264" s="84"/>
    </row>
    <row r="265" spans="1:24" s="83" customFormat="1" ht="13" hidden="1" x14ac:dyDescent="0.3">
      <c r="A265" s="85"/>
      <c r="B265" s="16" t="s">
        <v>60</v>
      </c>
      <c r="C265" s="33"/>
      <c r="D265" s="33"/>
      <c r="E265" s="33"/>
      <c r="F265" s="33" t="s">
        <v>213</v>
      </c>
      <c r="G265" s="33" t="s">
        <v>1</v>
      </c>
      <c r="H265" s="33"/>
      <c r="I265" s="33" t="s">
        <v>58</v>
      </c>
      <c r="J265" s="53"/>
      <c r="K265" s="7"/>
      <c r="L265" s="53"/>
      <c r="M265" s="53"/>
      <c r="N265" s="53">
        <v>2530</v>
      </c>
      <c r="O265" s="53"/>
      <c r="P265" s="429"/>
      <c r="Q265" s="84"/>
      <c r="R265" s="84"/>
      <c r="S265" s="84"/>
      <c r="T265" s="84"/>
      <c r="U265" s="84"/>
      <c r="V265" s="84"/>
      <c r="W265" s="84"/>
      <c r="X265" s="84"/>
    </row>
    <row r="266" spans="1:24" s="83" customFormat="1" ht="26" hidden="1" x14ac:dyDescent="0.3">
      <c r="A266" s="85"/>
      <c r="B266" s="114" t="s">
        <v>212</v>
      </c>
      <c r="C266" s="33"/>
      <c r="D266" s="33"/>
      <c r="E266" s="33"/>
      <c r="F266" s="33" t="s">
        <v>209</v>
      </c>
      <c r="G266" s="33"/>
      <c r="H266" s="33"/>
      <c r="I266" s="33"/>
      <c r="J266" s="53">
        <f>J267</f>
        <v>800</v>
      </c>
      <c r="K266" s="7"/>
      <c r="L266" s="53"/>
      <c r="M266" s="53"/>
      <c r="N266" s="53">
        <f>N267</f>
        <v>100</v>
      </c>
      <c r="O266" s="53">
        <f>O267</f>
        <v>0</v>
      </c>
      <c r="P266" s="429">
        <f>P267</f>
        <v>0</v>
      </c>
      <c r="Q266" s="84"/>
      <c r="R266" s="84"/>
      <c r="S266" s="84"/>
      <c r="T266" s="84"/>
      <c r="U266" s="84"/>
      <c r="V266" s="84"/>
      <c r="W266" s="84"/>
      <c r="X266" s="84"/>
    </row>
    <row r="267" spans="1:24" s="83" customFormat="1" ht="25.15" hidden="1" customHeight="1" x14ac:dyDescent="0.3">
      <c r="A267" s="85"/>
      <c r="B267" s="15" t="s">
        <v>4</v>
      </c>
      <c r="C267" s="33"/>
      <c r="D267" s="33" t="s">
        <v>52</v>
      </c>
      <c r="E267" s="33" t="s">
        <v>58</v>
      </c>
      <c r="F267" s="33" t="s">
        <v>209</v>
      </c>
      <c r="G267" s="33" t="s">
        <v>1</v>
      </c>
      <c r="H267" s="33"/>
      <c r="I267" s="33"/>
      <c r="J267" s="53">
        <f>J269</f>
        <v>800</v>
      </c>
      <c r="K267" s="7"/>
      <c r="L267" s="53">
        <f>22480.2-11702.515</f>
        <v>10777.685000000001</v>
      </c>
      <c r="M267" s="53">
        <v>13305.547</v>
      </c>
      <c r="N267" s="53">
        <f>N269</f>
        <v>100</v>
      </c>
      <c r="O267" s="53">
        <f>O269</f>
        <v>0</v>
      </c>
      <c r="P267" s="429">
        <f>P269</f>
        <v>0</v>
      </c>
      <c r="Q267" s="84"/>
      <c r="R267" s="84"/>
      <c r="S267" s="84"/>
      <c r="T267" s="84"/>
      <c r="U267" s="84"/>
      <c r="V267" s="84"/>
      <c r="W267" s="84"/>
      <c r="X267" s="84"/>
    </row>
    <row r="268" spans="1:24" s="83" customFormat="1" ht="52" hidden="1" x14ac:dyDescent="0.3">
      <c r="A268" s="85"/>
      <c r="B268" s="90" t="s">
        <v>211</v>
      </c>
      <c r="C268" s="89"/>
      <c r="D268" s="33" t="s">
        <v>52</v>
      </c>
      <c r="E268" s="33" t="s">
        <v>58</v>
      </c>
      <c r="F268" s="33" t="s">
        <v>210</v>
      </c>
      <c r="G268" s="89"/>
      <c r="H268" s="89"/>
      <c r="I268" s="33" t="s">
        <v>58</v>
      </c>
      <c r="J268" s="7"/>
      <c r="K268" s="7"/>
      <c r="L268" s="7"/>
      <c r="M268" s="7"/>
      <c r="N268" s="7"/>
      <c r="O268" s="7"/>
      <c r="P268" s="429"/>
      <c r="Q268" s="84"/>
      <c r="R268" s="84"/>
      <c r="S268" s="84"/>
      <c r="T268" s="84"/>
      <c r="U268" s="84"/>
      <c r="V268" s="84"/>
      <c r="W268" s="84"/>
      <c r="X268" s="84"/>
    </row>
    <row r="269" spans="1:24" s="83" customFormat="1" ht="13" hidden="1" x14ac:dyDescent="0.3">
      <c r="A269" s="85"/>
      <c r="B269" s="16" t="s">
        <v>60</v>
      </c>
      <c r="C269" s="89"/>
      <c r="D269" s="33"/>
      <c r="E269" s="33"/>
      <c r="F269" s="33" t="s">
        <v>209</v>
      </c>
      <c r="G269" s="33" t="s">
        <v>1</v>
      </c>
      <c r="H269" s="33"/>
      <c r="I269" s="33" t="s">
        <v>58</v>
      </c>
      <c r="J269" s="53">
        <v>800</v>
      </c>
      <c r="K269" s="7"/>
      <c r="L269" s="53">
        <f>22480.2-11702.515</f>
        <v>10777.685000000001</v>
      </c>
      <c r="M269" s="53">
        <v>13305.547</v>
      </c>
      <c r="N269" s="53">
        <v>100</v>
      </c>
      <c r="O269" s="53"/>
      <c r="P269" s="429"/>
      <c r="Q269" s="84"/>
      <c r="R269" s="84"/>
      <c r="S269" s="84"/>
      <c r="T269" s="84"/>
      <c r="U269" s="84"/>
      <c r="V269" s="84"/>
      <c r="W269" s="84"/>
      <c r="X269" s="84"/>
    </row>
    <row r="270" spans="1:24" s="83" customFormat="1" ht="39" hidden="1" x14ac:dyDescent="0.3">
      <c r="A270" s="85"/>
      <c r="B270" s="114" t="s">
        <v>208</v>
      </c>
      <c r="C270" s="89"/>
      <c r="D270" s="33"/>
      <c r="E270" s="33"/>
      <c r="F270" s="33" t="s">
        <v>207</v>
      </c>
      <c r="G270" s="33"/>
      <c r="H270" s="33"/>
      <c r="I270" s="33"/>
      <c r="J270" s="53">
        <f>J271</f>
        <v>0</v>
      </c>
      <c r="K270" s="7"/>
      <c r="L270" s="53"/>
      <c r="M270" s="53"/>
      <c r="N270" s="53">
        <f t="shared" ref="N270:P271" si="26">N271</f>
        <v>0</v>
      </c>
      <c r="O270" s="53">
        <f t="shared" si="26"/>
        <v>0</v>
      </c>
      <c r="P270" s="429">
        <f t="shared" si="26"/>
        <v>0</v>
      </c>
      <c r="Q270" s="84"/>
      <c r="R270" s="84"/>
      <c r="S270" s="84"/>
      <c r="T270" s="84"/>
      <c r="U270" s="84"/>
      <c r="V270" s="84"/>
      <c r="W270" s="84"/>
      <c r="X270" s="84"/>
    </row>
    <row r="271" spans="1:24" s="83" customFormat="1" ht="26" hidden="1" x14ac:dyDescent="0.3">
      <c r="A271" s="85"/>
      <c r="B271" s="15" t="s">
        <v>4</v>
      </c>
      <c r="C271" s="89"/>
      <c r="D271" s="33"/>
      <c r="E271" s="33"/>
      <c r="F271" s="33" t="s">
        <v>207</v>
      </c>
      <c r="G271" s="33" t="s">
        <v>1</v>
      </c>
      <c r="H271" s="33"/>
      <c r="I271" s="33"/>
      <c r="J271" s="53">
        <f>J272</f>
        <v>0</v>
      </c>
      <c r="K271" s="7"/>
      <c r="L271" s="53"/>
      <c r="M271" s="53"/>
      <c r="N271" s="53">
        <f t="shared" si="26"/>
        <v>0</v>
      </c>
      <c r="O271" s="53">
        <f t="shared" si="26"/>
        <v>0</v>
      </c>
      <c r="P271" s="429">
        <f t="shared" si="26"/>
        <v>0</v>
      </c>
      <c r="Q271" s="84"/>
      <c r="R271" s="84"/>
      <c r="S271" s="84"/>
      <c r="T271" s="84"/>
      <c r="U271" s="84"/>
      <c r="V271" s="84"/>
      <c r="W271" s="84"/>
      <c r="X271" s="84"/>
    </row>
    <row r="272" spans="1:24" s="83" customFormat="1" ht="13" hidden="1" x14ac:dyDescent="0.3">
      <c r="A272" s="85"/>
      <c r="B272" s="16" t="s">
        <v>60</v>
      </c>
      <c r="C272" s="89"/>
      <c r="D272" s="33"/>
      <c r="E272" s="33"/>
      <c r="F272" s="33" t="s">
        <v>207</v>
      </c>
      <c r="G272" s="33" t="s">
        <v>1</v>
      </c>
      <c r="H272" s="33"/>
      <c r="I272" s="33" t="s">
        <v>58</v>
      </c>
      <c r="J272" s="53"/>
      <c r="K272" s="7"/>
      <c r="L272" s="53"/>
      <c r="M272" s="53"/>
      <c r="N272" s="53"/>
      <c r="O272" s="53"/>
      <c r="P272" s="429"/>
      <c r="Q272" s="84"/>
      <c r="R272" s="84"/>
      <c r="S272" s="84"/>
      <c r="T272" s="84"/>
      <c r="U272" s="84"/>
      <c r="V272" s="84"/>
      <c r="W272" s="84"/>
      <c r="X272" s="84"/>
    </row>
    <row r="273" spans="1:257" s="83" customFormat="1" ht="26" hidden="1" x14ac:dyDescent="0.3">
      <c r="A273" s="85" t="s">
        <v>106</v>
      </c>
      <c r="B273" s="95" t="s">
        <v>206</v>
      </c>
      <c r="C273" s="89"/>
      <c r="D273" s="33"/>
      <c r="E273" s="33"/>
      <c r="F273" s="33" t="s">
        <v>205</v>
      </c>
      <c r="G273" s="33"/>
      <c r="H273" s="33"/>
      <c r="I273" s="33"/>
      <c r="J273" s="53">
        <f>J274</f>
        <v>0</v>
      </c>
      <c r="K273" s="7"/>
      <c r="L273" s="53"/>
      <c r="M273" s="53"/>
      <c r="N273" s="53">
        <f t="shared" ref="N273:P274" si="27">N274</f>
        <v>495.5</v>
      </c>
      <c r="O273" s="53">
        <f t="shared" si="27"/>
        <v>0</v>
      </c>
      <c r="P273" s="429">
        <f t="shared" si="27"/>
        <v>0</v>
      </c>
      <c r="Q273" s="84"/>
      <c r="R273" s="84"/>
      <c r="S273" s="84"/>
      <c r="T273" s="84"/>
      <c r="U273" s="84"/>
      <c r="V273" s="84"/>
      <c r="W273" s="84"/>
      <c r="X273" s="84"/>
    </row>
    <row r="274" spans="1:257" s="83" customFormat="1" ht="26" hidden="1" x14ac:dyDescent="0.3">
      <c r="A274" s="85"/>
      <c r="B274" s="15" t="s">
        <v>4</v>
      </c>
      <c r="C274" s="89"/>
      <c r="D274" s="33"/>
      <c r="E274" s="33"/>
      <c r="F274" s="33" t="s">
        <v>205</v>
      </c>
      <c r="G274" s="33" t="s">
        <v>1</v>
      </c>
      <c r="H274" s="33"/>
      <c r="I274" s="33"/>
      <c r="J274" s="53">
        <f>J275</f>
        <v>0</v>
      </c>
      <c r="K274" s="7"/>
      <c r="L274" s="53"/>
      <c r="M274" s="53"/>
      <c r="N274" s="53">
        <f t="shared" si="27"/>
        <v>495.5</v>
      </c>
      <c r="O274" s="53">
        <f t="shared" si="27"/>
        <v>0</v>
      </c>
      <c r="P274" s="429">
        <f t="shared" si="27"/>
        <v>0</v>
      </c>
      <c r="Q274" s="84"/>
      <c r="R274" s="84"/>
      <c r="S274" s="84"/>
      <c r="T274" s="84"/>
      <c r="U274" s="84"/>
      <c r="V274" s="84"/>
      <c r="W274" s="84"/>
      <c r="X274" s="84"/>
    </row>
    <row r="275" spans="1:257" s="83" customFormat="1" ht="13" hidden="1" x14ac:dyDescent="0.3">
      <c r="A275" s="85"/>
      <c r="B275" s="16" t="s">
        <v>60</v>
      </c>
      <c r="C275" s="89"/>
      <c r="D275" s="33"/>
      <c r="E275" s="33"/>
      <c r="F275" s="33" t="s">
        <v>205</v>
      </c>
      <c r="G275" s="33" t="s">
        <v>1</v>
      </c>
      <c r="H275" s="33"/>
      <c r="I275" s="33" t="s">
        <v>58</v>
      </c>
      <c r="J275" s="53"/>
      <c r="K275" s="7"/>
      <c r="L275" s="53"/>
      <c r="M275" s="53"/>
      <c r="N275" s="53">
        <v>495.5</v>
      </c>
      <c r="O275" s="53"/>
      <c r="P275" s="429"/>
      <c r="Q275" s="84"/>
      <c r="R275" s="84"/>
      <c r="S275" s="84"/>
      <c r="T275" s="84"/>
      <c r="U275" s="84"/>
      <c r="V275" s="84"/>
      <c r="W275" s="84"/>
      <c r="X275" s="84"/>
    </row>
    <row r="276" spans="1:257" s="83" customFormat="1" ht="42" customHeight="1" x14ac:dyDescent="0.3">
      <c r="A276" s="85"/>
      <c r="B276" s="157" t="s">
        <v>837</v>
      </c>
      <c r="C276" s="89"/>
      <c r="D276" s="33" t="s">
        <v>52</v>
      </c>
      <c r="E276" s="33" t="s">
        <v>58</v>
      </c>
      <c r="F276" s="33" t="s">
        <v>204</v>
      </c>
      <c r="G276" s="33"/>
      <c r="H276" s="33"/>
      <c r="I276" s="33"/>
      <c r="J276" s="7">
        <f>J277</f>
        <v>800</v>
      </c>
      <c r="K276" s="7"/>
      <c r="L276" s="7">
        <f>L277</f>
        <v>667</v>
      </c>
      <c r="M276" s="7">
        <f>M277</f>
        <v>733</v>
      </c>
      <c r="N276" s="7">
        <f>N280+N283</f>
        <v>3104.5</v>
      </c>
      <c r="O276" s="7">
        <f>O280+O283</f>
        <v>6170</v>
      </c>
      <c r="P276" s="429">
        <f>P280+P283</f>
        <v>6540.2</v>
      </c>
      <c r="Q276" s="84"/>
      <c r="R276" s="84"/>
      <c r="S276" s="84"/>
      <c r="T276" s="84"/>
      <c r="U276" s="84"/>
      <c r="V276" s="84"/>
      <c r="W276" s="84"/>
      <c r="X276" s="84"/>
    </row>
    <row r="277" spans="1:257" s="83" customFormat="1" ht="26" x14ac:dyDescent="0.3">
      <c r="A277" s="85"/>
      <c r="B277" s="102" t="s">
        <v>203</v>
      </c>
      <c r="C277" s="89"/>
      <c r="D277" s="33" t="s">
        <v>52</v>
      </c>
      <c r="E277" s="33" t="s">
        <v>58</v>
      </c>
      <c r="F277" s="33" t="s">
        <v>202</v>
      </c>
      <c r="G277" s="88"/>
      <c r="H277" s="88"/>
      <c r="I277" s="33"/>
      <c r="J277" s="7">
        <f>J281</f>
        <v>800</v>
      </c>
      <c r="K277" s="7"/>
      <c r="L277" s="7">
        <f>L282</f>
        <v>667</v>
      </c>
      <c r="M277" s="7">
        <f>M282</f>
        <v>733</v>
      </c>
      <c r="N277" s="7">
        <f>N281</f>
        <v>400</v>
      </c>
      <c r="O277" s="7">
        <f>O281</f>
        <v>4200</v>
      </c>
      <c r="P277" s="429">
        <f>P281</f>
        <v>4400</v>
      </c>
      <c r="Q277" s="84"/>
      <c r="R277" s="84"/>
      <c r="S277" s="84"/>
      <c r="T277" s="84"/>
      <c r="U277" s="84"/>
      <c r="V277" s="84"/>
      <c r="W277" s="84"/>
      <c r="X277" s="84"/>
    </row>
    <row r="278" spans="1:257" s="83" customFormat="1" ht="13" x14ac:dyDescent="0.3">
      <c r="A278" s="85"/>
      <c r="B278" s="114" t="s">
        <v>201</v>
      </c>
      <c r="C278" s="89"/>
      <c r="D278" s="33"/>
      <c r="E278" s="33"/>
      <c r="F278" s="33" t="s">
        <v>200</v>
      </c>
      <c r="G278" s="88"/>
      <c r="H278" s="88"/>
      <c r="I278" s="33"/>
      <c r="J278" s="7"/>
      <c r="K278" s="7"/>
      <c r="L278" s="7"/>
      <c r="M278" s="7"/>
      <c r="N278" s="7">
        <f t="shared" ref="N278:P279" si="28">N279</f>
        <v>2704.5</v>
      </c>
      <c r="O278" s="7">
        <f t="shared" si="28"/>
        <v>1970</v>
      </c>
      <c r="P278" s="429">
        <f t="shared" si="28"/>
        <v>2140.1999999999998</v>
      </c>
      <c r="Q278" s="84"/>
      <c r="R278" s="84"/>
      <c r="S278" s="84"/>
      <c r="T278" s="84"/>
      <c r="U278" s="84"/>
      <c r="V278" s="84"/>
      <c r="W278" s="84"/>
      <c r="X278" s="84"/>
    </row>
    <row r="279" spans="1:257" s="83" customFormat="1" ht="26" x14ac:dyDescent="0.3">
      <c r="A279" s="85"/>
      <c r="B279" s="15" t="s">
        <v>4</v>
      </c>
      <c r="C279" s="89"/>
      <c r="D279" s="33"/>
      <c r="E279" s="33"/>
      <c r="F279" s="33" t="s">
        <v>200</v>
      </c>
      <c r="G279" s="88">
        <v>240</v>
      </c>
      <c r="H279" s="88"/>
      <c r="I279" s="33"/>
      <c r="J279" s="7"/>
      <c r="K279" s="7"/>
      <c r="L279" s="7"/>
      <c r="M279" s="7"/>
      <c r="N279" s="7">
        <f t="shared" si="28"/>
        <v>2704.5</v>
      </c>
      <c r="O279" s="7">
        <f t="shared" si="28"/>
        <v>1970</v>
      </c>
      <c r="P279" s="429">
        <f t="shared" si="28"/>
        <v>2140.1999999999998</v>
      </c>
      <c r="Q279" s="84"/>
      <c r="R279" s="84"/>
      <c r="S279" s="84"/>
      <c r="T279" s="84"/>
      <c r="U279" s="84"/>
      <c r="V279" s="84"/>
      <c r="W279" s="84"/>
      <c r="X279" s="84"/>
    </row>
    <row r="280" spans="1:257" s="83" customFormat="1" ht="13" x14ac:dyDescent="0.3">
      <c r="A280" s="85"/>
      <c r="B280" s="16" t="s">
        <v>60</v>
      </c>
      <c r="C280" s="89"/>
      <c r="D280" s="33"/>
      <c r="E280" s="33"/>
      <c r="F280" s="33" t="s">
        <v>200</v>
      </c>
      <c r="G280" s="88">
        <v>240</v>
      </c>
      <c r="H280" s="9" t="s">
        <v>452</v>
      </c>
      <c r="I280" s="33" t="s">
        <v>539</v>
      </c>
      <c r="J280" s="7"/>
      <c r="K280" s="7"/>
      <c r="L280" s="7"/>
      <c r="M280" s="7"/>
      <c r="N280" s="7">
        <v>2704.5</v>
      </c>
      <c r="O280" s="53">
        <v>1970</v>
      </c>
      <c r="P280" s="429">
        <f>1970+170.2</f>
        <v>2140.1999999999998</v>
      </c>
      <c r="Q280" s="84"/>
      <c r="R280" s="84"/>
      <c r="S280" s="84"/>
      <c r="T280" s="84"/>
      <c r="U280" s="84"/>
      <c r="V280" s="84"/>
      <c r="W280" s="84"/>
      <c r="X280" s="84"/>
    </row>
    <row r="281" spans="1:257" s="83" customFormat="1" ht="26" x14ac:dyDescent="0.3">
      <c r="A281" s="85"/>
      <c r="B281" s="114" t="s">
        <v>199</v>
      </c>
      <c r="C281" s="89"/>
      <c r="D281" s="33"/>
      <c r="E281" s="33"/>
      <c r="F281" s="33" t="s">
        <v>198</v>
      </c>
      <c r="G281" s="88"/>
      <c r="H281" s="88"/>
      <c r="I281" s="33"/>
      <c r="J281" s="7">
        <f>J282</f>
        <v>800</v>
      </c>
      <c r="K281" s="7"/>
      <c r="L281" s="7"/>
      <c r="M281" s="7"/>
      <c r="N281" s="7">
        <f t="shared" ref="N281:P282" si="29">N282</f>
        <v>400</v>
      </c>
      <c r="O281" s="7">
        <f t="shared" si="29"/>
        <v>4200</v>
      </c>
      <c r="P281" s="429">
        <f t="shared" si="29"/>
        <v>4400</v>
      </c>
      <c r="Q281" s="84"/>
      <c r="R281" s="84"/>
      <c r="S281" s="84"/>
      <c r="T281" s="84"/>
      <c r="U281" s="84"/>
      <c r="V281" s="84"/>
      <c r="W281" s="84"/>
      <c r="X281" s="84"/>
    </row>
    <row r="282" spans="1:257" s="83" customFormat="1" ht="25.15" customHeight="1" x14ac:dyDescent="0.3">
      <c r="A282" s="85"/>
      <c r="B282" s="15" t="s">
        <v>4</v>
      </c>
      <c r="C282" s="89"/>
      <c r="D282" s="33" t="s">
        <v>52</v>
      </c>
      <c r="E282" s="33" t="s">
        <v>58</v>
      </c>
      <c r="F282" s="33" t="s">
        <v>198</v>
      </c>
      <c r="G282" s="88">
        <v>240</v>
      </c>
      <c r="H282" s="88"/>
      <c r="I282" s="33"/>
      <c r="J282" s="7">
        <f>J283</f>
        <v>800</v>
      </c>
      <c r="K282" s="7"/>
      <c r="L282" s="7">
        <v>667</v>
      </c>
      <c r="M282" s="7">
        <v>733</v>
      </c>
      <c r="N282" s="7">
        <f t="shared" si="29"/>
        <v>400</v>
      </c>
      <c r="O282" s="7">
        <f t="shared" si="29"/>
        <v>4200</v>
      </c>
      <c r="P282" s="429">
        <f t="shared" si="29"/>
        <v>4400</v>
      </c>
      <c r="Q282" s="84"/>
      <c r="R282" s="84"/>
      <c r="S282" s="84"/>
      <c r="T282" s="84"/>
      <c r="U282" s="84"/>
      <c r="V282" s="84"/>
      <c r="W282" s="84"/>
      <c r="X282" s="84"/>
    </row>
    <row r="283" spans="1:257" s="83" customFormat="1" ht="13" x14ac:dyDescent="0.3">
      <c r="A283" s="85"/>
      <c r="B283" s="16" t="s">
        <v>60</v>
      </c>
      <c r="C283" s="89"/>
      <c r="D283" s="33"/>
      <c r="E283" s="33"/>
      <c r="F283" s="33" t="s">
        <v>198</v>
      </c>
      <c r="G283" s="88">
        <v>240</v>
      </c>
      <c r="H283" s="9" t="s">
        <v>452</v>
      </c>
      <c r="I283" s="33" t="s">
        <v>539</v>
      </c>
      <c r="J283" s="7">
        <v>800</v>
      </c>
      <c r="K283" s="7"/>
      <c r="L283" s="7">
        <v>667</v>
      </c>
      <c r="M283" s="7">
        <v>733</v>
      </c>
      <c r="N283" s="7">
        <v>400</v>
      </c>
      <c r="O283" s="7">
        <v>4200</v>
      </c>
      <c r="P283" s="429">
        <f>1200+3200</f>
        <v>4400</v>
      </c>
      <c r="Q283" s="84"/>
      <c r="R283" s="84"/>
      <c r="S283" s="84"/>
      <c r="T283" s="84"/>
      <c r="U283" s="84"/>
      <c r="V283" s="84"/>
      <c r="W283" s="84"/>
      <c r="X283" s="84"/>
    </row>
    <row r="284" spans="1:257" ht="39" x14ac:dyDescent="0.25">
      <c r="A284" s="156">
        <v>6</v>
      </c>
      <c r="B284" s="155" t="s">
        <v>197</v>
      </c>
      <c r="C284" s="152"/>
      <c r="D284" s="154" t="s">
        <v>15</v>
      </c>
      <c r="E284" s="152" t="s">
        <v>13</v>
      </c>
      <c r="F284" s="152" t="s">
        <v>196</v>
      </c>
      <c r="G284" s="153"/>
      <c r="H284" s="153"/>
      <c r="I284" s="152"/>
      <c r="J284" s="150">
        <f>J285</f>
        <v>3497.6120000000001</v>
      </c>
      <c r="K284" s="151"/>
      <c r="L284" s="150">
        <f>L286</f>
        <v>4000</v>
      </c>
      <c r="M284" s="150">
        <f>M286</f>
        <v>0</v>
      </c>
      <c r="N284" s="150">
        <f t="shared" ref="N284:P286" si="30">N285</f>
        <v>2200</v>
      </c>
      <c r="O284" s="150">
        <f t="shared" si="30"/>
        <v>1800</v>
      </c>
      <c r="P284" s="712">
        <f t="shared" si="30"/>
        <v>2500</v>
      </c>
    </row>
    <row r="285" spans="1:257" s="2" customFormat="1" ht="31.15" customHeight="1" x14ac:dyDescent="0.25">
      <c r="A285" s="149"/>
      <c r="B285" s="148" t="s">
        <v>195</v>
      </c>
      <c r="C285" s="148"/>
      <c r="D285" s="148"/>
      <c r="E285" s="148"/>
      <c r="F285" s="9" t="s">
        <v>194</v>
      </c>
      <c r="G285" s="148"/>
      <c r="H285" s="148"/>
      <c r="I285" s="148"/>
      <c r="J285" s="147">
        <f>J286</f>
        <v>3497.6120000000001</v>
      </c>
      <c r="K285" s="148"/>
      <c r="L285" s="148"/>
      <c r="M285" s="148"/>
      <c r="N285" s="147">
        <f t="shared" si="30"/>
        <v>2200</v>
      </c>
      <c r="O285" s="147">
        <f t="shared" si="30"/>
        <v>1800</v>
      </c>
      <c r="P285" s="544">
        <f t="shared" si="30"/>
        <v>2500</v>
      </c>
      <c r="Q285" s="146"/>
      <c r="R285" s="146"/>
      <c r="S285" s="146"/>
      <c r="T285" s="146"/>
      <c r="U285" s="146"/>
      <c r="V285" s="146"/>
      <c r="W285" s="146"/>
      <c r="X285" s="146"/>
      <c r="Y285" s="146"/>
      <c r="Z285" s="146"/>
      <c r="AA285" s="146"/>
      <c r="AB285" s="146"/>
      <c r="AC285" s="146"/>
      <c r="AD285" s="146"/>
      <c r="AE285" s="146"/>
      <c r="AF285" s="146"/>
      <c r="AG285" s="146"/>
      <c r="AH285" s="146"/>
      <c r="AI285" s="146"/>
      <c r="AJ285" s="146"/>
      <c r="AK285" s="146"/>
      <c r="AL285" s="146"/>
      <c r="AM285" s="146"/>
      <c r="AN285" s="146"/>
      <c r="AO285" s="146"/>
      <c r="AP285" s="146"/>
      <c r="AQ285" s="146"/>
      <c r="AR285" s="146"/>
      <c r="AS285" s="146"/>
      <c r="AT285" s="146"/>
      <c r="AU285" s="146"/>
      <c r="AV285" s="146"/>
      <c r="AW285" s="146"/>
      <c r="AX285" s="146"/>
      <c r="AY285" s="146"/>
      <c r="AZ285" s="146"/>
      <c r="BA285" s="146"/>
      <c r="BB285" s="146"/>
      <c r="BC285" s="146"/>
      <c r="BD285" s="146"/>
      <c r="BE285" s="146"/>
      <c r="BF285" s="146"/>
      <c r="BG285" s="146"/>
      <c r="BH285" s="146"/>
      <c r="BI285" s="146"/>
      <c r="BJ285" s="146"/>
      <c r="BK285" s="146"/>
      <c r="BL285" s="146"/>
      <c r="BM285" s="146"/>
      <c r="BN285" s="146"/>
      <c r="BO285" s="146"/>
      <c r="BP285" s="146"/>
      <c r="BQ285" s="146"/>
      <c r="BR285" s="146"/>
      <c r="BS285" s="146"/>
      <c r="BT285" s="146"/>
      <c r="BU285" s="146"/>
      <c r="BV285" s="146"/>
      <c r="BW285" s="146"/>
      <c r="BX285" s="146"/>
      <c r="BY285" s="146"/>
      <c r="BZ285" s="146"/>
      <c r="CA285" s="146"/>
      <c r="CB285" s="146"/>
      <c r="CC285" s="146"/>
      <c r="CD285" s="146"/>
      <c r="CE285" s="146"/>
      <c r="CF285" s="146"/>
      <c r="CG285" s="146"/>
      <c r="CH285" s="146"/>
      <c r="CI285" s="146"/>
      <c r="CJ285" s="146"/>
      <c r="CK285" s="146"/>
      <c r="CL285" s="146"/>
      <c r="CM285" s="146"/>
      <c r="CN285" s="146"/>
      <c r="CO285" s="146"/>
      <c r="CP285" s="146"/>
      <c r="CQ285" s="146"/>
      <c r="CR285" s="146"/>
      <c r="CS285" s="146"/>
      <c r="CT285" s="146"/>
      <c r="CU285" s="146"/>
      <c r="CV285" s="146"/>
      <c r="CW285" s="146"/>
      <c r="CX285" s="146"/>
      <c r="CY285" s="146"/>
      <c r="CZ285" s="146"/>
      <c r="DA285" s="146"/>
      <c r="DB285" s="146"/>
      <c r="DC285" s="146"/>
      <c r="DD285" s="146"/>
      <c r="DE285" s="146"/>
      <c r="DF285" s="146"/>
      <c r="DG285" s="146"/>
      <c r="DH285" s="146"/>
      <c r="DI285" s="146"/>
      <c r="DJ285" s="146"/>
      <c r="DK285" s="146"/>
      <c r="DL285" s="146"/>
      <c r="DM285" s="146"/>
      <c r="DN285" s="146"/>
      <c r="DO285" s="146"/>
      <c r="DP285" s="146"/>
      <c r="DQ285" s="146"/>
      <c r="DR285" s="146"/>
      <c r="DS285" s="146"/>
      <c r="DT285" s="146"/>
      <c r="DU285" s="146"/>
      <c r="DV285" s="146"/>
      <c r="DW285" s="146"/>
      <c r="DX285" s="146"/>
      <c r="DY285" s="146"/>
      <c r="DZ285" s="146"/>
      <c r="EA285" s="146"/>
      <c r="EB285" s="146"/>
      <c r="EC285" s="146"/>
      <c r="ED285" s="146"/>
      <c r="EE285" s="146"/>
      <c r="EF285" s="146"/>
      <c r="EG285" s="146"/>
      <c r="EH285" s="146"/>
      <c r="EI285" s="146"/>
      <c r="EJ285" s="146"/>
      <c r="EK285" s="146"/>
      <c r="EL285" s="146"/>
      <c r="EM285" s="146"/>
      <c r="EN285" s="146"/>
      <c r="EO285" s="146"/>
      <c r="EP285" s="146"/>
      <c r="EQ285" s="146"/>
      <c r="ER285" s="146"/>
      <c r="ES285" s="146"/>
      <c r="ET285" s="146"/>
      <c r="EU285" s="146"/>
      <c r="EV285" s="146"/>
      <c r="EW285" s="146"/>
      <c r="EX285" s="146"/>
      <c r="EY285" s="146"/>
      <c r="EZ285" s="146"/>
      <c r="FA285" s="146"/>
      <c r="FB285" s="146"/>
      <c r="FC285" s="146"/>
      <c r="FD285" s="146"/>
      <c r="FE285" s="146"/>
      <c r="FF285" s="146"/>
      <c r="FG285" s="146"/>
      <c r="FH285" s="146"/>
      <c r="FI285" s="146"/>
      <c r="FJ285" s="146"/>
      <c r="FK285" s="146"/>
      <c r="FL285" s="146"/>
      <c r="FM285" s="146"/>
      <c r="FN285" s="146"/>
      <c r="FO285" s="146"/>
      <c r="FP285" s="146"/>
      <c r="FQ285" s="146"/>
      <c r="FR285" s="146"/>
      <c r="FS285" s="146"/>
      <c r="FT285" s="146"/>
      <c r="FU285" s="146"/>
      <c r="FV285" s="146"/>
      <c r="FW285" s="146"/>
      <c r="FX285" s="146"/>
      <c r="FY285" s="146"/>
      <c r="FZ285" s="146"/>
      <c r="GA285" s="146"/>
      <c r="GB285" s="146"/>
      <c r="GC285" s="146"/>
      <c r="GD285" s="146"/>
      <c r="GE285" s="146"/>
      <c r="GF285" s="146"/>
      <c r="GG285" s="146"/>
      <c r="GH285" s="146"/>
      <c r="GI285" s="146"/>
      <c r="GJ285" s="146"/>
      <c r="GK285" s="146"/>
      <c r="GL285" s="146"/>
      <c r="GM285" s="146"/>
      <c r="GN285" s="146"/>
      <c r="GO285" s="146"/>
      <c r="GP285" s="146"/>
      <c r="GQ285" s="146"/>
      <c r="GR285" s="146"/>
      <c r="GS285" s="146"/>
      <c r="GT285" s="146"/>
      <c r="GU285" s="146"/>
      <c r="GV285" s="146"/>
      <c r="GW285" s="146"/>
      <c r="GX285" s="146"/>
      <c r="GY285" s="146"/>
      <c r="GZ285" s="146"/>
      <c r="HA285" s="146"/>
      <c r="HB285" s="146"/>
      <c r="HC285" s="146"/>
      <c r="HD285" s="146"/>
      <c r="HE285" s="146"/>
      <c r="HF285" s="146"/>
      <c r="HG285" s="146"/>
      <c r="HH285" s="146"/>
      <c r="HI285" s="146"/>
      <c r="HJ285" s="146"/>
      <c r="HK285" s="146"/>
      <c r="HL285" s="146"/>
      <c r="HM285" s="146"/>
      <c r="HN285" s="146"/>
      <c r="HO285" s="146"/>
      <c r="HP285" s="146"/>
      <c r="HQ285" s="146"/>
      <c r="HR285" s="146"/>
      <c r="HS285" s="146"/>
      <c r="HT285" s="146"/>
      <c r="HU285" s="146"/>
      <c r="HV285" s="146"/>
      <c r="HW285" s="146"/>
      <c r="HX285" s="146"/>
      <c r="HY285" s="146"/>
      <c r="HZ285" s="146"/>
      <c r="IA285" s="146"/>
      <c r="IB285" s="146"/>
      <c r="IC285" s="146"/>
      <c r="ID285" s="146"/>
      <c r="IE285" s="146"/>
      <c r="IF285" s="146"/>
      <c r="IG285" s="146"/>
      <c r="IH285" s="146"/>
      <c r="II285" s="146"/>
      <c r="IJ285" s="146"/>
      <c r="IK285" s="146"/>
      <c r="IL285" s="146"/>
      <c r="IM285" s="146"/>
      <c r="IN285" s="146"/>
      <c r="IO285" s="146"/>
      <c r="IP285" s="146"/>
      <c r="IQ285" s="146"/>
      <c r="IR285" s="146"/>
      <c r="IS285" s="146"/>
      <c r="IT285" s="146"/>
      <c r="IU285" s="146"/>
      <c r="IV285" s="146"/>
      <c r="IW285" s="146"/>
    </row>
    <row r="286" spans="1:257" ht="26" x14ac:dyDescent="0.25">
      <c r="A286" s="145"/>
      <c r="B286" s="144" t="s">
        <v>193</v>
      </c>
      <c r="C286" s="142"/>
      <c r="D286" s="143" t="s">
        <v>15</v>
      </c>
      <c r="E286" s="142" t="s">
        <v>13</v>
      </c>
      <c r="F286" s="142" t="s">
        <v>191</v>
      </c>
      <c r="G286" s="142"/>
      <c r="H286" s="142"/>
      <c r="I286" s="142"/>
      <c r="J286" s="139">
        <f>J287</f>
        <v>3497.6120000000001</v>
      </c>
      <c r="K286" s="141"/>
      <c r="L286" s="141">
        <f>L287</f>
        <v>4000</v>
      </c>
      <c r="M286" s="140">
        <f>M287</f>
        <v>0</v>
      </c>
      <c r="N286" s="139">
        <f t="shared" si="30"/>
        <v>2200</v>
      </c>
      <c r="O286" s="139">
        <f t="shared" si="30"/>
        <v>1800</v>
      </c>
      <c r="P286" s="431">
        <f t="shared" si="30"/>
        <v>2500</v>
      </c>
    </row>
    <row r="287" spans="1:257" ht="13" x14ac:dyDescent="0.25">
      <c r="A287" s="32"/>
      <c r="B287" s="58" t="s">
        <v>28</v>
      </c>
      <c r="C287" s="9"/>
      <c r="D287" s="88" t="s">
        <v>15</v>
      </c>
      <c r="E287" s="9" t="s">
        <v>13</v>
      </c>
      <c r="F287" s="9" t="s">
        <v>191</v>
      </c>
      <c r="G287" s="9" t="s">
        <v>26</v>
      </c>
      <c r="H287" s="9"/>
      <c r="I287" s="9"/>
      <c r="J287" s="53">
        <f>J289</f>
        <v>3497.6120000000001</v>
      </c>
      <c r="K287" s="138"/>
      <c r="L287" s="137">
        <v>4000</v>
      </c>
      <c r="M287" s="78"/>
      <c r="N287" s="53">
        <f>N289</f>
        <v>2200</v>
      </c>
      <c r="O287" s="53">
        <f>O289</f>
        <v>1800</v>
      </c>
      <c r="P287" s="429">
        <f>P289</f>
        <v>2500</v>
      </c>
    </row>
    <row r="288" spans="1:257" ht="52" hidden="1" x14ac:dyDescent="0.25">
      <c r="A288" s="32"/>
      <c r="B288" s="58" t="s">
        <v>192</v>
      </c>
      <c r="C288" s="9"/>
      <c r="D288" s="88" t="s">
        <v>15</v>
      </c>
      <c r="E288" s="9" t="s">
        <v>13</v>
      </c>
      <c r="F288" s="9" t="s">
        <v>191</v>
      </c>
      <c r="G288" s="9"/>
      <c r="H288" s="9"/>
      <c r="I288" s="9" t="s">
        <v>13</v>
      </c>
      <c r="J288" s="78"/>
      <c r="K288" s="78"/>
      <c r="L288" s="78"/>
      <c r="M288" s="78"/>
      <c r="N288" s="78"/>
      <c r="O288" s="78"/>
      <c r="P288" s="96"/>
    </row>
    <row r="289" spans="1:16" ht="13" x14ac:dyDescent="0.25">
      <c r="A289" s="32"/>
      <c r="B289" s="58" t="s">
        <v>39</v>
      </c>
      <c r="C289" s="9"/>
      <c r="D289" s="88"/>
      <c r="E289" s="9"/>
      <c r="F289" s="9" t="s">
        <v>191</v>
      </c>
      <c r="G289" s="9" t="s">
        <v>26</v>
      </c>
      <c r="H289" s="9" t="s">
        <v>463</v>
      </c>
      <c r="I289" s="9" t="s">
        <v>488</v>
      </c>
      <c r="J289" s="53">
        <v>3497.6120000000001</v>
      </c>
      <c r="K289" s="78"/>
      <c r="L289" s="78"/>
      <c r="M289" s="78"/>
      <c r="N289" s="53">
        <v>2200</v>
      </c>
      <c r="O289" s="53">
        <v>1800</v>
      </c>
      <c r="P289" s="429">
        <v>2500</v>
      </c>
    </row>
    <row r="290" spans="1:16" ht="56.5" customHeight="1" x14ac:dyDescent="0.25">
      <c r="A290" s="91">
        <v>7</v>
      </c>
      <c r="B290" s="132" t="s">
        <v>190</v>
      </c>
      <c r="C290" s="9"/>
      <c r="D290" s="34" t="s">
        <v>15</v>
      </c>
      <c r="E290" s="34" t="s">
        <v>32</v>
      </c>
      <c r="F290" s="34" t="s">
        <v>189</v>
      </c>
      <c r="G290" s="131"/>
      <c r="H290" s="131"/>
      <c r="I290" s="34"/>
      <c r="J290" s="51">
        <f>J291</f>
        <v>7617.2000000000007</v>
      </c>
      <c r="K290" s="131"/>
      <c r="L290" s="51">
        <f>L292+L295</f>
        <v>7617.2</v>
      </c>
      <c r="M290" s="136">
        <f>M292+M295</f>
        <v>7463.8</v>
      </c>
      <c r="N290" s="51">
        <f>N291</f>
        <v>44242.388999999996</v>
      </c>
      <c r="O290" s="51">
        <f>O291</f>
        <v>41817.447</v>
      </c>
      <c r="P290" s="50">
        <f>P291</f>
        <v>44044.67</v>
      </c>
    </row>
    <row r="291" spans="1:16" ht="56.5" customHeight="1" x14ac:dyDescent="0.25">
      <c r="A291" s="91"/>
      <c r="B291" s="114" t="s">
        <v>188</v>
      </c>
      <c r="C291" s="9"/>
      <c r="D291" s="34"/>
      <c r="E291" s="34"/>
      <c r="F291" s="9" t="s">
        <v>187</v>
      </c>
      <c r="G291" s="131"/>
      <c r="H291" s="131"/>
      <c r="I291" s="34"/>
      <c r="J291" s="47">
        <f>J292+J295</f>
        <v>7617.2000000000007</v>
      </c>
      <c r="K291" s="131"/>
      <c r="L291" s="51"/>
      <c r="M291" s="136"/>
      <c r="N291" s="47">
        <f>N292+N295</f>
        <v>44242.388999999996</v>
      </c>
      <c r="O291" s="47">
        <f>O292+O295</f>
        <v>41817.447</v>
      </c>
      <c r="P291" s="46">
        <f>P292+P295</f>
        <v>44044.67</v>
      </c>
    </row>
    <row r="292" spans="1:16" ht="39" x14ac:dyDescent="0.25">
      <c r="A292" s="32"/>
      <c r="B292" s="49" t="s">
        <v>186</v>
      </c>
      <c r="C292" s="9"/>
      <c r="D292" s="34" t="s">
        <v>15</v>
      </c>
      <c r="E292" s="34" t="s">
        <v>32</v>
      </c>
      <c r="F292" s="9" t="s">
        <v>185</v>
      </c>
      <c r="G292" s="9"/>
      <c r="H292" s="9"/>
      <c r="I292" s="34"/>
      <c r="J292" s="53">
        <f>J293</f>
        <v>5253.4660000000003</v>
      </c>
      <c r="K292" s="78"/>
      <c r="L292" s="78">
        <f>L293</f>
        <v>5406.2</v>
      </c>
      <c r="M292" s="78">
        <f>M293</f>
        <v>5230.3</v>
      </c>
      <c r="N292" s="53">
        <f>N293</f>
        <v>23803.393</v>
      </c>
      <c r="O292" s="53">
        <f>O293</f>
        <v>11794.380000000001</v>
      </c>
      <c r="P292" s="429">
        <f>P293</f>
        <v>13021.602999999999</v>
      </c>
    </row>
    <row r="293" spans="1:16" ht="25.15" customHeight="1" x14ac:dyDescent="0.25">
      <c r="A293" s="32"/>
      <c r="B293" s="15" t="s">
        <v>4</v>
      </c>
      <c r="C293" s="9"/>
      <c r="D293" s="9" t="s">
        <v>15</v>
      </c>
      <c r="E293" s="9" t="s">
        <v>32</v>
      </c>
      <c r="F293" s="9" t="s">
        <v>185</v>
      </c>
      <c r="G293" s="9" t="s">
        <v>1</v>
      </c>
      <c r="H293" s="9"/>
      <c r="I293" s="9"/>
      <c r="J293" s="53">
        <f>J294</f>
        <v>5253.4660000000003</v>
      </c>
      <c r="K293" s="78"/>
      <c r="L293" s="53">
        <v>5406.2</v>
      </c>
      <c r="M293" s="53">
        <v>5230.3</v>
      </c>
      <c r="N293" s="53">
        <f>N294</f>
        <v>23803.393</v>
      </c>
      <c r="O293" s="53">
        <f>O294</f>
        <v>11794.380000000001</v>
      </c>
      <c r="P293" s="429">
        <f>P294</f>
        <v>13021.602999999999</v>
      </c>
    </row>
    <row r="294" spans="1:16" ht="13" x14ac:dyDescent="0.3">
      <c r="A294" s="32"/>
      <c r="B294" s="16" t="s">
        <v>34</v>
      </c>
      <c r="C294" s="9"/>
      <c r="D294" s="9"/>
      <c r="E294" s="9"/>
      <c r="F294" s="9" t="s">
        <v>185</v>
      </c>
      <c r="G294" s="9" t="s">
        <v>1</v>
      </c>
      <c r="H294" s="9" t="s">
        <v>463</v>
      </c>
      <c r="I294" s="9" t="s">
        <v>495</v>
      </c>
      <c r="J294" s="53">
        <v>5253.4660000000003</v>
      </c>
      <c r="K294" s="78"/>
      <c r="L294" s="53"/>
      <c r="M294" s="53"/>
      <c r="N294" s="53">
        <v>23803.393</v>
      </c>
      <c r="O294" s="53">
        <f>6794.38+5000</f>
        <v>11794.380000000001</v>
      </c>
      <c r="P294" s="429">
        <f>11794.38+1227.223</f>
        <v>13021.602999999999</v>
      </c>
    </row>
    <row r="295" spans="1:16" ht="39" x14ac:dyDescent="0.25">
      <c r="A295" s="32"/>
      <c r="B295" s="49" t="s">
        <v>184</v>
      </c>
      <c r="C295" s="9"/>
      <c r="D295" s="34" t="s">
        <v>15</v>
      </c>
      <c r="E295" s="34" t="s">
        <v>32</v>
      </c>
      <c r="F295" s="9" t="s">
        <v>183</v>
      </c>
      <c r="G295" s="9"/>
      <c r="H295" s="9"/>
      <c r="I295" s="34"/>
      <c r="J295" s="53">
        <f>J296</f>
        <v>2363.7339999999999</v>
      </c>
      <c r="K295" s="87"/>
      <c r="L295" s="87">
        <f>L296</f>
        <v>2211</v>
      </c>
      <c r="M295" s="87">
        <f>M296</f>
        <v>2233.5</v>
      </c>
      <c r="N295" s="53">
        <f>N296</f>
        <v>20438.995999999999</v>
      </c>
      <c r="O295" s="53">
        <f>O296</f>
        <v>30023.066999999999</v>
      </c>
      <c r="P295" s="429">
        <f>P296</f>
        <v>31023.066999999999</v>
      </c>
    </row>
    <row r="296" spans="1:16" ht="25.15" customHeight="1" x14ac:dyDescent="0.25">
      <c r="A296" s="32"/>
      <c r="B296" s="15" t="s">
        <v>4</v>
      </c>
      <c r="C296" s="9"/>
      <c r="D296" s="9" t="s">
        <v>15</v>
      </c>
      <c r="E296" s="9" t="s">
        <v>32</v>
      </c>
      <c r="F296" s="9" t="s">
        <v>183</v>
      </c>
      <c r="G296" s="9" t="s">
        <v>1</v>
      </c>
      <c r="H296" s="9"/>
      <c r="I296" s="9"/>
      <c r="J296" s="53">
        <f>J298</f>
        <v>2363.7339999999999</v>
      </c>
      <c r="K296" s="87"/>
      <c r="L296" s="87">
        <v>2211</v>
      </c>
      <c r="M296" s="87">
        <v>2233.5</v>
      </c>
      <c r="N296" s="53">
        <f>N298</f>
        <v>20438.995999999999</v>
      </c>
      <c r="O296" s="53">
        <f>O298</f>
        <v>30023.066999999999</v>
      </c>
      <c r="P296" s="429">
        <f>P298</f>
        <v>31023.066999999999</v>
      </c>
    </row>
    <row r="297" spans="1:16" ht="18.649999999999999" hidden="1" customHeight="1" x14ac:dyDescent="0.3">
      <c r="A297" s="32"/>
      <c r="B297" s="86"/>
      <c r="C297" s="9"/>
      <c r="D297" s="9"/>
      <c r="E297" s="9"/>
      <c r="F297" s="9"/>
      <c r="G297" s="9"/>
      <c r="H297" s="9"/>
      <c r="I297" s="9"/>
      <c r="J297" s="53"/>
      <c r="K297" s="87"/>
      <c r="L297" s="87"/>
      <c r="M297" s="87"/>
      <c r="N297" s="53"/>
      <c r="O297" s="53"/>
      <c r="P297" s="429"/>
    </row>
    <row r="298" spans="1:16" ht="13" x14ac:dyDescent="0.3">
      <c r="A298" s="32"/>
      <c r="B298" s="16" t="s">
        <v>34</v>
      </c>
      <c r="C298" s="9"/>
      <c r="D298" s="9"/>
      <c r="E298" s="9"/>
      <c r="F298" s="9" t="s">
        <v>183</v>
      </c>
      <c r="G298" s="9" t="s">
        <v>1</v>
      </c>
      <c r="H298" s="9" t="s">
        <v>463</v>
      </c>
      <c r="I298" s="9" t="s">
        <v>495</v>
      </c>
      <c r="J298" s="53">
        <v>2363.7339999999999</v>
      </c>
      <c r="K298" s="87"/>
      <c r="L298" s="87"/>
      <c r="M298" s="87"/>
      <c r="N298" s="53">
        <v>20438.995999999999</v>
      </c>
      <c r="O298" s="53">
        <f>25023.067+5000</f>
        <v>30023.066999999999</v>
      </c>
      <c r="P298" s="429">
        <f>30023.067+1000</f>
        <v>31023.066999999999</v>
      </c>
    </row>
    <row r="299" spans="1:16" ht="65" x14ac:dyDescent="0.25">
      <c r="A299" s="91">
        <v>8</v>
      </c>
      <c r="B299" s="135" t="s">
        <v>182</v>
      </c>
      <c r="C299" s="9"/>
      <c r="D299" s="9"/>
      <c r="E299" s="9"/>
      <c r="F299" s="34" t="s">
        <v>181</v>
      </c>
      <c r="G299" s="9"/>
      <c r="H299" s="9"/>
      <c r="I299" s="9"/>
      <c r="J299" s="53"/>
      <c r="K299" s="87"/>
      <c r="L299" s="87"/>
      <c r="M299" s="87"/>
      <c r="N299" s="87">
        <f>N300</f>
        <v>3648.4989999999998</v>
      </c>
      <c r="O299" s="87">
        <f>O300</f>
        <v>12571.741999999998</v>
      </c>
      <c r="P299" s="96">
        <f>P300</f>
        <v>9649.3109999999997</v>
      </c>
    </row>
    <row r="300" spans="1:16" ht="39" x14ac:dyDescent="0.25">
      <c r="A300" s="32"/>
      <c r="B300" s="102" t="s">
        <v>180</v>
      </c>
      <c r="C300" s="9"/>
      <c r="D300" s="9"/>
      <c r="E300" s="9"/>
      <c r="F300" s="9" t="s">
        <v>179</v>
      </c>
      <c r="G300" s="9"/>
      <c r="H300" s="9"/>
      <c r="I300" s="9"/>
      <c r="J300" s="53"/>
      <c r="K300" s="87"/>
      <c r="L300" s="87"/>
      <c r="M300" s="87"/>
      <c r="N300" s="53">
        <f>N304+N301</f>
        <v>3648.4989999999998</v>
      </c>
      <c r="O300" s="53">
        <f>O304+O301</f>
        <v>12571.741999999998</v>
      </c>
      <c r="P300" s="429">
        <f>P304+P301</f>
        <v>9649.3109999999997</v>
      </c>
    </row>
    <row r="301" spans="1:16" ht="39" x14ac:dyDescent="0.25">
      <c r="A301" s="32"/>
      <c r="B301" s="114" t="s">
        <v>23</v>
      </c>
      <c r="C301" s="9"/>
      <c r="D301" s="9"/>
      <c r="E301" s="9"/>
      <c r="F301" s="9" t="s">
        <v>178</v>
      </c>
      <c r="G301" s="9"/>
      <c r="H301" s="9"/>
      <c r="I301" s="9"/>
      <c r="J301" s="53"/>
      <c r="K301" s="87"/>
      <c r="L301" s="87"/>
      <c r="M301" s="87"/>
      <c r="N301" s="53">
        <f t="shared" ref="N301:P302" si="31">N302</f>
        <v>3282.5</v>
      </c>
      <c r="O301" s="53">
        <f t="shared" si="31"/>
        <v>3705.89</v>
      </c>
      <c r="P301" s="429">
        <f t="shared" si="31"/>
        <v>3902.35</v>
      </c>
    </row>
    <row r="302" spans="1:16" ht="26" x14ac:dyDescent="0.25">
      <c r="A302" s="32"/>
      <c r="B302" s="15" t="s">
        <v>4</v>
      </c>
      <c r="C302" s="9"/>
      <c r="D302" s="9"/>
      <c r="E302" s="9"/>
      <c r="F302" s="9" t="s">
        <v>178</v>
      </c>
      <c r="G302" s="9" t="s">
        <v>1</v>
      </c>
      <c r="H302" s="9"/>
      <c r="I302" s="9"/>
      <c r="J302" s="53"/>
      <c r="K302" s="87"/>
      <c r="L302" s="87"/>
      <c r="M302" s="87"/>
      <c r="N302" s="53">
        <f t="shared" si="31"/>
        <v>3282.5</v>
      </c>
      <c r="O302" s="53">
        <f t="shared" si="31"/>
        <v>3705.89</v>
      </c>
      <c r="P302" s="429">
        <f t="shared" si="31"/>
        <v>3902.35</v>
      </c>
    </row>
    <row r="303" spans="1:16" ht="13" x14ac:dyDescent="0.3">
      <c r="A303" s="32"/>
      <c r="B303" s="16" t="s">
        <v>39</v>
      </c>
      <c r="C303" s="9"/>
      <c r="D303" s="9"/>
      <c r="E303" s="9"/>
      <c r="F303" s="9" t="s">
        <v>178</v>
      </c>
      <c r="G303" s="9" t="s">
        <v>1</v>
      </c>
      <c r="H303" s="9" t="s">
        <v>463</v>
      </c>
      <c r="I303" s="9" t="s">
        <v>488</v>
      </c>
      <c r="J303" s="53"/>
      <c r="K303" s="87"/>
      <c r="L303" s="87"/>
      <c r="M303" s="87"/>
      <c r="N303" s="53">
        <f>3250+32.5</f>
        <v>3282.5</v>
      </c>
      <c r="O303" s="53">
        <v>3705.89</v>
      </c>
      <c r="P303" s="429">
        <v>3902.35</v>
      </c>
    </row>
    <row r="304" spans="1:16" ht="26" x14ac:dyDescent="0.25">
      <c r="A304" s="32"/>
      <c r="B304" s="66" t="s">
        <v>40</v>
      </c>
      <c r="C304" s="9"/>
      <c r="D304" s="9"/>
      <c r="E304" s="9"/>
      <c r="F304" s="9" t="s">
        <v>177</v>
      </c>
      <c r="G304" s="9"/>
      <c r="H304" s="9"/>
      <c r="I304" s="9"/>
      <c r="J304" s="53"/>
      <c r="K304" s="87"/>
      <c r="L304" s="87"/>
      <c r="M304" s="87"/>
      <c r="N304" s="53">
        <f t="shared" ref="N304:P305" si="32">N305</f>
        <v>365.99900000000002</v>
      </c>
      <c r="O304" s="53">
        <f t="shared" si="32"/>
        <v>8865.851999999999</v>
      </c>
      <c r="P304" s="429">
        <f t="shared" si="32"/>
        <v>5746.9610000000002</v>
      </c>
    </row>
    <row r="305" spans="1:24" ht="26" x14ac:dyDescent="0.25">
      <c r="A305" s="32"/>
      <c r="B305" s="15" t="s">
        <v>4</v>
      </c>
      <c r="C305" s="9"/>
      <c r="D305" s="9"/>
      <c r="E305" s="9"/>
      <c r="F305" s="9" t="s">
        <v>177</v>
      </c>
      <c r="G305" s="9" t="s">
        <v>1</v>
      </c>
      <c r="H305" s="9"/>
      <c r="I305" s="9"/>
      <c r="J305" s="53"/>
      <c r="K305" s="87"/>
      <c r="L305" s="87"/>
      <c r="M305" s="87"/>
      <c r="N305" s="53">
        <f t="shared" si="32"/>
        <v>365.99900000000002</v>
      </c>
      <c r="O305" s="53">
        <f t="shared" si="32"/>
        <v>8865.851999999999</v>
      </c>
      <c r="P305" s="429">
        <f t="shared" si="32"/>
        <v>5746.9610000000002</v>
      </c>
    </row>
    <row r="306" spans="1:24" ht="13" x14ac:dyDescent="0.3">
      <c r="A306" s="32"/>
      <c r="B306" s="16" t="s">
        <v>39</v>
      </c>
      <c r="C306" s="9"/>
      <c r="D306" s="9"/>
      <c r="E306" s="9"/>
      <c r="F306" s="9" t="s">
        <v>177</v>
      </c>
      <c r="G306" s="9" t="s">
        <v>1</v>
      </c>
      <c r="H306" s="9" t="s">
        <v>463</v>
      </c>
      <c r="I306" s="9" t="s">
        <v>488</v>
      </c>
      <c r="J306" s="53"/>
      <c r="K306" s="87"/>
      <c r="L306" s="87"/>
      <c r="M306" s="87"/>
      <c r="N306" s="53">
        <f>85+280.199+0.8</f>
        <v>365.99900000000002</v>
      </c>
      <c r="O306" s="53">
        <f>462.3+8403.552</f>
        <v>8865.851999999999</v>
      </c>
      <c r="P306" s="429">
        <f>484.8+5262.161</f>
        <v>5746.9610000000002</v>
      </c>
    </row>
    <row r="307" spans="1:24" ht="55.15" hidden="1" customHeight="1" x14ac:dyDescent="0.25">
      <c r="A307" s="91">
        <v>9</v>
      </c>
      <c r="B307" s="134" t="s">
        <v>176</v>
      </c>
      <c r="C307" s="34"/>
      <c r="D307" s="94" t="s">
        <v>15</v>
      </c>
      <c r="E307" s="34" t="s">
        <v>32</v>
      </c>
      <c r="F307" s="34" t="s">
        <v>175</v>
      </c>
      <c r="G307" s="131"/>
      <c r="H307" s="131"/>
      <c r="I307" s="34"/>
      <c r="J307" s="51">
        <f>J308</f>
        <v>3000</v>
      </c>
      <c r="K307" s="51"/>
      <c r="L307" s="51">
        <f>L309</f>
        <v>6008.35</v>
      </c>
      <c r="M307" s="51">
        <f>M309</f>
        <v>8515.7049999999999</v>
      </c>
      <c r="N307" s="51">
        <f t="shared" ref="N307:P309" si="33">N308</f>
        <v>3000</v>
      </c>
      <c r="O307" s="51">
        <f t="shared" si="33"/>
        <v>0</v>
      </c>
      <c r="P307" s="50">
        <f t="shared" si="33"/>
        <v>0</v>
      </c>
    </row>
    <row r="308" spans="1:24" ht="39" hidden="1" x14ac:dyDescent="0.25">
      <c r="A308" s="91"/>
      <c r="B308" s="114" t="s">
        <v>174</v>
      </c>
      <c r="C308" s="34"/>
      <c r="D308" s="94"/>
      <c r="E308" s="34"/>
      <c r="F308" s="9" t="s">
        <v>173</v>
      </c>
      <c r="G308" s="48"/>
      <c r="H308" s="48"/>
      <c r="I308" s="9"/>
      <c r="J308" s="47">
        <f>J309</f>
        <v>3000</v>
      </c>
      <c r="K308" s="51"/>
      <c r="L308" s="51"/>
      <c r="M308" s="51"/>
      <c r="N308" s="47">
        <f t="shared" si="33"/>
        <v>3000</v>
      </c>
      <c r="O308" s="47">
        <f t="shared" si="33"/>
        <v>0</v>
      </c>
      <c r="P308" s="46">
        <f t="shared" si="33"/>
        <v>0</v>
      </c>
    </row>
    <row r="309" spans="1:24" ht="26" hidden="1" x14ac:dyDescent="0.25">
      <c r="A309" s="32"/>
      <c r="B309" s="133" t="s">
        <v>172</v>
      </c>
      <c r="C309" s="9"/>
      <c r="D309" s="88" t="s">
        <v>15</v>
      </c>
      <c r="E309" s="9" t="s">
        <v>32</v>
      </c>
      <c r="F309" s="9" t="s">
        <v>159</v>
      </c>
      <c r="G309" s="9"/>
      <c r="H309" s="9"/>
      <c r="I309" s="9"/>
      <c r="J309" s="53">
        <f>J310</f>
        <v>3000</v>
      </c>
      <c r="K309" s="78"/>
      <c r="L309" s="87">
        <f>L310</f>
        <v>6008.35</v>
      </c>
      <c r="M309" s="87">
        <f>M310</f>
        <v>8515.7049999999999</v>
      </c>
      <c r="N309" s="53">
        <f t="shared" si="33"/>
        <v>3000</v>
      </c>
      <c r="O309" s="53">
        <f t="shared" si="33"/>
        <v>0</v>
      </c>
      <c r="P309" s="429">
        <f t="shared" si="33"/>
        <v>0</v>
      </c>
    </row>
    <row r="310" spans="1:24" ht="12.65" hidden="1" customHeight="1" x14ac:dyDescent="0.3">
      <c r="A310" s="32"/>
      <c r="B310" s="86" t="s">
        <v>16</v>
      </c>
      <c r="C310" s="9"/>
      <c r="D310" s="88" t="s">
        <v>15</v>
      </c>
      <c r="E310" s="9" t="s">
        <v>32</v>
      </c>
      <c r="F310" s="9" t="s">
        <v>159</v>
      </c>
      <c r="G310" s="9" t="s">
        <v>1</v>
      </c>
      <c r="H310" s="9"/>
      <c r="I310" s="9"/>
      <c r="J310" s="53">
        <f>J316</f>
        <v>3000</v>
      </c>
      <c r="K310" s="78"/>
      <c r="L310" s="87">
        <v>6008.35</v>
      </c>
      <c r="M310" s="87">
        <v>8515.7049999999999</v>
      </c>
      <c r="N310" s="53">
        <f>N316</f>
        <v>3000</v>
      </c>
      <c r="O310" s="53">
        <f>O316</f>
        <v>0</v>
      </c>
      <c r="P310" s="429">
        <f>P316</f>
        <v>0</v>
      </c>
    </row>
    <row r="311" spans="1:24" ht="44.25" hidden="1" customHeight="1" x14ac:dyDescent="0.25">
      <c r="A311" s="32"/>
      <c r="B311" s="52" t="s">
        <v>171</v>
      </c>
      <c r="C311" s="9"/>
      <c r="D311" s="34" t="s">
        <v>168</v>
      </c>
      <c r="E311" s="34" t="s">
        <v>166</v>
      </c>
      <c r="F311" s="34" t="s">
        <v>170</v>
      </c>
      <c r="G311" s="131"/>
      <c r="H311" s="131"/>
      <c r="I311" s="34" t="s">
        <v>166</v>
      </c>
      <c r="J311" s="48"/>
      <c r="K311" s="131"/>
      <c r="L311" s="2"/>
      <c r="M311" s="24"/>
      <c r="N311" s="48"/>
      <c r="O311" s="48"/>
      <c r="P311" s="46"/>
    </row>
    <row r="312" spans="1:24" ht="39" hidden="1" x14ac:dyDescent="0.25">
      <c r="A312" s="32"/>
      <c r="B312" s="49" t="s">
        <v>169</v>
      </c>
      <c r="C312" s="9"/>
      <c r="D312" s="9" t="s">
        <v>168</v>
      </c>
      <c r="E312" s="9" t="s">
        <v>166</v>
      </c>
      <c r="F312" s="9" t="s">
        <v>167</v>
      </c>
      <c r="G312" s="88"/>
      <c r="H312" s="88"/>
      <c r="I312" s="9" t="s">
        <v>166</v>
      </c>
      <c r="J312" s="7"/>
      <c r="K312" s="7"/>
      <c r="L312" s="7"/>
      <c r="M312" s="7"/>
      <c r="N312" s="7"/>
      <c r="O312" s="7"/>
      <c r="P312" s="429"/>
    </row>
    <row r="313" spans="1:24" ht="42.75" hidden="1" customHeight="1" x14ac:dyDescent="0.25">
      <c r="A313" s="32"/>
      <c r="B313" s="132" t="s">
        <v>165</v>
      </c>
      <c r="C313" s="34"/>
      <c r="D313" s="94" t="s">
        <v>15</v>
      </c>
      <c r="E313" s="34" t="s">
        <v>13</v>
      </c>
      <c r="F313" s="34" t="s">
        <v>164</v>
      </c>
      <c r="G313" s="131"/>
      <c r="H313" s="131"/>
      <c r="I313" s="34" t="s">
        <v>13</v>
      </c>
      <c r="J313" s="48"/>
      <c r="K313" s="130"/>
      <c r="L313" s="2"/>
      <c r="M313" s="13"/>
      <c r="N313" s="48"/>
      <c r="O313" s="48"/>
      <c r="P313" s="46"/>
    </row>
    <row r="314" spans="1:24" ht="72.75" hidden="1" customHeight="1" x14ac:dyDescent="0.25">
      <c r="A314" s="32"/>
      <c r="B314" s="49" t="s">
        <v>163</v>
      </c>
      <c r="C314" s="9"/>
      <c r="D314" s="88" t="s">
        <v>15</v>
      </c>
      <c r="E314" s="9" t="s">
        <v>13</v>
      </c>
      <c r="F314" s="9" t="s">
        <v>162</v>
      </c>
      <c r="G314" s="9"/>
      <c r="H314" s="9"/>
      <c r="I314" s="9" t="s">
        <v>13</v>
      </c>
      <c r="J314" s="7"/>
      <c r="K314" s="78"/>
      <c r="L314" s="78"/>
      <c r="M314" s="78"/>
      <c r="N314" s="7"/>
      <c r="O314" s="7"/>
      <c r="P314" s="429"/>
    </row>
    <row r="315" spans="1:24" ht="57" hidden="1" customHeight="1" x14ac:dyDescent="0.25">
      <c r="A315" s="32"/>
      <c r="B315" s="58" t="s">
        <v>161</v>
      </c>
      <c r="C315" s="34"/>
      <c r="D315" s="88" t="s">
        <v>15</v>
      </c>
      <c r="E315" s="9" t="s">
        <v>13</v>
      </c>
      <c r="F315" s="9" t="s">
        <v>160</v>
      </c>
      <c r="G315" s="9"/>
      <c r="H315" s="9"/>
      <c r="I315" s="9" t="s">
        <v>13</v>
      </c>
      <c r="J315" s="7"/>
      <c r="K315" s="78"/>
      <c r="L315" s="78"/>
      <c r="M315" s="78"/>
      <c r="N315" s="7"/>
      <c r="O315" s="7"/>
      <c r="P315" s="429"/>
    </row>
    <row r="316" spans="1:24" ht="13" hidden="1" x14ac:dyDescent="0.3">
      <c r="A316" s="32"/>
      <c r="B316" s="16" t="s">
        <v>34</v>
      </c>
      <c r="C316" s="9"/>
      <c r="D316" s="88" t="s">
        <v>15</v>
      </c>
      <c r="E316" s="9" t="s">
        <v>32</v>
      </c>
      <c r="F316" s="9" t="s">
        <v>159</v>
      </c>
      <c r="G316" s="9" t="s">
        <v>1</v>
      </c>
      <c r="H316" s="9"/>
      <c r="I316" s="9" t="s">
        <v>32</v>
      </c>
      <c r="J316" s="53">
        <v>3000</v>
      </c>
      <c r="K316" s="78"/>
      <c r="L316" s="87">
        <v>6008.35</v>
      </c>
      <c r="M316" s="87">
        <v>8515.7049999999999</v>
      </c>
      <c r="N316" s="53">
        <v>3000</v>
      </c>
      <c r="O316" s="53">
        <v>0</v>
      </c>
      <c r="P316" s="429">
        <v>0</v>
      </c>
    </row>
    <row r="317" spans="1:24" ht="25.9" customHeight="1" x14ac:dyDescent="0.25">
      <c r="A317" s="32"/>
      <c r="B317" s="129" t="s">
        <v>158</v>
      </c>
      <c r="C317" s="34"/>
      <c r="D317" s="88"/>
      <c r="E317" s="9"/>
      <c r="F317" s="9"/>
      <c r="G317" s="9"/>
      <c r="H317" s="9"/>
      <c r="I317" s="9"/>
      <c r="J317" s="128">
        <f>J318+J389+J399</f>
        <v>47038.588000000003</v>
      </c>
      <c r="K317" s="78"/>
      <c r="L317" s="87">
        <f>L318+L389+L399</f>
        <v>28148.264999999999</v>
      </c>
      <c r="M317" s="87">
        <f>M318+M389+M399</f>
        <v>29104.548000000003</v>
      </c>
      <c r="N317" s="128">
        <f>N318+N389+N399</f>
        <v>31840.712</v>
      </c>
      <c r="O317" s="128">
        <f>O318+O389+O399</f>
        <v>29724.25</v>
      </c>
      <c r="P317" s="127">
        <f>P318+P389+P399</f>
        <v>30834.796000000002</v>
      </c>
    </row>
    <row r="318" spans="1:24" s="83" customFormat="1" ht="39" x14ac:dyDescent="0.3">
      <c r="A318" s="91">
        <v>9</v>
      </c>
      <c r="B318" s="126" t="s">
        <v>126</v>
      </c>
      <c r="C318" s="118"/>
      <c r="D318" s="89" t="s">
        <v>69</v>
      </c>
      <c r="E318" s="89" t="s">
        <v>112</v>
      </c>
      <c r="F318" s="113" t="s">
        <v>157</v>
      </c>
      <c r="G318" s="118"/>
      <c r="H318" s="118"/>
      <c r="I318" s="89"/>
      <c r="J318" s="125">
        <f>J325+J384+J355+J358+J362+J369+J366</f>
        <v>14363.046000000004</v>
      </c>
      <c r="K318" s="92"/>
      <c r="L318" s="92">
        <f>L325+L352+L355+L358+L362+L369+L376</f>
        <v>14872.082</v>
      </c>
      <c r="M318" s="92">
        <f>M325+M352+M355+M358+M362+M369+M376</f>
        <v>15828.365000000002</v>
      </c>
      <c r="N318" s="125">
        <f>N328+N329+N332+N334+N341+N344+N349+N368+N371+N373+N388+N379</f>
        <v>18638.369000000002</v>
      </c>
      <c r="O318" s="125">
        <f>O328+O329+O332+O334+O341+O344+O349+O368+O371+O373+O388+O379+O323</f>
        <v>20360.646000000001</v>
      </c>
      <c r="P318" s="124">
        <f>P328+P329+P332+P334+P341+P344+P349+P368+P371+P373+P388+P379+P323</f>
        <v>21546.367999999999</v>
      </c>
      <c r="Q318" s="84"/>
      <c r="R318" s="84"/>
      <c r="S318" s="84"/>
      <c r="T318" s="84"/>
      <c r="U318" s="84"/>
      <c r="V318" s="84"/>
      <c r="W318" s="84"/>
      <c r="X318" s="84"/>
    </row>
    <row r="319" spans="1:24" s="83" customFormat="1" ht="30" x14ac:dyDescent="0.3">
      <c r="A319" s="91"/>
      <c r="B319" s="285" t="s">
        <v>866</v>
      </c>
      <c r="C319" s="118"/>
      <c r="D319" s="89"/>
      <c r="E319" s="89"/>
      <c r="F319" s="112" t="s">
        <v>598</v>
      </c>
      <c r="G319" s="119"/>
      <c r="H319" s="119"/>
      <c r="I319" s="33"/>
      <c r="J319" s="125"/>
      <c r="K319" s="92"/>
      <c r="L319" s="92"/>
      <c r="M319" s="92"/>
      <c r="N319" s="125"/>
      <c r="O319" s="123">
        <f t="shared" ref="O319:P322" si="34">O320</f>
        <v>1725.232</v>
      </c>
      <c r="P319" s="122">
        <f t="shared" si="34"/>
        <v>1828.7460000000001</v>
      </c>
      <c r="Q319" s="84"/>
      <c r="R319" s="84"/>
      <c r="S319" s="84"/>
      <c r="T319" s="84"/>
      <c r="U319" s="84"/>
      <c r="V319" s="84"/>
      <c r="W319" s="84"/>
      <c r="X319" s="84"/>
    </row>
    <row r="320" spans="1:24" s="83" customFormat="1" ht="13" x14ac:dyDescent="0.3">
      <c r="A320" s="91"/>
      <c r="B320" s="285" t="s">
        <v>582</v>
      </c>
      <c r="C320" s="118"/>
      <c r="D320" s="89"/>
      <c r="E320" s="89"/>
      <c r="F320" s="112" t="s">
        <v>597</v>
      </c>
      <c r="G320" s="119"/>
      <c r="H320" s="119"/>
      <c r="I320" s="33"/>
      <c r="J320" s="125"/>
      <c r="K320" s="92"/>
      <c r="L320" s="92"/>
      <c r="M320" s="92"/>
      <c r="N320" s="125"/>
      <c r="O320" s="123">
        <f t="shared" si="34"/>
        <v>1725.232</v>
      </c>
      <c r="P320" s="122">
        <f t="shared" si="34"/>
        <v>1828.7460000000001</v>
      </c>
      <c r="Q320" s="84"/>
      <c r="R320" s="84"/>
      <c r="S320" s="84"/>
      <c r="T320" s="84"/>
      <c r="U320" s="84"/>
      <c r="V320" s="84"/>
      <c r="W320" s="84"/>
      <c r="X320" s="84"/>
    </row>
    <row r="321" spans="1:24" s="83" customFormat="1" ht="20" x14ac:dyDescent="0.3">
      <c r="A321" s="91"/>
      <c r="B321" s="285" t="s">
        <v>867</v>
      </c>
      <c r="C321" s="118"/>
      <c r="D321" s="89"/>
      <c r="E321" s="89"/>
      <c r="F321" s="113" t="s">
        <v>593</v>
      </c>
      <c r="G321" s="119"/>
      <c r="H321" s="119"/>
      <c r="I321" s="33"/>
      <c r="J321" s="125"/>
      <c r="K321" s="92"/>
      <c r="L321" s="92"/>
      <c r="M321" s="92"/>
      <c r="N321" s="125"/>
      <c r="O321" s="125">
        <f t="shared" si="34"/>
        <v>1725.232</v>
      </c>
      <c r="P321" s="124">
        <f t="shared" si="34"/>
        <v>1828.7460000000001</v>
      </c>
      <c r="Q321" s="84"/>
      <c r="R321" s="84"/>
      <c r="S321" s="84"/>
      <c r="T321" s="84"/>
      <c r="U321" s="84"/>
      <c r="V321" s="84"/>
      <c r="W321" s="84"/>
      <c r="X321" s="84"/>
    </row>
    <row r="322" spans="1:24" s="83" customFormat="1" ht="13" x14ac:dyDescent="0.3">
      <c r="A322" s="91"/>
      <c r="B322" s="284" t="s">
        <v>571</v>
      </c>
      <c r="C322" s="118"/>
      <c r="D322" s="89"/>
      <c r="E322" s="89"/>
      <c r="F322" s="112" t="s">
        <v>593</v>
      </c>
      <c r="G322" s="119">
        <v>120</v>
      </c>
      <c r="H322" s="119"/>
      <c r="I322" s="33"/>
      <c r="J322" s="125"/>
      <c r="K322" s="92"/>
      <c r="L322" s="92"/>
      <c r="M322" s="92"/>
      <c r="N322" s="125"/>
      <c r="O322" s="123">
        <f t="shared" si="34"/>
        <v>1725.232</v>
      </c>
      <c r="P322" s="122">
        <f t="shared" si="34"/>
        <v>1828.7460000000001</v>
      </c>
      <c r="Q322" s="84"/>
      <c r="R322" s="84"/>
      <c r="S322" s="84"/>
      <c r="T322" s="84"/>
      <c r="U322" s="84"/>
      <c r="V322" s="84"/>
      <c r="W322" s="84"/>
      <c r="X322" s="84"/>
    </row>
    <row r="323" spans="1:24" s="83" customFormat="1" ht="20" x14ac:dyDescent="0.3">
      <c r="A323" s="91"/>
      <c r="B323" s="285" t="s">
        <v>600</v>
      </c>
      <c r="C323" s="118"/>
      <c r="D323" s="89"/>
      <c r="E323" s="89"/>
      <c r="F323" s="112" t="s">
        <v>593</v>
      </c>
      <c r="G323" s="119">
        <v>120</v>
      </c>
      <c r="H323" s="9" t="s">
        <v>456</v>
      </c>
      <c r="I323" s="33" t="s">
        <v>488</v>
      </c>
      <c r="J323" s="125"/>
      <c r="K323" s="92"/>
      <c r="L323" s="92"/>
      <c r="M323" s="92"/>
      <c r="N323" s="125"/>
      <c r="O323" s="103">
        <v>1725.232</v>
      </c>
      <c r="P323" s="122">
        <v>1828.7460000000001</v>
      </c>
      <c r="Q323" s="84"/>
      <c r="R323" s="84"/>
      <c r="S323" s="84"/>
      <c r="T323" s="84"/>
      <c r="U323" s="84"/>
      <c r="V323" s="84"/>
      <c r="W323" s="84"/>
      <c r="X323" s="84"/>
    </row>
    <row r="324" spans="1:24" s="83" customFormat="1" ht="39" x14ac:dyDescent="0.3">
      <c r="A324" s="91"/>
      <c r="B324" s="102" t="s">
        <v>156</v>
      </c>
      <c r="C324" s="118"/>
      <c r="D324" s="89"/>
      <c r="E324" s="89"/>
      <c r="F324" s="112" t="s">
        <v>155</v>
      </c>
      <c r="G324" s="118"/>
      <c r="H324" s="118"/>
      <c r="I324" s="89"/>
      <c r="J324" s="123">
        <f>J318</f>
        <v>14363.046000000004</v>
      </c>
      <c r="K324" s="92"/>
      <c r="L324" s="92"/>
      <c r="M324" s="92"/>
      <c r="N324" s="123">
        <f>N318</f>
        <v>18638.369000000002</v>
      </c>
      <c r="O324" s="123">
        <f>O318</f>
        <v>20360.646000000001</v>
      </c>
      <c r="P324" s="122">
        <f>P318</f>
        <v>21546.367999999999</v>
      </c>
      <c r="Q324" s="84"/>
      <c r="R324" s="84"/>
      <c r="S324" s="84"/>
      <c r="T324" s="84"/>
      <c r="U324" s="84"/>
      <c r="V324" s="84"/>
      <c r="W324" s="84"/>
      <c r="X324" s="84"/>
    </row>
    <row r="325" spans="1:24" s="83" customFormat="1" ht="13" x14ac:dyDescent="0.3">
      <c r="A325" s="85"/>
      <c r="B325" s="102" t="s">
        <v>109</v>
      </c>
      <c r="C325" s="118"/>
      <c r="D325" s="33" t="s">
        <v>69</v>
      </c>
      <c r="E325" s="33" t="s">
        <v>112</v>
      </c>
      <c r="F325" s="112" t="s">
        <v>154</v>
      </c>
      <c r="G325" s="118"/>
      <c r="H325" s="118"/>
      <c r="I325" s="33"/>
      <c r="J325" s="93">
        <f>J327+J330+J340+J343+J348</f>
        <v>12462.203000000003</v>
      </c>
      <c r="K325" s="101"/>
      <c r="L325" s="92">
        <f>L327+L330</f>
        <v>12437.288999999999</v>
      </c>
      <c r="M325" s="92">
        <f>M327+M330</f>
        <v>13307.900000000001</v>
      </c>
      <c r="N325" s="93">
        <f>N327+N330+N340+N343+N348</f>
        <v>15801.2</v>
      </c>
      <c r="O325" s="93">
        <f>O327+O330+O340+O343+O348</f>
        <v>16496.478999999999</v>
      </c>
      <c r="P325" s="122">
        <f>P327+P330+P340+P343+P348</f>
        <v>17486.260999999999</v>
      </c>
      <c r="Q325" s="84"/>
      <c r="R325" s="84"/>
      <c r="S325" s="84"/>
      <c r="T325" s="84"/>
      <c r="U325" s="84"/>
      <c r="V325" s="84"/>
      <c r="W325" s="84"/>
      <c r="X325" s="84"/>
    </row>
    <row r="326" spans="1:24" s="83" customFormat="1" ht="13" x14ac:dyDescent="0.3">
      <c r="A326" s="85"/>
      <c r="B326" s="104" t="s">
        <v>153</v>
      </c>
      <c r="C326" s="118"/>
      <c r="D326" s="33"/>
      <c r="E326" s="33"/>
      <c r="F326" s="113" t="s">
        <v>152</v>
      </c>
      <c r="G326" s="118"/>
      <c r="H326" s="118"/>
      <c r="I326" s="89"/>
      <c r="J326" s="92">
        <f>J325</f>
        <v>12462.203000000003</v>
      </c>
      <c r="K326" s="101"/>
      <c r="L326" s="92"/>
      <c r="M326" s="92"/>
      <c r="N326" s="92">
        <f>N325</f>
        <v>15801.2</v>
      </c>
      <c r="O326" s="92">
        <f>O325</f>
        <v>16496.478999999999</v>
      </c>
      <c r="P326" s="124">
        <f>P325</f>
        <v>17486.260999999999</v>
      </c>
      <c r="Q326" s="84"/>
      <c r="R326" s="84"/>
      <c r="S326" s="84"/>
      <c r="T326" s="84"/>
      <c r="U326" s="84"/>
      <c r="V326" s="84"/>
      <c r="W326" s="84"/>
      <c r="X326" s="84"/>
    </row>
    <row r="327" spans="1:24" s="83" customFormat="1" ht="22.15" customHeight="1" x14ac:dyDescent="0.3">
      <c r="A327" s="85"/>
      <c r="B327" s="86" t="s">
        <v>7</v>
      </c>
      <c r="C327" s="118"/>
      <c r="D327" s="33"/>
      <c r="E327" s="33"/>
      <c r="F327" s="112" t="s">
        <v>152</v>
      </c>
      <c r="G327" s="119">
        <v>120</v>
      </c>
      <c r="H327" s="119"/>
      <c r="I327" s="89"/>
      <c r="J327" s="93">
        <f>J328+J329</f>
        <v>8197.5570000000007</v>
      </c>
      <c r="K327" s="101"/>
      <c r="L327" s="92">
        <f>L328+L329</f>
        <v>9181.8719999999994</v>
      </c>
      <c r="M327" s="92">
        <f>M328+M329</f>
        <v>9824.6040000000012</v>
      </c>
      <c r="N327" s="93">
        <f>N328+N329</f>
        <v>8858.7470000000012</v>
      </c>
      <c r="O327" s="93">
        <f>O328+O329</f>
        <v>11058.86</v>
      </c>
      <c r="P327" s="122">
        <f>P328+P329</f>
        <v>11722.391</v>
      </c>
      <c r="Q327" s="84"/>
      <c r="R327" s="84"/>
      <c r="S327" s="84"/>
      <c r="T327" s="84"/>
      <c r="U327" s="84"/>
      <c r="V327" s="84"/>
      <c r="W327" s="84"/>
      <c r="X327" s="84"/>
    </row>
    <row r="328" spans="1:24" s="83" customFormat="1" ht="41.5" customHeight="1" x14ac:dyDescent="0.3">
      <c r="A328" s="85"/>
      <c r="B328" s="95" t="s">
        <v>114</v>
      </c>
      <c r="C328" s="118"/>
      <c r="D328" s="33" t="s">
        <v>69</v>
      </c>
      <c r="E328" s="33" t="s">
        <v>112</v>
      </c>
      <c r="F328" s="112" t="s">
        <v>152</v>
      </c>
      <c r="G328" s="119">
        <v>120</v>
      </c>
      <c r="H328" s="9" t="s">
        <v>456</v>
      </c>
      <c r="I328" s="33" t="s">
        <v>495</v>
      </c>
      <c r="J328" s="93">
        <f>807.519+241.455</f>
        <v>1048.9739999999999</v>
      </c>
      <c r="K328" s="92"/>
      <c r="L328" s="53">
        <v>1378.2239999999999</v>
      </c>
      <c r="M328" s="121">
        <v>1474.6990000000001</v>
      </c>
      <c r="N328" s="93">
        <v>611.298</v>
      </c>
      <c r="O328" s="93">
        <v>833.33799999999997</v>
      </c>
      <c r="P328" s="122">
        <v>883.33799999999997</v>
      </c>
      <c r="Q328" s="913"/>
      <c r="R328" s="84"/>
      <c r="S328" s="84"/>
      <c r="T328" s="84"/>
      <c r="U328" s="84"/>
      <c r="V328" s="84"/>
      <c r="W328" s="84"/>
      <c r="X328" s="84"/>
    </row>
    <row r="329" spans="1:24" ht="41.5" customHeight="1" x14ac:dyDescent="0.3">
      <c r="A329" s="32"/>
      <c r="B329" s="100" t="s">
        <v>105</v>
      </c>
      <c r="C329" s="88"/>
      <c r="D329" s="88" t="s">
        <v>69</v>
      </c>
      <c r="E329" s="88" t="s">
        <v>103</v>
      </c>
      <c r="F329" s="112" t="s">
        <v>152</v>
      </c>
      <c r="G329" s="88">
        <v>120</v>
      </c>
      <c r="H329" s="9" t="s">
        <v>456</v>
      </c>
      <c r="I329" s="33" t="s">
        <v>452</v>
      </c>
      <c r="J329" s="53">
        <f>5450.283+1.2+1697.1</f>
        <v>7148.5830000000005</v>
      </c>
      <c r="K329" s="53"/>
      <c r="L329" s="53">
        <v>7803.6480000000001</v>
      </c>
      <c r="M329" s="120">
        <v>8349.9050000000007</v>
      </c>
      <c r="N329" s="53">
        <v>8247.4490000000005</v>
      </c>
      <c r="O329" s="53">
        <v>10225.522000000001</v>
      </c>
      <c r="P329" s="429">
        <v>10839.053</v>
      </c>
    </row>
    <row r="330" spans="1:24" s="83" customFormat="1" ht="29.5" customHeight="1" x14ac:dyDescent="0.3">
      <c r="A330" s="85"/>
      <c r="B330" s="15" t="s">
        <v>4</v>
      </c>
      <c r="C330" s="118"/>
      <c r="D330" s="33" t="s">
        <v>69</v>
      </c>
      <c r="E330" s="33" t="s">
        <v>112</v>
      </c>
      <c r="F330" s="112" t="s">
        <v>152</v>
      </c>
      <c r="G330" s="119">
        <v>240</v>
      </c>
      <c r="H330" s="119"/>
      <c r="I330" s="89"/>
      <c r="J330" s="93">
        <f>J332+J334</f>
        <v>3612.3460000000005</v>
      </c>
      <c r="K330" s="101"/>
      <c r="L330" s="101">
        <f>L332+L334</f>
        <v>3255.4169999999999</v>
      </c>
      <c r="M330" s="101">
        <f>M332+M334</f>
        <v>3483.2959999999998</v>
      </c>
      <c r="N330" s="93">
        <f>N332+N334</f>
        <v>6392.893</v>
      </c>
      <c r="O330" s="93">
        <f>O332+O334</f>
        <v>5437.6190000000006</v>
      </c>
      <c r="P330" s="122">
        <f>P332+P334</f>
        <v>5763.87</v>
      </c>
      <c r="Q330" s="84"/>
      <c r="R330" s="84"/>
      <c r="S330" s="84"/>
      <c r="T330" s="84"/>
      <c r="U330" s="84"/>
      <c r="V330" s="84"/>
      <c r="W330" s="84"/>
      <c r="X330" s="84"/>
    </row>
    <row r="331" spans="1:24" s="83" customFormat="1" ht="28.9" customHeight="1" x14ac:dyDescent="0.3">
      <c r="A331" s="85"/>
      <c r="B331" s="15" t="s">
        <v>4</v>
      </c>
      <c r="C331" s="118"/>
      <c r="D331" s="33"/>
      <c r="E331" s="33"/>
      <c r="F331" s="112" t="s">
        <v>152</v>
      </c>
      <c r="G331" s="119">
        <v>240</v>
      </c>
      <c r="H331" s="119"/>
      <c r="I331" s="33"/>
      <c r="J331" s="93">
        <f>J332</f>
        <v>1338.8210000000001</v>
      </c>
      <c r="K331" s="101"/>
      <c r="L331" s="101"/>
      <c r="M331" s="101"/>
      <c r="N331" s="93">
        <f>N332</f>
        <v>1318.8209999999999</v>
      </c>
      <c r="O331" s="93">
        <f>O332</f>
        <v>1833.1579999999999</v>
      </c>
      <c r="P331" s="122">
        <f>P332</f>
        <v>1943.1479999999999</v>
      </c>
      <c r="Q331" s="84"/>
      <c r="R331" s="84"/>
      <c r="S331" s="84"/>
      <c r="T331" s="84"/>
      <c r="U331" s="84"/>
      <c r="V331" s="84"/>
      <c r="W331" s="84"/>
      <c r="X331" s="84"/>
    </row>
    <row r="332" spans="1:24" s="83" customFormat="1" ht="43.15" customHeight="1" x14ac:dyDescent="0.3">
      <c r="A332" s="85"/>
      <c r="B332" s="95" t="s">
        <v>114</v>
      </c>
      <c r="C332" s="118"/>
      <c r="D332" s="33"/>
      <c r="E332" s="33"/>
      <c r="F332" s="112" t="s">
        <v>152</v>
      </c>
      <c r="G332" s="119">
        <v>240</v>
      </c>
      <c r="H332" s="9" t="s">
        <v>456</v>
      </c>
      <c r="I332" s="33" t="s">
        <v>495</v>
      </c>
      <c r="J332" s="93">
        <f>2387.795-1048.974</f>
        <v>1338.8210000000001</v>
      </c>
      <c r="K332" s="101"/>
      <c r="L332" s="103">
        <v>906.91</v>
      </c>
      <c r="M332" s="103">
        <v>970.39300000000003</v>
      </c>
      <c r="N332" s="93">
        <v>1318.8209999999999</v>
      </c>
      <c r="O332" s="93">
        <f>1833.158</f>
        <v>1833.1579999999999</v>
      </c>
      <c r="P332" s="122">
        <v>1943.1479999999999</v>
      </c>
      <c r="Q332" s="84"/>
      <c r="R332" s="84"/>
      <c r="S332" s="84"/>
      <c r="T332" s="84"/>
      <c r="U332" s="84"/>
      <c r="V332" s="84"/>
      <c r="W332" s="84"/>
      <c r="X332" s="84"/>
    </row>
    <row r="333" spans="1:24" s="83" customFormat="1" ht="27" customHeight="1" x14ac:dyDescent="0.3">
      <c r="A333" s="85"/>
      <c r="B333" s="15" t="s">
        <v>4</v>
      </c>
      <c r="C333" s="118"/>
      <c r="D333" s="33"/>
      <c r="E333" s="33"/>
      <c r="F333" s="112" t="s">
        <v>152</v>
      </c>
      <c r="G333" s="88">
        <v>240</v>
      </c>
      <c r="H333" s="88"/>
      <c r="I333" s="88"/>
      <c r="J333" s="53">
        <f>J334</f>
        <v>2273.5250000000001</v>
      </c>
      <c r="K333" s="101"/>
      <c r="L333" s="103"/>
      <c r="M333" s="103"/>
      <c r="N333" s="53">
        <f>N334</f>
        <v>5074.0720000000001</v>
      </c>
      <c r="O333" s="53">
        <f>O334</f>
        <v>3604.4610000000002</v>
      </c>
      <c r="P333" s="429">
        <f>P334</f>
        <v>3820.7219999999998</v>
      </c>
      <c r="Q333" s="84"/>
      <c r="R333" s="84"/>
      <c r="S333" s="84"/>
      <c r="T333" s="84"/>
      <c r="U333" s="84"/>
      <c r="V333" s="84"/>
      <c r="W333" s="84"/>
      <c r="X333" s="84"/>
    </row>
    <row r="334" spans="1:24" ht="39" customHeight="1" x14ac:dyDescent="0.3">
      <c r="A334" s="32"/>
      <c r="B334" s="100" t="s">
        <v>105</v>
      </c>
      <c r="C334" s="88"/>
      <c r="D334" s="88" t="s">
        <v>69</v>
      </c>
      <c r="E334" s="88" t="s">
        <v>103</v>
      </c>
      <c r="F334" s="112" t="s">
        <v>152</v>
      </c>
      <c r="G334" s="88">
        <v>240</v>
      </c>
      <c r="H334" s="9" t="s">
        <v>456</v>
      </c>
      <c r="I334" s="33" t="s">
        <v>452</v>
      </c>
      <c r="J334" s="53">
        <v>2273.5250000000001</v>
      </c>
      <c r="K334" s="53"/>
      <c r="L334" s="117">
        <v>2348.5070000000001</v>
      </c>
      <c r="M334" s="116">
        <v>2512.9029999999998</v>
      </c>
      <c r="N334" s="53">
        <v>5074.0720000000001</v>
      </c>
      <c r="O334" s="53">
        <f>5144.888-1540.427</f>
        <v>3604.4610000000002</v>
      </c>
      <c r="P334" s="429">
        <f>5453.575-1632.853</f>
        <v>3820.7219999999998</v>
      </c>
    </row>
    <row r="335" spans="1:24" ht="21" hidden="1" customHeight="1" x14ac:dyDescent="0.3">
      <c r="A335" s="32"/>
      <c r="B335" s="86"/>
      <c r="C335" s="88"/>
      <c r="D335" s="88"/>
      <c r="E335" s="88"/>
      <c r="F335" s="88"/>
      <c r="G335" s="88"/>
      <c r="H335" s="88"/>
      <c r="I335" s="88"/>
      <c r="J335" s="53"/>
      <c r="K335" s="53"/>
      <c r="L335" s="53"/>
      <c r="M335" s="7"/>
      <c r="N335" s="53"/>
      <c r="O335" s="53"/>
      <c r="P335" s="429"/>
    </row>
    <row r="336" spans="1:24" ht="21" hidden="1" customHeight="1" x14ac:dyDescent="0.3">
      <c r="A336" s="32"/>
      <c r="B336" s="86" t="s">
        <v>16</v>
      </c>
      <c r="C336" s="88"/>
      <c r="D336" s="88" t="s">
        <v>69</v>
      </c>
      <c r="E336" s="88" t="s">
        <v>103</v>
      </c>
      <c r="F336" s="88">
        <v>9100004</v>
      </c>
      <c r="G336" s="88">
        <v>240</v>
      </c>
      <c r="H336" s="88"/>
      <c r="I336" s="88" t="s">
        <v>103</v>
      </c>
      <c r="J336" s="53">
        <v>2215.5729999999999</v>
      </c>
      <c r="K336" s="53"/>
      <c r="L336" s="53">
        <f>J336*106%</f>
        <v>2348.50738</v>
      </c>
      <c r="M336" s="7">
        <f>L336*107%</f>
        <v>2512.9028966000001</v>
      </c>
      <c r="N336" s="53">
        <v>2215.5729999999999</v>
      </c>
      <c r="O336" s="53">
        <v>2215.5729999999999</v>
      </c>
      <c r="P336" s="429">
        <v>2215.5729999999999</v>
      </c>
    </row>
    <row r="337" spans="1:16" ht="21" hidden="1" customHeight="1" x14ac:dyDescent="0.3">
      <c r="A337" s="32"/>
      <c r="B337" s="86"/>
      <c r="C337" s="88"/>
      <c r="D337" s="88"/>
      <c r="E337" s="88"/>
      <c r="F337" s="88"/>
      <c r="G337" s="88"/>
      <c r="H337" s="88"/>
      <c r="I337" s="88"/>
      <c r="J337" s="53"/>
      <c r="K337" s="53"/>
      <c r="L337" s="53"/>
      <c r="M337" s="7"/>
      <c r="N337" s="53"/>
      <c r="O337" s="53"/>
      <c r="P337" s="429"/>
    </row>
    <row r="338" spans="1:16" ht="21" hidden="1" customHeight="1" x14ac:dyDescent="0.3">
      <c r="A338" s="32"/>
      <c r="B338" s="86"/>
      <c r="C338" s="88"/>
      <c r="D338" s="88"/>
      <c r="E338" s="88"/>
      <c r="F338" s="88">
        <v>9100004</v>
      </c>
      <c r="G338" s="88"/>
      <c r="H338" s="88"/>
      <c r="I338" s="88" t="s">
        <v>103</v>
      </c>
      <c r="J338" s="53" t="e">
        <f>#REF!+J334</f>
        <v>#REF!</v>
      </c>
      <c r="K338" s="53"/>
      <c r="L338" s="53" t="e">
        <f>#REF!+L334</f>
        <v>#REF!</v>
      </c>
      <c r="M338" s="7" t="e">
        <f>#REF!+M334</f>
        <v>#REF!</v>
      </c>
      <c r="N338" s="53" t="e">
        <f>#REF!+N334</f>
        <v>#REF!</v>
      </c>
      <c r="O338" s="53" t="e">
        <f>#REF!+O334</f>
        <v>#REF!</v>
      </c>
      <c r="P338" s="429" t="e">
        <f>#REF!+P334</f>
        <v>#REF!</v>
      </c>
    </row>
    <row r="339" spans="1:16" ht="39" hidden="1" x14ac:dyDescent="0.3">
      <c r="A339" s="32"/>
      <c r="B339" s="95" t="s">
        <v>151</v>
      </c>
      <c r="C339" s="88"/>
      <c r="D339" s="88"/>
      <c r="E339" s="88"/>
      <c r="F339" s="113" t="s">
        <v>150</v>
      </c>
      <c r="G339" s="94"/>
      <c r="H339" s="94"/>
      <c r="I339" s="94"/>
      <c r="J339" s="87">
        <f>J340</f>
        <v>179.7</v>
      </c>
      <c r="K339" s="87"/>
      <c r="L339" s="87"/>
      <c r="M339" s="78"/>
      <c r="N339" s="87">
        <f t="shared" ref="N339:P340" si="35">N340</f>
        <v>47.06</v>
      </c>
      <c r="O339" s="87">
        <f t="shared" si="35"/>
        <v>0</v>
      </c>
      <c r="P339" s="96">
        <f t="shared" si="35"/>
        <v>0</v>
      </c>
    </row>
    <row r="340" spans="1:16" ht="13" hidden="1" x14ac:dyDescent="0.3">
      <c r="A340" s="32"/>
      <c r="B340" s="95" t="s">
        <v>123</v>
      </c>
      <c r="C340" s="88"/>
      <c r="D340" s="88"/>
      <c r="E340" s="88"/>
      <c r="F340" s="112" t="s">
        <v>150</v>
      </c>
      <c r="G340" s="88">
        <v>540</v>
      </c>
      <c r="H340" s="88"/>
      <c r="I340" s="88"/>
      <c r="J340" s="53">
        <f>J341</f>
        <v>179.7</v>
      </c>
      <c r="K340" s="53"/>
      <c r="L340" s="53"/>
      <c r="M340" s="7"/>
      <c r="N340" s="53">
        <f t="shared" si="35"/>
        <v>47.06</v>
      </c>
      <c r="O340" s="53">
        <f t="shared" si="35"/>
        <v>0</v>
      </c>
      <c r="P340" s="429">
        <f t="shared" si="35"/>
        <v>0</v>
      </c>
    </row>
    <row r="341" spans="1:16" ht="39" hidden="1" x14ac:dyDescent="0.3">
      <c r="A341" s="32"/>
      <c r="B341" s="100" t="s">
        <v>105</v>
      </c>
      <c r="C341" s="88"/>
      <c r="D341" s="88"/>
      <c r="E341" s="88"/>
      <c r="F341" s="112" t="s">
        <v>150</v>
      </c>
      <c r="G341" s="88">
        <v>540</v>
      </c>
      <c r="H341" s="88"/>
      <c r="I341" s="88" t="s">
        <v>103</v>
      </c>
      <c r="J341" s="53">
        <v>179.7</v>
      </c>
      <c r="K341" s="53"/>
      <c r="L341" s="53"/>
      <c r="M341" s="7"/>
      <c r="N341" s="53">
        <v>47.06</v>
      </c>
      <c r="O341" s="53"/>
      <c r="P341" s="429"/>
    </row>
    <row r="342" spans="1:16" ht="39" hidden="1" x14ac:dyDescent="0.25">
      <c r="A342" s="32"/>
      <c r="B342" s="115" t="s">
        <v>149</v>
      </c>
      <c r="C342" s="88"/>
      <c r="D342" s="88"/>
      <c r="E342" s="88"/>
      <c r="F342" s="113" t="s">
        <v>148</v>
      </c>
      <c r="G342" s="94"/>
      <c r="H342" s="94"/>
      <c r="I342" s="94"/>
      <c r="J342" s="87">
        <f>J343</f>
        <v>303</v>
      </c>
      <c r="K342" s="87"/>
      <c r="L342" s="87"/>
      <c r="M342" s="78"/>
      <c r="N342" s="87">
        <f t="shared" ref="N342:P343" si="36">N343</f>
        <v>304.5</v>
      </c>
      <c r="O342" s="87">
        <f t="shared" si="36"/>
        <v>0</v>
      </c>
      <c r="P342" s="96">
        <f t="shared" si="36"/>
        <v>0</v>
      </c>
    </row>
    <row r="343" spans="1:16" ht="13" hidden="1" x14ac:dyDescent="0.25">
      <c r="A343" s="32"/>
      <c r="B343" s="115" t="s">
        <v>130</v>
      </c>
      <c r="C343" s="88"/>
      <c r="D343" s="88"/>
      <c r="E343" s="88"/>
      <c r="F343" s="112" t="s">
        <v>148</v>
      </c>
      <c r="G343" s="88">
        <v>540</v>
      </c>
      <c r="H343" s="88"/>
      <c r="I343" s="88"/>
      <c r="J343" s="53">
        <f>J344</f>
        <v>303</v>
      </c>
      <c r="K343" s="53"/>
      <c r="L343" s="53"/>
      <c r="M343" s="7"/>
      <c r="N343" s="53">
        <f t="shared" si="36"/>
        <v>304.5</v>
      </c>
      <c r="O343" s="53">
        <f t="shared" si="36"/>
        <v>0</v>
      </c>
      <c r="P343" s="429">
        <f t="shared" si="36"/>
        <v>0</v>
      </c>
    </row>
    <row r="344" spans="1:16" ht="39" hidden="1" x14ac:dyDescent="0.3">
      <c r="A344" s="32"/>
      <c r="B344" s="100" t="s">
        <v>105</v>
      </c>
      <c r="C344" s="88"/>
      <c r="D344" s="88"/>
      <c r="E344" s="88"/>
      <c r="F344" s="112" t="s">
        <v>148</v>
      </c>
      <c r="G344" s="88">
        <v>540</v>
      </c>
      <c r="H344" s="88"/>
      <c r="I344" s="88" t="s">
        <v>103</v>
      </c>
      <c r="J344" s="53">
        <v>303</v>
      </c>
      <c r="K344" s="53"/>
      <c r="L344" s="53"/>
      <c r="M344" s="7"/>
      <c r="N344" s="53">
        <v>304.5</v>
      </c>
      <c r="O344" s="53"/>
      <c r="P344" s="429"/>
    </row>
    <row r="345" spans="1:16" ht="39" hidden="1" x14ac:dyDescent="0.25">
      <c r="A345" s="32"/>
      <c r="B345" s="114" t="s">
        <v>147</v>
      </c>
      <c r="C345" s="88"/>
      <c r="D345" s="88"/>
      <c r="E345" s="88"/>
      <c r="F345" s="112" t="s">
        <v>146</v>
      </c>
      <c r="G345" s="88">
        <v>540</v>
      </c>
      <c r="H345" s="88"/>
      <c r="I345" s="88"/>
      <c r="J345" s="53"/>
      <c r="K345" s="53"/>
      <c r="L345" s="53"/>
      <c r="M345" s="7"/>
      <c r="N345" s="53"/>
      <c r="O345" s="53"/>
      <c r="P345" s="429"/>
    </row>
    <row r="346" spans="1:16" ht="39" hidden="1" x14ac:dyDescent="0.3">
      <c r="A346" s="32"/>
      <c r="B346" s="100" t="s">
        <v>105</v>
      </c>
      <c r="C346" s="88"/>
      <c r="D346" s="88"/>
      <c r="E346" s="88"/>
      <c r="F346" s="112" t="s">
        <v>146</v>
      </c>
      <c r="G346" s="88">
        <v>540</v>
      </c>
      <c r="H346" s="88"/>
      <c r="I346" s="88" t="s">
        <v>103</v>
      </c>
      <c r="J346" s="53"/>
      <c r="K346" s="53"/>
      <c r="L346" s="53"/>
      <c r="M346" s="7"/>
      <c r="N346" s="53"/>
      <c r="O346" s="53"/>
      <c r="P346" s="429"/>
    </row>
    <row r="347" spans="1:16" ht="65" hidden="1" x14ac:dyDescent="0.25">
      <c r="A347" s="32"/>
      <c r="B347" s="108" t="s">
        <v>145</v>
      </c>
      <c r="C347" s="88"/>
      <c r="D347" s="88"/>
      <c r="E347" s="88"/>
      <c r="F347" s="113" t="s">
        <v>144</v>
      </c>
      <c r="G347" s="94"/>
      <c r="H347" s="94"/>
      <c r="I347" s="94"/>
      <c r="J347" s="87">
        <f>J348</f>
        <v>169.6</v>
      </c>
      <c r="K347" s="87"/>
      <c r="L347" s="87"/>
      <c r="M347" s="78"/>
      <c r="N347" s="87">
        <f t="shared" ref="N347:P348" si="37">N348</f>
        <v>198</v>
      </c>
      <c r="O347" s="87">
        <f t="shared" si="37"/>
        <v>0</v>
      </c>
      <c r="P347" s="96">
        <f t="shared" si="37"/>
        <v>0</v>
      </c>
    </row>
    <row r="348" spans="1:16" ht="13" hidden="1" x14ac:dyDescent="0.25">
      <c r="A348" s="32"/>
      <c r="B348" s="108" t="s">
        <v>130</v>
      </c>
      <c r="C348" s="88"/>
      <c r="D348" s="88"/>
      <c r="E348" s="88"/>
      <c r="F348" s="112" t="s">
        <v>144</v>
      </c>
      <c r="G348" s="88">
        <v>540</v>
      </c>
      <c r="H348" s="88"/>
      <c r="I348" s="88"/>
      <c r="J348" s="53">
        <f>J349</f>
        <v>169.6</v>
      </c>
      <c r="K348" s="53"/>
      <c r="L348" s="53"/>
      <c r="M348" s="7"/>
      <c r="N348" s="53">
        <f t="shared" si="37"/>
        <v>198</v>
      </c>
      <c r="O348" s="53">
        <f t="shared" si="37"/>
        <v>0</v>
      </c>
      <c r="P348" s="429">
        <f t="shared" si="37"/>
        <v>0</v>
      </c>
    </row>
    <row r="349" spans="1:16" ht="39" hidden="1" x14ac:dyDescent="0.3">
      <c r="A349" s="32"/>
      <c r="B349" s="100" t="s">
        <v>105</v>
      </c>
      <c r="C349" s="88"/>
      <c r="D349" s="88"/>
      <c r="E349" s="88"/>
      <c r="F349" s="112" t="s">
        <v>144</v>
      </c>
      <c r="G349" s="88">
        <v>540</v>
      </c>
      <c r="H349" s="88"/>
      <c r="I349" s="88" t="s">
        <v>103</v>
      </c>
      <c r="J349" s="53">
        <v>169.6</v>
      </c>
      <c r="K349" s="53"/>
      <c r="L349" s="53"/>
      <c r="M349" s="7"/>
      <c r="N349" s="53">
        <v>198</v>
      </c>
      <c r="O349" s="53"/>
      <c r="P349" s="429"/>
    </row>
    <row r="350" spans="1:16" ht="52" hidden="1" x14ac:dyDescent="0.25">
      <c r="A350" s="32"/>
      <c r="B350" s="102" t="s">
        <v>111</v>
      </c>
      <c r="C350" s="88"/>
      <c r="D350" s="88"/>
      <c r="E350" s="88"/>
      <c r="F350" s="34" t="s">
        <v>110</v>
      </c>
      <c r="G350" s="88"/>
      <c r="H350" s="88"/>
      <c r="I350" s="88"/>
      <c r="J350" s="87">
        <f>J351</f>
        <v>0</v>
      </c>
      <c r="K350" s="53"/>
      <c r="L350" s="53"/>
      <c r="M350" s="7"/>
      <c r="N350" s="87">
        <f t="shared" ref="N350:P353" si="38">N351</f>
        <v>0</v>
      </c>
      <c r="O350" s="87">
        <f t="shared" si="38"/>
        <v>0</v>
      </c>
      <c r="P350" s="96">
        <f t="shared" si="38"/>
        <v>0</v>
      </c>
    </row>
    <row r="351" spans="1:16" ht="21" hidden="1" customHeight="1" x14ac:dyDescent="0.25">
      <c r="A351" s="32"/>
      <c r="B351" s="102" t="s">
        <v>109</v>
      </c>
      <c r="C351" s="88"/>
      <c r="D351" s="88"/>
      <c r="E351" s="88"/>
      <c r="F351" s="9" t="s">
        <v>108</v>
      </c>
      <c r="G351" s="88"/>
      <c r="H351" s="88"/>
      <c r="I351" s="88"/>
      <c r="J351" s="53">
        <f>J352</f>
        <v>0</v>
      </c>
      <c r="K351" s="53"/>
      <c r="L351" s="53"/>
      <c r="M351" s="7"/>
      <c r="N351" s="53">
        <f t="shared" si="38"/>
        <v>0</v>
      </c>
      <c r="O351" s="53">
        <f t="shared" si="38"/>
        <v>0</v>
      </c>
      <c r="P351" s="429">
        <f t="shared" si="38"/>
        <v>0</v>
      </c>
    </row>
    <row r="352" spans="1:16" ht="26" hidden="1" x14ac:dyDescent="0.25">
      <c r="A352" s="32"/>
      <c r="B352" s="49" t="s">
        <v>107</v>
      </c>
      <c r="C352" s="88" t="s">
        <v>106</v>
      </c>
      <c r="D352" s="88" t="s">
        <v>69</v>
      </c>
      <c r="E352" s="88" t="s">
        <v>103</v>
      </c>
      <c r="F352" s="9" t="s">
        <v>104</v>
      </c>
      <c r="G352" s="9"/>
      <c r="H352" s="9"/>
      <c r="I352" s="88"/>
      <c r="J352" s="93">
        <f>J353</f>
        <v>0</v>
      </c>
      <c r="K352" s="92"/>
      <c r="L352" s="92">
        <f>L353</f>
        <v>1223.8879999999999</v>
      </c>
      <c r="M352" s="101">
        <f>M353</f>
        <v>1309.56</v>
      </c>
      <c r="N352" s="93">
        <f t="shared" si="38"/>
        <v>0</v>
      </c>
      <c r="O352" s="93">
        <f t="shared" si="38"/>
        <v>0</v>
      </c>
      <c r="P352" s="122">
        <f t="shared" si="38"/>
        <v>0</v>
      </c>
    </row>
    <row r="353" spans="1:16" ht="13" hidden="1" x14ac:dyDescent="0.3">
      <c r="A353" s="32"/>
      <c r="B353" s="16" t="s">
        <v>7</v>
      </c>
      <c r="C353" s="88"/>
      <c r="D353" s="88" t="s">
        <v>69</v>
      </c>
      <c r="E353" s="88" t="s">
        <v>103</v>
      </c>
      <c r="F353" s="9" t="s">
        <v>104</v>
      </c>
      <c r="G353" s="88">
        <v>120</v>
      </c>
      <c r="H353" s="88"/>
      <c r="I353" s="88"/>
      <c r="J353" s="93">
        <f>J354</f>
        <v>0</v>
      </c>
      <c r="K353" s="93"/>
      <c r="L353" s="53">
        <v>1223.8879999999999</v>
      </c>
      <c r="M353" s="53">
        <v>1309.56</v>
      </c>
      <c r="N353" s="93">
        <f t="shared" si="38"/>
        <v>0</v>
      </c>
      <c r="O353" s="93">
        <f t="shared" si="38"/>
        <v>0</v>
      </c>
      <c r="P353" s="122">
        <f t="shared" si="38"/>
        <v>0</v>
      </c>
    </row>
    <row r="354" spans="1:16" ht="39" hidden="1" x14ac:dyDescent="0.3">
      <c r="A354" s="32"/>
      <c r="B354" s="100" t="s">
        <v>105</v>
      </c>
      <c r="C354" s="88"/>
      <c r="D354" s="88"/>
      <c r="E354" s="88"/>
      <c r="F354" s="9" t="s">
        <v>104</v>
      </c>
      <c r="G354" s="88">
        <v>120</v>
      </c>
      <c r="H354" s="88"/>
      <c r="I354" s="88" t="s">
        <v>103</v>
      </c>
      <c r="J354" s="93"/>
      <c r="K354" s="93"/>
      <c r="L354" s="53">
        <v>1223.8879999999999</v>
      </c>
      <c r="M354" s="53">
        <v>1309.56</v>
      </c>
      <c r="N354" s="93"/>
      <c r="O354" s="93"/>
      <c r="P354" s="122"/>
    </row>
    <row r="355" spans="1:16" ht="52" hidden="1" x14ac:dyDescent="0.25">
      <c r="A355" s="32"/>
      <c r="B355" s="90" t="s">
        <v>143</v>
      </c>
      <c r="C355" s="88"/>
      <c r="D355" s="88" t="s">
        <v>69</v>
      </c>
      <c r="E355" s="88" t="s">
        <v>103</v>
      </c>
      <c r="F355" s="34" t="s">
        <v>141</v>
      </c>
      <c r="G355" s="9"/>
      <c r="H355" s="9"/>
      <c r="I355" s="88"/>
      <c r="J355" s="78">
        <f>J356</f>
        <v>0</v>
      </c>
      <c r="K355" s="78"/>
      <c r="L355" s="78">
        <f>L356</f>
        <v>171.8</v>
      </c>
      <c r="M355" s="78">
        <f>M356</f>
        <v>171.8</v>
      </c>
      <c r="N355" s="78">
        <f>N356</f>
        <v>0</v>
      </c>
      <c r="O355" s="78">
        <f>O356</f>
        <v>0</v>
      </c>
      <c r="P355" s="96">
        <f>P356</f>
        <v>0</v>
      </c>
    </row>
    <row r="356" spans="1:16" ht="13" hidden="1" x14ac:dyDescent="0.3">
      <c r="A356" s="32"/>
      <c r="B356" s="16" t="s">
        <v>142</v>
      </c>
      <c r="C356" s="88"/>
      <c r="D356" s="88" t="s">
        <v>69</v>
      </c>
      <c r="E356" s="88" t="s">
        <v>103</v>
      </c>
      <c r="F356" s="9" t="s">
        <v>141</v>
      </c>
      <c r="G356" s="9" t="s">
        <v>140</v>
      </c>
      <c r="H356" s="9"/>
      <c r="I356" s="88"/>
      <c r="J356" s="7">
        <f>J357</f>
        <v>0</v>
      </c>
      <c r="K356" s="7"/>
      <c r="L356" s="7">
        <v>171.8</v>
      </c>
      <c r="M356" s="7">
        <v>171.8</v>
      </c>
      <c r="N356" s="7">
        <f>N357</f>
        <v>0</v>
      </c>
      <c r="O356" s="7">
        <f>O357</f>
        <v>0</v>
      </c>
      <c r="P356" s="429">
        <f>P357</f>
        <v>0</v>
      </c>
    </row>
    <row r="357" spans="1:16" ht="39" hidden="1" x14ac:dyDescent="0.3">
      <c r="A357" s="32"/>
      <c r="B357" s="100" t="s">
        <v>105</v>
      </c>
      <c r="C357" s="88"/>
      <c r="D357" s="88"/>
      <c r="E357" s="88"/>
      <c r="F357" s="9" t="s">
        <v>141</v>
      </c>
      <c r="G357" s="9" t="s">
        <v>140</v>
      </c>
      <c r="H357" s="9"/>
      <c r="I357" s="88" t="s">
        <v>103</v>
      </c>
      <c r="J357" s="7"/>
      <c r="K357" s="7"/>
      <c r="L357" s="7">
        <v>171.8</v>
      </c>
      <c r="M357" s="7">
        <v>171.8</v>
      </c>
      <c r="N357" s="7"/>
      <c r="O357" s="7"/>
      <c r="P357" s="429"/>
    </row>
    <row r="358" spans="1:16" ht="75.650000000000006" hidden="1" customHeight="1" x14ac:dyDescent="0.25">
      <c r="A358" s="32"/>
      <c r="B358" s="111" t="s">
        <v>139</v>
      </c>
      <c r="C358" s="88"/>
      <c r="D358" s="9" t="s">
        <v>69</v>
      </c>
      <c r="E358" s="9" t="s">
        <v>103</v>
      </c>
      <c r="F358" s="34" t="s">
        <v>136</v>
      </c>
      <c r="G358" s="9"/>
      <c r="H358" s="9"/>
      <c r="I358" s="9"/>
      <c r="J358" s="78">
        <f>J360</f>
        <v>0</v>
      </c>
      <c r="K358" s="78"/>
      <c r="L358" s="78">
        <f>L360</f>
        <v>263</v>
      </c>
      <c r="M358" s="78">
        <f>M360</f>
        <v>263</v>
      </c>
      <c r="N358" s="78">
        <f>N360</f>
        <v>0</v>
      </c>
      <c r="O358" s="78">
        <f>O360</f>
        <v>0</v>
      </c>
      <c r="P358" s="96">
        <f>P360</f>
        <v>0</v>
      </c>
    </row>
    <row r="359" spans="1:16" ht="18" hidden="1" customHeight="1" x14ac:dyDescent="0.25">
      <c r="A359" s="32"/>
      <c r="B359" s="42" t="s">
        <v>138</v>
      </c>
      <c r="C359" s="9"/>
      <c r="D359" s="9" t="s">
        <v>69</v>
      </c>
      <c r="E359" s="9" t="s">
        <v>103</v>
      </c>
      <c r="F359" s="9" t="s">
        <v>137</v>
      </c>
      <c r="G359" s="9"/>
      <c r="H359" s="9"/>
      <c r="I359" s="9" t="s">
        <v>103</v>
      </c>
      <c r="J359" s="103"/>
      <c r="K359" s="103"/>
      <c r="L359" s="103"/>
      <c r="M359" s="103"/>
      <c r="N359" s="103"/>
      <c r="O359" s="103"/>
      <c r="P359" s="122"/>
    </row>
    <row r="360" spans="1:16" ht="15" hidden="1" customHeight="1" x14ac:dyDescent="0.3">
      <c r="A360" s="32"/>
      <c r="B360" s="16" t="s">
        <v>123</v>
      </c>
      <c r="C360" s="9"/>
      <c r="D360" s="9" t="s">
        <v>69</v>
      </c>
      <c r="E360" s="9" t="s">
        <v>103</v>
      </c>
      <c r="F360" s="9" t="s">
        <v>136</v>
      </c>
      <c r="G360" s="9" t="s">
        <v>120</v>
      </c>
      <c r="H360" s="9"/>
      <c r="I360" s="9"/>
      <c r="J360" s="103">
        <f>J361</f>
        <v>0</v>
      </c>
      <c r="K360" s="103"/>
      <c r="L360" s="103">
        <v>263</v>
      </c>
      <c r="M360" s="103">
        <v>263</v>
      </c>
      <c r="N360" s="103">
        <f>N361</f>
        <v>0</v>
      </c>
      <c r="O360" s="103">
        <f>O361</f>
        <v>0</v>
      </c>
      <c r="P360" s="122">
        <f>P361</f>
        <v>0</v>
      </c>
    </row>
    <row r="361" spans="1:16" ht="42" hidden="1" customHeight="1" x14ac:dyDescent="0.3">
      <c r="A361" s="32"/>
      <c r="B361" s="100" t="s">
        <v>105</v>
      </c>
      <c r="C361" s="9"/>
      <c r="D361" s="9"/>
      <c r="E361" s="9"/>
      <c r="F361" s="9" t="s">
        <v>136</v>
      </c>
      <c r="G361" s="9" t="s">
        <v>120</v>
      </c>
      <c r="H361" s="9"/>
      <c r="I361" s="9" t="s">
        <v>103</v>
      </c>
      <c r="J361" s="103"/>
      <c r="K361" s="103"/>
      <c r="L361" s="103">
        <v>263</v>
      </c>
      <c r="M361" s="103">
        <v>263</v>
      </c>
      <c r="N361" s="103"/>
      <c r="O361" s="103"/>
      <c r="P361" s="122"/>
    </row>
    <row r="362" spans="1:16" ht="99" hidden="1" customHeight="1" x14ac:dyDescent="0.25">
      <c r="A362" s="32"/>
      <c r="B362" s="110" t="s">
        <v>135</v>
      </c>
      <c r="C362" s="9"/>
      <c r="D362" s="9" t="s">
        <v>69</v>
      </c>
      <c r="E362" s="9" t="s">
        <v>103</v>
      </c>
      <c r="F362" s="34" t="s">
        <v>132</v>
      </c>
      <c r="G362" s="9"/>
      <c r="H362" s="9"/>
      <c r="I362" s="9"/>
      <c r="J362" s="101">
        <f>J363</f>
        <v>0</v>
      </c>
      <c r="K362" s="101"/>
      <c r="L362" s="101">
        <f>L363</f>
        <v>130.1</v>
      </c>
      <c r="M362" s="101">
        <f>M363</f>
        <v>130.1</v>
      </c>
      <c r="N362" s="101">
        <f>N363</f>
        <v>0</v>
      </c>
      <c r="O362" s="101">
        <f>O363</f>
        <v>0</v>
      </c>
      <c r="P362" s="124">
        <f>P363</f>
        <v>0</v>
      </c>
    </row>
    <row r="363" spans="1:16" ht="15" hidden="1" customHeight="1" x14ac:dyDescent="0.3">
      <c r="A363" s="32"/>
      <c r="B363" s="16" t="s">
        <v>123</v>
      </c>
      <c r="C363" s="9"/>
      <c r="D363" s="9" t="s">
        <v>69</v>
      </c>
      <c r="E363" s="9" t="s">
        <v>103</v>
      </c>
      <c r="F363" s="9" t="s">
        <v>132</v>
      </c>
      <c r="G363" s="9" t="s">
        <v>120</v>
      </c>
      <c r="H363" s="9"/>
      <c r="I363" s="9"/>
      <c r="J363" s="103">
        <f>J365</f>
        <v>0</v>
      </c>
      <c r="K363" s="103"/>
      <c r="L363" s="103">
        <v>130.1</v>
      </c>
      <c r="M363" s="103">
        <v>130.1</v>
      </c>
      <c r="N363" s="103">
        <f>N365</f>
        <v>0</v>
      </c>
      <c r="O363" s="103">
        <f>O365</f>
        <v>0</v>
      </c>
      <c r="P363" s="122">
        <f>P365</f>
        <v>0</v>
      </c>
    </row>
    <row r="364" spans="1:16" ht="60.65" hidden="1" customHeight="1" x14ac:dyDescent="0.25">
      <c r="A364" s="32"/>
      <c r="B364" s="109" t="s">
        <v>134</v>
      </c>
      <c r="C364" s="88"/>
      <c r="D364" s="88" t="s">
        <v>69</v>
      </c>
      <c r="E364" s="88" t="s">
        <v>103</v>
      </c>
      <c r="F364" s="9" t="s">
        <v>133</v>
      </c>
      <c r="G364" s="9"/>
      <c r="H364" s="9"/>
      <c r="I364" s="88" t="s">
        <v>103</v>
      </c>
      <c r="J364" s="103"/>
      <c r="K364" s="103"/>
      <c r="L364" s="103"/>
      <c r="M364" s="103"/>
      <c r="N364" s="103"/>
      <c r="O364" s="103"/>
      <c r="P364" s="122"/>
    </row>
    <row r="365" spans="1:16" ht="40.15" hidden="1" customHeight="1" x14ac:dyDescent="0.3">
      <c r="A365" s="32"/>
      <c r="B365" s="82" t="s">
        <v>105</v>
      </c>
      <c r="C365" s="88"/>
      <c r="D365" s="88"/>
      <c r="E365" s="88"/>
      <c r="F365" s="9" t="s">
        <v>132</v>
      </c>
      <c r="G365" s="9" t="s">
        <v>120</v>
      </c>
      <c r="H365" s="9"/>
      <c r="I365" s="9" t="s">
        <v>103</v>
      </c>
      <c r="J365" s="103"/>
      <c r="K365" s="103"/>
      <c r="L365" s="103">
        <v>130.1</v>
      </c>
      <c r="M365" s="103">
        <v>130.1</v>
      </c>
      <c r="N365" s="103"/>
      <c r="O365" s="103"/>
      <c r="P365" s="122"/>
    </row>
    <row r="366" spans="1:16" ht="40.15" hidden="1" customHeight="1" x14ac:dyDescent="0.3">
      <c r="A366" s="32"/>
      <c r="B366" s="95" t="s">
        <v>131</v>
      </c>
      <c r="C366" s="88"/>
      <c r="D366" s="88"/>
      <c r="E366" s="88"/>
      <c r="F366" s="34" t="s">
        <v>129</v>
      </c>
      <c r="G366" s="34"/>
      <c r="H366" s="34"/>
      <c r="I366" s="34"/>
      <c r="J366" s="101">
        <f>J368</f>
        <v>170.1</v>
      </c>
      <c r="K366" s="101"/>
      <c r="L366" s="101"/>
      <c r="M366" s="101"/>
      <c r="N366" s="101">
        <f>N368</f>
        <v>188.2</v>
      </c>
      <c r="O366" s="101">
        <f>O368</f>
        <v>0</v>
      </c>
      <c r="P366" s="124">
        <f>P368</f>
        <v>0</v>
      </c>
    </row>
    <row r="367" spans="1:16" ht="13" hidden="1" x14ac:dyDescent="0.25">
      <c r="A367" s="32"/>
      <c r="B367" s="108" t="s">
        <v>130</v>
      </c>
      <c r="C367" s="88"/>
      <c r="D367" s="88"/>
      <c r="E367" s="88"/>
      <c r="F367" s="9" t="s">
        <v>129</v>
      </c>
      <c r="G367" s="9" t="s">
        <v>120</v>
      </c>
      <c r="H367" s="9"/>
      <c r="I367" s="9"/>
      <c r="J367" s="103"/>
      <c r="K367" s="103"/>
      <c r="L367" s="103"/>
      <c r="M367" s="103"/>
      <c r="N367" s="103">
        <f>N368</f>
        <v>188.2</v>
      </c>
      <c r="O367" s="103">
        <f>O368</f>
        <v>0</v>
      </c>
      <c r="P367" s="122">
        <f>P368</f>
        <v>0</v>
      </c>
    </row>
    <row r="368" spans="1:16" ht="26" hidden="1" x14ac:dyDescent="0.3">
      <c r="A368" s="32"/>
      <c r="B368" s="82" t="s">
        <v>122</v>
      </c>
      <c r="C368" s="88"/>
      <c r="D368" s="88"/>
      <c r="E368" s="88"/>
      <c r="F368" s="9" t="s">
        <v>129</v>
      </c>
      <c r="G368" s="9" t="s">
        <v>120</v>
      </c>
      <c r="H368" s="9"/>
      <c r="I368" s="9" t="s">
        <v>119</v>
      </c>
      <c r="J368" s="103">
        <v>170.1</v>
      </c>
      <c r="K368" s="103"/>
      <c r="L368" s="103"/>
      <c r="M368" s="103"/>
      <c r="N368" s="103">
        <v>188.2</v>
      </c>
      <c r="O368" s="103"/>
      <c r="P368" s="122"/>
    </row>
    <row r="369" spans="1:16" ht="39" x14ac:dyDescent="0.25">
      <c r="A369" s="32"/>
      <c r="B369" s="107" t="s">
        <v>834</v>
      </c>
      <c r="C369" s="88"/>
      <c r="D369" s="88" t="s">
        <v>69</v>
      </c>
      <c r="E369" s="88" t="s">
        <v>103</v>
      </c>
      <c r="F369" s="34" t="s">
        <v>127</v>
      </c>
      <c r="G369" s="9"/>
      <c r="H369" s="9"/>
      <c r="I369" s="88"/>
      <c r="J369" s="101">
        <f>J370+J372</f>
        <v>547.5</v>
      </c>
      <c r="K369" s="101"/>
      <c r="L369" s="101">
        <f>L370+L372</f>
        <v>546.70000000000005</v>
      </c>
      <c r="M369" s="101">
        <f>M370+M372</f>
        <v>546.70000000000005</v>
      </c>
      <c r="N369" s="101">
        <f>N370+N372</f>
        <v>598.5</v>
      </c>
      <c r="O369" s="101">
        <f>O370+O372</f>
        <v>598.50800000000004</v>
      </c>
      <c r="P369" s="124">
        <f>P370+P372</f>
        <v>598.50800000000004</v>
      </c>
    </row>
    <row r="370" spans="1:16" ht="13" x14ac:dyDescent="0.3">
      <c r="A370" s="32"/>
      <c r="B370" s="106" t="s">
        <v>7</v>
      </c>
      <c r="C370" s="88"/>
      <c r="D370" s="88" t="s">
        <v>69</v>
      </c>
      <c r="E370" s="88" t="s">
        <v>103</v>
      </c>
      <c r="F370" s="9" t="s">
        <v>127</v>
      </c>
      <c r="G370" s="9" t="s">
        <v>5</v>
      </c>
      <c r="H370" s="9"/>
      <c r="I370" s="88"/>
      <c r="J370" s="103">
        <f>J371</f>
        <v>510.3</v>
      </c>
      <c r="K370" s="103"/>
      <c r="L370" s="103">
        <f>546.7-45.2</f>
        <v>501.50000000000006</v>
      </c>
      <c r="M370" s="103">
        <f>546.7-45.2</f>
        <v>501.50000000000006</v>
      </c>
      <c r="N370" s="103">
        <f>N371</f>
        <v>561.29999999999995</v>
      </c>
      <c r="O370" s="103">
        <f>O371</f>
        <v>561.30799999999999</v>
      </c>
      <c r="P370" s="122">
        <f>P371</f>
        <v>561.30799999999999</v>
      </c>
    </row>
    <row r="371" spans="1:16" ht="39" x14ac:dyDescent="0.25">
      <c r="A371" s="32"/>
      <c r="B371" s="52" t="s">
        <v>833</v>
      </c>
      <c r="C371" s="88"/>
      <c r="D371" s="88"/>
      <c r="E371" s="88"/>
      <c r="F371" s="9" t="s">
        <v>127</v>
      </c>
      <c r="G371" s="9" t="s">
        <v>5</v>
      </c>
      <c r="H371" s="9" t="s">
        <v>495</v>
      </c>
      <c r="I371" s="9" t="s">
        <v>832</v>
      </c>
      <c r="J371" s="103">
        <f>392.863+117.437</f>
        <v>510.3</v>
      </c>
      <c r="K371" s="103"/>
      <c r="L371" s="103">
        <f>546.7-45.2</f>
        <v>501.50000000000006</v>
      </c>
      <c r="M371" s="103">
        <f>546.7-45.2</f>
        <v>501.50000000000006</v>
      </c>
      <c r="N371" s="103">
        <v>561.29999999999995</v>
      </c>
      <c r="O371" s="103">
        <f>431.106+130.194+0.008</f>
        <v>561.30799999999999</v>
      </c>
      <c r="P371" s="122">
        <f>431.106+130.194+0.008</f>
        <v>561.30799999999999</v>
      </c>
    </row>
    <row r="372" spans="1:16" ht="26" x14ac:dyDescent="0.25">
      <c r="A372" s="32"/>
      <c r="B372" s="15" t="s">
        <v>4</v>
      </c>
      <c r="C372" s="88"/>
      <c r="D372" s="88"/>
      <c r="E372" s="88"/>
      <c r="F372" s="9" t="s">
        <v>127</v>
      </c>
      <c r="G372" s="9" t="s">
        <v>1</v>
      </c>
      <c r="H372" s="9"/>
      <c r="I372" s="88"/>
      <c r="J372" s="103">
        <f>J373</f>
        <v>37.200000000000003</v>
      </c>
      <c r="K372" s="103"/>
      <c r="L372" s="103">
        <v>45.2</v>
      </c>
      <c r="M372" s="103">
        <v>45.2</v>
      </c>
      <c r="N372" s="103">
        <f>N373</f>
        <v>37.200000000000003</v>
      </c>
      <c r="O372" s="103">
        <f>O373</f>
        <v>37.200000000000003</v>
      </c>
      <c r="P372" s="122">
        <f>P373</f>
        <v>37.200000000000003</v>
      </c>
    </row>
    <row r="373" spans="1:16" ht="39" x14ac:dyDescent="0.25">
      <c r="A373" s="32"/>
      <c r="B373" s="52" t="s">
        <v>833</v>
      </c>
      <c r="C373" s="88"/>
      <c r="D373" s="88"/>
      <c r="E373" s="88"/>
      <c r="F373" s="9" t="s">
        <v>127</v>
      </c>
      <c r="G373" s="9" t="s">
        <v>1</v>
      </c>
      <c r="H373" s="9" t="s">
        <v>495</v>
      </c>
      <c r="I373" s="9" t="s">
        <v>832</v>
      </c>
      <c r="J373" s="103">
        <f>17.5+15.7+4</f>
        <v>37.200000000000003</v>
      </c>
      <c r="K373" s="103"/>
      <c r="L373" s="103">
        <v>45.2</v>
      </c>
      <c r="M373" s="103">
        <v>45.2</v>
      </c>
      <c r="N373" s="103">
        <v>37.200000000000003</v>
      </c>
      <c r="O373" s="103">
        <v>37.200000000000003</v>
      </c>
      <c r="P373" s="122">
        <v>37.200000000000003</v>
      </c>
    </row>
    <row r="374" spans="1:16" ht="42" hidden="1" customHeight="1" x14ac:dyDescent="0.25">
      <c r="A374" s="32"/>
      <c r="B374" s="52" t="s">
        <v>122</v>
      </c>
      <c r="C374" s="9"/>
      <c r="D374" s="94" t="s">
        <v>69</v>
      </c>
      <c r="E374" s="34" t="s">
        <v>119</v>
      </c>
      <c r="F374" s="94" t="s">
        <v>71</v>
      </c>
      <c r="G374" s="94" t="s">
        <v>71</v>
      </c>
      <c r="H374" s="94"/>
      <c r="I374" s="34"/>
      <c r="J374" s="78">
        <f>J375</f>
        <v>0</v>
      </c>
      <c r="K374" s="78"/>
      <c r="L374" s="78">
        <f t="shared" ref="L374:P376" si="39">L375</f>
        <v>99.305000000000007</v>
      </c>
      <c r="M374" s="78">
        <f t="shared" si="39"/>
        <v>99.305000000000007</v>
      </c>
      <c r="N374" s="78">
        <f t="shared" si="39"/>
        <v>0</v>
      </c>
      <c r="O374" s="78">
        <f t="shared" si="39"/>
        <v>0</v>
      </c>
      <c r="P374" s="96">
        <f t="shared" si="39"/>
        <v>0</v>
      </c>
    </row>
    <row r="375" spans="1:16" ht="39" hidden="1" x14ac:dyDescent="0.25">
      <c r="A375" s="32"/>
      <c r="B375" s="52" t="s">
        <v>126</v>
      </c>
      <c r="C375" s="9"/>
      <c r="D375" s="94" t="s">
        <v>69</v>
      </c>
      <c r="E375" s="94" t="s">
        <v>119</v>
      </c>
      <c r="F375" s="34" t="s">
        <v>125</v>
      </c>
      <c r="G375" s="79"/>
      <c r="H375" s="79"/>
      <c r="I375" s="94"/>
      <c r="J375" s="78">
        <f>J376</f>
        <v>0</v>
      </c>
      <c r="K375" s="78"/>
      <c r="L375" s="78">
        <f t="shared" si="39"/>
        <v>99.305000000000007</v>
      </c>
      <c r="M375" s="78">
        <f t="shared" si="39"/>
        <v>99.305000000000007</v>
      </c>
      <c r="N375" s="78">
        <f t="shared" si="39"/>
        <v>0</v>
      </c>
      <c r="O375" s="78">
        <f t="shared" si="39"/>
        <v>0</v>
      </c>
      <c r="P375" s="96">
        <f t="shared" si="39"/>
        <v>0</v>
      </c>
    </row>
    <row r="376" spans="1:16" ht="68.5" hidden="1" customHeight="1" x14ac:dyDescent="0.25">
      <c r="A376" s="32"/>
      <c r="B376" s="105" t="s">
        <v>124</v>
      </c>
      <c r="C376" s="9"/>
      <c r="D376" s="88" t="s">
        <v>69</v>
      </c>
      <c r="E376" s="88" t="s">
        <v>119</v>
      </c>
      <c r="F376" s="34" t="s">
        <v>121</v>
      </c>
      <c r="G376" s="9"/>
      <c r="H376" s="9"/>
      <c r="I376" s="88"/>
      <c r="J376" s="103">
        <f>J377</f>
        <v>0</v>
      </c>
      <c r="K376" s="103"/>
      <c r="L376" s="103">
        <f t="shared" si="39"/>
        <v>99.305000000000007</v>
      </c>
      <c r="M376" s="103">
        <f t="shared" si="39"/>
        <v>99.305000000000007</v>
      </c>
      <c r="N376" s="103">
        <f t="shared" si="39"/>
        <v>0</v>
      </c>
      <c r="O376" s="103">
        <f t="shared" si="39"/>
        <v>0</v>
      </c>
      <c r="P376" s="122">
        <f t="shared" si="39"/>
        <v>0</v>
      </c>
    </row>
    <row r="377" spans="1:16" ht="13.9" hidden="1" customHeight="1" x14ac:dyDescent="0.3">
      <c r="A377" s="32"/>
      <c r="B377" s="86" t="s">
        <v>123</v>
      </c>
      <c r="C377" s="9"/>
      <c r="D377" s="88" t="s">
        <v>69</v>
      </c>
      <c r="E377" s="88" t="s">
        <v>119</v>
      </c>
      <c r="F377" s="9" t="s">
        <v>121</v>
      </c>
      <c r="G377" s="9" t="s">
        <v>120</v>
      </c>
      <c r="H377" s="9"/>
      <c r="I377" s="88"/>
      <c r="J377" s="103">
        <f>J378</f>
        <v>0</v>
      </c>
      <c r="K377" s="103"/>
      <c r="L377" s="103">
        <v>99.305000000000007</v>
      </c>
      <c r="M377" s="103">
        <v>99.305000000000007</v>
      </c>
      <c r="N377" s="103">
        <f>N378</f>
        <v>0</v>
      </c>
      <c r="O377" s="103">
        <f>O378</f>
        <v>0</v>
      </c>
      <c r="P377" s="122">
        <f>P378</f>
        <v>0</v>
      </c>
    </row>
    <row r="378" spans="1:16" ht="28.15" hidden="1" customHeight="1" x14ac:dyDescent="0.3">
      <c r="A378" s="32"/>
      <c r="B378" s="82" t="s">
        <v>122</v>
      </c>
      <c r="C378" s="9"/>
      <c r="D378" s="88"/>
      <c r="E378" s="88"/>
      <c r="F378" s="9" t="s">
        <v>121</v>
      </c>
      <c r="G378" s="9" t="s">
        <v>120</v>
      </c>
      <c r="H378" s="9"/>
      <c r="I378" s="88" t="s">
        <v>119</v>
      </c>
      <c r="J378" s="103"/>
      <c r="K378" s="103"/>
      <c r="L378" s="103">
        <v>99.305000000000007</v>
      </c>
      <c r="M378" s="103">
        <v>99.305000000000007</v>
      </c>
      <c r="N378" s="103"/>
      <c r="O378" s="103"/>
      <c r="P378" s="122"/>
    </row>
    <row r="379" spans="1:16" ht="54.65" hidden="1" customHeight="1" x14ac:dyDescent="0.25">
      <c r="A379" s="32"/>
      <c r="B379" s="102" t="s">
        <v>118</v>
      </c>
      <c r="C379" s="9"/>
      <c r="D379" s="88"/>
      <c r="E379" s="88"/>
      <c r="F379" s="34" t="s">
        <v>117</v>
      </c>
      <c r="G379" s="9"/>
      <c r="H379" s="9"/>
      <c r="I379" s="88"/>
      <c r="J379" s="103"/>
      <c r="K379" s="103"/>
      <c r="L379" s="103"/>
      <c r="M379" s="103"/>
      <c r="N379" s="103">
        <f t="shared" ref="N379:N382" si="40">N380</f>
        <v>599.60299999999995</v>
      </c>
      <c r="O379" s="103"/>
      <c r="P379" s="122"/>
    </row>
    <row r="380" spans="1:16" ht="28.15" hidden="1" customHeight="1" x14ac:dyDescent="0.25">
      <c r="A380" s="32"/>
      <c r="B380" s="102" t="s">
        <v>109</v>
      </c>
      <c r="C380" s="9"/>
      <c r="D380" s="88"/>
      <c r="E380" s="88"/>
      <c r="F380" s="9" t="s">
        <v>116</v>
      </c>
      <c r="G380" s="9"/>
      <c r="H380" s="9"/>
      <c r="I380" s="88"/>
      <c r="J380" s="103"/>
      <c r="K380" s="103"/>
      <c r="L380" s="103"/>
      <c r="M380" s="103"/>
      <c r="N380" s="103">
        <f t="shared" si="40"/>
        <v>599.60299999999995</v>
      </c>
      <c r="O380" s="103"/>
      <c r="P380" s="122"/>
    </row>
    <row r="381" spans="1:16" ht="28.15" hidden="1" customHeight="1" x14ac:dyDescent="0.25">
      <c r="A381" s="32"/>
      <c r="B381" s="104" t="s">
        <v>115</v>
      </c>
      <c r="C381" s="9"/>
      <c r="D381" s="88"/>
      <c r="E381" s="88"/>
      <c r="F381" s="9" t="s">
        <v>113</v>
      </c>
      <c r="G381" s="9"/>
      <c r="H381" s="9"/>
      <c r="I381" s="88"/>
      <c r="J381" s="103"/>
      <c r="K381" s="103"/>
      <c r="L381" s="103"/>
      <c r="M381" s="103"/>
      <c r="N381" s="103">
        <f t="shared" si="40"/>
        <v>599.60299999999995</v>
      </c>
      <c r="O381" s="103"/>
      <c r="P381" s="122"/>
    </row>
    <row r="382" spans="1:16" ht="16.149999999999999" hidden="1" customHeight="1" x14ac:dyDescent="0.3">
      <c r="A382" s="32"/>
      <c r="B382" s="16" t="s">
        <v>7</v>
      </c>
      <c r="C382" s="9"/>
      <c r="D382" s="88"/>
      <c r="E382" s="88"/>
      <c r="F382" s="9" t="s">
        <v>113</v>
      </c>
      <c r="G382" s="9" t="s">
        <v>5</v>
      </c>
      <c r="H382" s="9"/>
      <c r="I382" s="88"/>
      <c r="J382" s="103"/>
      <c r="K382" s="103"/>
      <c r="L382" s="103"/>
      <c r="M382" s="103"/>
      <c r="N382" s="103">
        <f t="shared" si="40"/>
        <v>599.60299999999995</v>
      </c>
      <c r="O382" s="103"/>
      <c r="P382" s="122"/>
    </row>
    <row r="383" spans="1:16" ht="40.15" hidden="1" customHeight="1" x14ac:dyDescent="0.3">
      <c r="A383" s="32"/>
      <c r="B383" s="95" t="s">
        <v>114</v>
      </c>
      <c r="C383" s="9"/>
      <c r="D383" s="88"/>
      <c r="E383" s="88"/>
      <c r="F383" s="9" t="s">
        <v>113</v>
      </c>
      <c r="G383" s="9" t="s">
        <v>5</v>
      </c>
      <c r="H383" s="9" t="s">
        <v>456</v>
      </c>
      <c r="I383" s="9" t="s">
        <v>495</v>
      </c>
      <c r="J383" s="103"/>
      <c r="K383" s="103"/>
      <c r="L383" s="103"/>
      <c r="M383" s="103"/>
      <c r="N383" s="103">
        <v>599.60299999999995</v>
      </c>
      <c r="O383" s="1"/>
      <c r="P383" s="1"/>
    </row>
    <row r="384" spans="1:16" ht="52" x14ac:dyDescent="0.25">
      <c r="A384" s="32"/>
      <c r="B384" s="102" t="s">
        <v>111</v>
      </c>
      <c r="C384" s="88"/>
      <c r="D384" s="88"/>
      <c r="E384" s="88"/>
      <c r="F384" s="34" t="s">
        <v>110</v>
      </c>
      <c r="G384" s="88"/>
      <c r="H384" s="88"/>
      <c r="I384" s="88"/>
      <c r="J384" s="87">
        <f>J385</f>
        <v>1183.2429999999999</v>
      </c>
      <c r="K384" s="53"/>
      <c r="L384" s="53"/>
      <c r="M384" s="7"/>
      <c r="N384" s="87">
        <f t="shared" ref="N384:P387" si="41">N385</f>
        <v>1450.866</v>
      </c>
      <c r="O384" s="87">
        <f t="shared" si="41"/>
        <v>1540.4269999999999</v>
      </c>
      <c r="P384" s="96">
        <f t="shared" si="41"/>
        <v>1632.8530000000001</v>
      </c>
    </row>
    <row r="385" spans="1:24" ht="21" customHeight="1" x14ac:dyDescent="0.25">
      <c r="A385" s="32"/>
      <c r="B385" s="102" t="s">
        <v>109</v>
      </c>
      <c r="C385" s="88"/>
      <c r="D385" s="88"/>
      <c r="E385" s="88"/>
      <c r="F385" s="9" t="s">
        <v>108</v>
      </c>
      <c r="G385" s="88"/>
      <c r="H385" s="88"/>
      <c r="I385" s="88"/>
      <c r="J385" s="53">
        <f>J386</f>
        <v>1183.2429999999999</v>
      </c>
      <c r="K385" s="53"/>
      <c r="L385" s="53"/>
      <c r="M385" s="7"/>
      <c r="N385" s="53">
        <f t="shared" si="41"/>
        <v>1450.866</v>
      </c>
      <c r="O385" s="53">
        <f t="shared" si="41"/>
        <v>1540.4269999999999</v>
      </c>
      <c r="P385" s="429">
        <f t="shared" si="41"/>
        <v>1632.8530000000001</v>
      </c>
    </row>
    <row r="386" spans="1:24" ht="26" x14ac:dyDescent="0.25">
      <c r="A386" s="32"/>
      <c r="B386" s="49" t="s">
        <v>107</v>
      </c>
      <c r="C386" s="88" t="s">
        <v>106</v>
      </c>
      <c r="D386" s="88" t="s">
        <v>69</v>
      </c>
      <c r="E386" s="88" t="s">
        <v>103</v>
      </c>
      <c r="F386" s="9" t="s">
        <v>104</v>
      </c>
      <c r="G386" s="9"/>
      <c r="H386" s="9"/>
      <c r="I386" s="88"/>
      <c r="J386" s="93">
        <f>J387</f>
        <v>1183.2429999999999</v>
      </c>
      <c r="K386" s="92"/>
      <c r="L386" s="92">
        <f>L387</f>
        <v>1223.8879999999999</v>
      </c>
      <c r="M386" s="101">
        <f>M387</f>
        <v>1309.56</v>
      </c>
      <c r="N386" s="93">
        <f t="shared" si="41"/>
        <v>1450.866</v>
      </c>
      <c r="O386" s="93">
        <f t="shared" si="41"/>
        <v>1540.4269999999999</v>
      </c>
      <c r="P386" s="122">
        <f t="shared" si="41"/>
        <v>1632.8530000000001</v>
      </c>
    </row>
    <row r="387" spans="1:24" ht="13" x14ac:dyDescent="0.3">
      <c r="A387" s="32"/>
      <c r="B387" s="16" t="s">
        <v>7</v>
      </c>
      <c r="C387" s="88"/>
      <c r="D387" s="88" t="s">
        <v>69</v>
      </c>
      <c r="E387" s="88" t="s">
        <v>103</v>
      </c>
      <c r="F387" s="9" t="s">
        <v>104</v>
      </c>
      <c r="G387" s="88">
        <v>120</v>
      </c>
      <c r="H387" s="88"/>
      <c r="I387" s="88"/>
      <c r="J387" s="93">
        <f>J388</f>
        <v>1183.2429999999999</v>
      </c>
      <c r="K387" s="93"/>
      <c r="L387" s="53">
        <v>1223.8879999999999</v>
      </c>
      <c r="M387" s="53">
        <v>1309.56</v>
      </c>
      <c r="N387" s="93">
        <f t="shared" si="41"/>
        <v>1450.866</v>
      </c>
      <c r="O387" s="93">
        <f t="shared" si="41"/>
        <v>1540.4269999999999</v>
      </c>
      <c r="P387" s="122">
        <f t="shared" si="41"/>
        <v>1632.8530000000001</v>
      </c>
    </row>
    <row r="388" spans="1:24" ht="39" x14ac:dyDescent="0.3">
      <c r="A388" s="32"/>
      <c r="B388" s="100" t="s">
        <v>105</v>
      </c>
      <c r="C388" s="88"/>
      <c r="D388" s="88"/>
      <c r="E388" s="88"/>
      <c r="F388" s="9" t="s">
        <v>104</v>
      </c>
      <c r="G388" s="88">
        <v>120</v>
      </c>
      <c r="H388" s="9" t="s">
        <v>456</v>
      </c>
      <c r="I388" s="9" t="s">
        <v>452</v>
      </c>
      <c r="J388" s="93">
        <f>946.688+236.555</f>
        <v>1183.2429999999999</v>
      </c>
      <c r="K388" s="93"/>
      <c r="L388" s="53">
        <v>1223.8879999999999</v>
      </c>
      <c r="M388" s="53">
        <v>1309.56</v>
      </c>
      <c r="N388" s="93">
        <v>1450.866</v>
      </c>
      <c r="O388" s="93">
        <v>1540.4269999999999</v>
      </c>
      <c r="P388" s="122">
        <v>1632.8530000000001</v>
      </c>
    </row>
    <row r="389" spans="1:24" ht="26" x14ac:dyDescent="0.25">
      <c r="A389" s="91">
        <v>10</v>
      </c>
      <c r="B389" s="52" t="s">
        <v>102</v>
      </c>
      <c r="C389" s="34"/>
      <c r="D389" s="34" t="s">
        <v>69</v>
      </c>
      <c r="E389" s="34" t="s">
        <v>90</v>
      </c>
      <c r="F389" s="34" t="s">
        <v>101</v>
      </c>
      <c r="G389" s="34"/>
      <c r="H389" s="34"/>
      <c r="I389" s="34"/>
      <c r="J389" s="78">
        <f>J391</f>
        <v>213.2</v>
      </c>
      <c r="K389" s="78"/>
      <c r="L389" s="78">
        <f>L392</f>
        <v>108</v>
      </c>
      <c r="M389" s="78">
        <f>M392</f>
        <v>108</v>
      </c>
      <c r="N389" s="78">
        <f t="shared" ref="N389:P390" si="42">N390</f>
        <v>293.2</v>
      </c>
      <c r="O389" s="78">
        <f t="shared" si="42"/>
        <v>826.08699999999999</v>
      </c>
      <c r="P389" s="96">
        <f t="shared" si="42"/>
        <v>875.65099999999995</v>
      </c>
    </row>
    <row r="390" spans="1:24" ht="13" x14ac:dyDescent="0.25">
      <c r="A390" s="91"/>
      <c r="B390" s="49" t="s">
        <v>83</v>
      </c>
      <c r="C390" s="34"/>
      <c r="D390" s="34"/>
      <c r="E390" s="34"/>
      <c r="F390" s="9" t="s">
        <v>100</v>
      </c>
      <c r="G390" s="34"/>
      <c r="H390" s="34"/>
      <c r="I390" s="34"/>
      <c r="J390" s="78"/>
      <c r="K390" s="78"/>
      <c r="L390" s="78"/>
      <c r="M390" s="78"/>
      <c r="N390" s="7">
        <f t="shared" si="42"/>
        <v>293.2</v>
      </c>
      <c r="O390" s="7">
        <f t="shared" si="42"/>
        <v>826.08699999999999</v>
      </c>
      <c r="P390" s="429">
        <f t="shared" si="42"/>
        <v>875.65099999999995</v>
      </c>
    </row>
    <row r="391" spans="1:24" ht="13" x14ac:dyDescent="0.25">
      <c r="A391" s="91"/>
      <c r="B391" s="49" t="s">
        <v>83</v>
      </c>
      <c r="C391" s="34"/>
      <c r="D391" s="34"/>
      <c r="E391" s="34"/>
      <c r="F391" s="9" t="s">
        <v>99</v>
      </c>
      <c r="G391" s="34"/>
      <c r="H391" s="34"/>
      <c r="I391" s="34"/>
      <c r="J391" s="7">
        <f>J394+J398</f>
        <v>213.2</v>
      </c>
      <c r="K391" s="78"/>
      <c r="L391" s="78"/>
      <c r="M391" s="78"/>
      <c r="N391" s="7">
        <f>N394+N398</f>
        <v>293.2</v>
      </c>
      <c r="O391" s="7">
        <f>O394+O398</f>
        <v>826.08699999999999</v>
      </c>
      <c r="P391" s="429">
        <f>P394+P398</f>
        <v>875.65099999999995</v>
      </c>
    </row>
    <row r="392" spans="1:24" ht="13" x14ac:dyDescent="0.25">
      <c r="A392" s="32"/>
      <c r="B392" s="49" t="s">
        <v>98</v>
      </c>
      <c r="C392" s="34"/>
      <c r="D392" s="9" t="s">
        <v>69</v>
      </c>
      <c r="E392" s="9" t="s">
        <v>90</v>
      </c>
      <c r="F392" s="9" t="s">
        <v>92</v>
      </c>
      <c r="G392" s="34"/>
      <c r="H392" s="34"/>
      <c r="I392" s="9"/>
      <c r="J392" s="7">
        <f>J393</f>
        <v>198.2</v>
      </c>
      <c r="K392" s="7"/>
      <c r="L392" s="7">
        <f>L393+L397</f>
        <v>108</v>
      </c>
      <c r="M392" s="7">
        <f>M393+M397</f>
        <v>108</v>
      </c>
      <c r="N392" s="7">
        <f t="shared" ref="N392:P393" si="43">N393</f>
        <v>260</v>
      </c>
      <c r="O392" s="7">
        <f t="shared" si="43"/>
        <v>726.08699999999999</v>
      </c>
      <c r="P392" s="429">
        <f t="shared" si="43"/>
        <v>775.65099999999995</v>
      </c>
    </row>
    <row r="393" spans="1:24" ht="26" x14ac:dyDescent="0.25">
      <c r="A393" s="32"/>
      <c r="B393" s="15" t="s">
        <v>4</v>
      </c>
      <c r="C393" s="34"/>
      <c r="D393" s="9" t="s">
        <v>69</v>
      </c>
      <c r="E393" s="9" t="s">
        <v>90</v>
      </c>
      <c r="F393" s="9" t="s">
        <v>92</v>
      </c>
      <c r="G393" s="9" t="s">
        <v>1</v>
      </c>
      <c r="H393" s="9"/>
      <c r="I393" s="9"/>
      <c r="J393" s="7">
        <f>J394</f>
        <v>198.2</v>
      </c>
      <c r="K393" s="7"/>
      <c r="L393" s="7">
        <v>105</v>
      </c>
      <c r="M393" s="7">
        <v>105</v>
      </c>
      <c r="N393" s="7">
        <f t="shared" si="43"/>
        <v>260</v>
      </c>
      <c r="O393" s="7">
        <f t="shared" si="43"/>
        <v>726.08699999999999</v>
      </c>
      <c r="P393" s="429">
        <f t="shared" si="43"/>
        <v>775.65099999999995</v>
      </c>
    </row>
    <row r="394" spans="1:24" ht="13" x14ac:dyDescent="0.25">
      <c r="A394" s="32"/>
      <c r="B394" s="52" t="s">
        <v>93</v>
      </c>
      <c r="C394" s="34"/>
      <c r="D394" s="9"/>
      <c r="E394" s="9"/>
      <c r="F394" s="9" t="s">
        <v>92</v>
      </c>
      <c r="G394" s="9" t="s">
        <v>1</v>
      </c>
      <c r="H394" s="9" t="s">
        <v>456</v>
      </c>
      <c r="I394" s="9" t="s">
        <v>573</v>
      </c>
      <c r="J394" s="7">
        <v>198.2</v>
      </c>
      <c r="K394" s="7"/>
      <c r="L394" s="7">
        <v>105</v>
      </c>
      <c r="M394" s="7">
        <v>105</v>
      </c>
      <c r="N394" s="7">
        <v>260</v>
      </c>
      <c r="O394" s="7">
        <f>726.095-0.008</f>
        <v>726.08699999999999</v>
      </c>
      <c r="P394" s="429">
        <f>775.659-0.008</f>
        <v>775.65099999999995</v>
      </c>
    </row>
    <row r="395" spans="1:24" ht="13" hidden="1" x14ac:dyDescent="0.25">
      <c r="A395" s="32"/>
      <c r="B395" s="99" t="s">
        <v>97</v>
      </c>
      <c r="C395" s="34"/>
      <c r="D395" s="9" t="s">
        <v>69</v>
      </c>
      <c r="E395" s="9" t="s">
        <v>90</v>
      </c>
      <c r="F395" s="9" t="s">
        <v>96</v>
      </c>
      <c r="G395" s="9" t="s">
        <v>95</v>
      </c>
      <c r="H395" s="9"/>
      <c r="I395" s="7"/>
      <c r="J395" s="7">
        <f>J396</f>
        <v>0</v>
      </c>
      <c r="K395" s="7"/>
      <c r="L395" s="7"/>
      <c r="M395" s="2"/>
      <c r="N395" s="7">
        <f>N396</f>
        <v>0</v>
      </c>
      <c r="O395" s="7">
        <f>O396</f>
        <v>0</v>
      </c>
      <c r="P395" s="429">
        <f>P396</f>
        <v>0</v>
      </c>
      <c r="Q395" s="98"/>
    </row>
    <row r="396" spans="1:24" ht="13" hidden="1" x14ac:dyDescent="0.25">
      <c r="A396" s="32"/>
      <c r="B396" s="52" t="s">
        <v>93</v>
      </c>
      <c r="C396" s="34"/>
      <c r="D396" s="9"/>
      <c r="E396" s="9"/>
      <c r="F396" s="9" t="s">
        <v>96</v>
      </c>
      <c r="G396" s="9" t="s">
        <v>95</v>
      </c>
      <c r="H396" s="9"/>
      <c r="I396" s="9" t="s">
        <v>90</v>
      </c>
      <c r="J396" s="7"/>
      <c r="K396" s="7"/>
      <c r="L396" s="7"/>
      <c r="M396" s="7"/>
      <c r="N396" s="7"/>
      <c r="O396" s="7"/>
      <c r="P396" s="429"/>
    </row>
    <row r="397" spans="1:24" ht="13" x14ac:dyDescent="0.3">
      <c r="A397" s="32"/>
      <c r="B397" s="86" t="s">
        <v>94</v>
      </c>
      <c r="C397" s="34"/>
      <c r="D397" s="9" t="s">
        <v>69</v>
      </c>
      <c r="E397" s="9" t="s">
        <v>90</v>
      </c>
      <c r="F397" s="9" t="s">
        <v>92</v>
      </c>
      <c r="G397" s="9" t="s">
        <v>91</v>
      </c>
      <c r="H397" s="9"/>
      <c r="I397" s="9"/>
      <c r="J397" s="7">
        <f>J398</f>
        <v>15</v>
      </c>
      <c r="K397" s="7"/>
      <c r="L397" s="7">
        <v>3</v>
      </c>
      <c r="M397" s="7">
        <v>3</v>
      </c>
      <c r="N397" s="7">
        <f>N398</f>
        <v>33.200000000000003</v>
      </c>
      <c r="O397" s="7">
        <f>O398</f>
        <v>100</v>
      </c>
      <c r="P397" s="429">
        <f>P398</f>
        <v>100</v>
      </c>
    </row>
    <row r="398" spans="1:24" ht="13" x14ac:dyDescent="0.25">
      <c r="A398" s="32"/>
      <c r="B398" s="52" t="s">
        <v>93</v>
      </c>
      <c r="C398" s="34"/>
      <c r="D398" s="9"/>
      <c r="E398" s="9"/>
      <c r="F398" s="9" t="s">
        <v>92</v>
      </c>
      <c r="G398" s="9" t="s">
        <v>91</v>
      </c>
      <c r="H398" s="9" t="s">
        <v>456</v>
      </c>
      <c r="I398" s="9" t="s">
        <v>573</v>
      </c>
      <c r="J398" s="7">
        <f>13+2</f>
        <v>15</v>
      </c>
      <c r="K398" s="7"/>
      <c r="L398" s="7">
        <v>3</v>
      </c>
      <c r="M398" s="7">
        <v>3</v>
      </c>
      <c r="N398" s="7">
        <v>33.200000000000003</v>
      </c>
      <c r="O398" s="7">
        <v>100</v>
      </c>
      <c r="P398" s="429">
        <v>100</v>
      </c>
    </row>
    <row r="399" spans="1:24" s="83" customFormat="1" ht="39" x14ac:dyDescent="0.3">
      <c r="A399" s="91">
        <v>11</v>
      </c>
      <c r="B399" s="52" t="s">
        <v>25</v>
      </c>
      <c r="C399" s="9"/>
      <c r="D399" s="94" t="s">
        <v>69</v>
      </c>
      <c r="E399" s="34" t="s">
        <v>66</v>
      </c>
      <c r="F399" s="94" t="s">
        <v>89</v>
      </c>
      <c r="G399" s="94"/>
      <c r="H399" s="94"/>
      <c r="I399" s="34"/>
      <c r="J399" s="97">
        <f>J411+J423+J426+J429+J433+J452+J455+J463+J406+J441+J420+J408+J446+J449+J400+J416+J417+J468</f>
        <v>32462.342000000001</v>
      </c>
      <c r="K399" s="53"/>
      <c r="L399" s="87">
        <f>L411+L423+L426+L429+L433+L452+L455+L471+L406+L441</f>
        <v>13168.182999999999</v>
      </c>
      <c r="M399" s="87">
        <f>M411+M423+M426+M429+M433+M452+M455+M471+M406+M441</f>
        <v>13168.182999999999</v>
      </c>
      <c r="N399" s="97">
        <f>N407+N413+N431+N440+N442+N445+N454+N465+N467+N470</f>
        <v>12909.142999999998</v>
      </c>
      <c r="O399" s="97">
        <f>O407+O413+O431+O440+O442+O445+O454+O465+O467+O470+O425+O471</f>
        <v>8537.5169999999998</v>
      </c>
      <c r="P399" s="96">
        <f>P407+P413+P431+P440+P442+P445+P454+P465+P467+P470+P425+P471</f>
        <v>8412.777</v>
      </c>
      <c r="Q399" s="84"/>
      <c r="R399" s="84"/>
      <c r="S399" s="84"/>
      <c r="T399" s="84"/>
      <c r="U399" s="84"/>
      <c r="V399" s="84"/>
      <c r="W399" s="84"/>
      <c r="X399" s="84"/>
    </row>
    <row r="400" spans="1:24" s="83" customFormat="1" ht="26" hidden="1" x14ac:dyDescent="0.3">
      <c r="A400" s="91"/>
      <c r="B400" s="95" t="s">
        <v>88</v>
      </c>
      <c r="C400" s="9"/>
      <c r="D400" s="94"/>
      <c r="E400" s="34"/>
      <c r="F400" s="34" t="s">
        <v>86</v>
      </c>
      <c r="G400" s="94"/>
      <c r="H400" s="94"/>
      <c r="I400" s="34"/>
      <c r="J400" s="93"/>
      <c r="K400" s="53"/>
      <c r="L400" s="87"/>
      <c r="M400" s="87"/>
      <c r="N400" s="93"/>
      <c r="O400" s="93"/>
      <c r="P400" s="122"/>
      <c r="Q400" s="84"/>
      <c r="R400" s="84"/>
      <c r="S400" s="84"/>
      <c r="T400" s="84"/>
      <c r="U400" s="84"/>
      <c r="V400" s="84"/>
      <c r="W400" s="84"/>
      <c r="X400" s="84"/>
    </row>
    <row r="401" spans="1:24" s="83" customFormat="1" ht="26" hidden="1" x14ac:dyDescent="0.3">
      <c r="A401" s="91"/>
      <c r="B401" s="15" t="s">
        <v>4</v>
      </c>
      <c r="C401" s="9"/>
      <c r="D401" s="94"/>
      <c r="E401" s="34"/>
      <c r="F401" s="9" t="s">
        <v>86</v>
      </c>
      <c r="G401" s="9" t="s">
        <v>1</v>
      </c>
      <c r="H401" s="9"/>
      <c r="I401" s="34"/>
      <c r="J401" s="93"/>
      <c r="K401" s="53"/>
      <c r="L401" s="87"/>
      <c r="M401" s="87"/>
      <c r="N401" s="93"/>
      <c r="O401" s="93"/>
      <c r="P401" s="122"/>
      <c r="Q401" s="84"/>
      <c r="R401" s="84"/>
      <c r="S401" s="84"/>
      <c r="T401" s="84"/>
      <c r="U401" s="84"/>
      <c r="V401" s="84"/>
      <c r="W401" s="84"/>
      <c r="X401" s="84"/>
    </row>
    <row r="402" spans="1:24" s="83" customFormat="1" ht="13" hidden="1" x14ac:dyDescent="0.3">
      <c r="A402" s="91"/>
      <c r="B402" s="49" t="s">
        <v>87</v>
      </c>
      <c r="C402" s="9"/>
      <c r="D402" s="94"/>
      <c r="E402" s="34"/>
      <c r="F402" s="9" t="s">
        <v>86</v>
      </c>
      <c r="G402" s="9" t="s">
        <v>1</v>
      </c>
      <c r="H402" s="9"/>
      <c r="I402" s="33" t="s">
        <v>85</v>
      </c>
      <c r="J402" s="93"/>
      <c r="K402" s="53"/>
      <c r="L402" s="87"/>
      <c r="M402" s="87"/>
      <c r="N402" s="93"/>
      <c r="O402" s="93"/>
      <c r="P402" s="122"/>
      <c r="Q402" s="84"/>
      <c r="R402" s="84"/>
      <c r="S402" s="84"/>
      <c r="T402" s="84"/>
      <c r="U402" s="84"/>
      <c r="V402" s="84"/>
      <c r="W402" s="84"/>
      <c r="X402" s="84"/>
    </row>
    <row r="403" spans="1:24" s="83" customFormat="1" ht="13" x14ac:dyDescent="0.3">
      <c r="A403" s="91"/>
      <c r="B403" s="49" t="s">
        <v>83</v>
      </c>
      <c r="C403" s="9"/>
      <c r="D403" s="94"/>
      <c r="E403" s="34"/>
      <c r="F403" s="88" t="s">
        <v>84</v>
      </c>
      <c r="G403" s="9"/>
      <c r="H403" s="9"/>
      <c r="I403" s="33"/>
      <c r="J403" s="93">
        <f>J404</f>
        <v>32462.342000000001</v>
      </c>
      <c r="K403" s="53"/>
      <c r="L403" s="87"/>
      <c r="M403" s="87"/>
      <c r="N403" s="93">
        <f>N404</f>
        <v>12909.142999999998</v>
      </c>
      <c r="O403" s="93">
        <f>O404</f>
        <v>8537.5169999999998</v>
      </c>
      <c r="P403" s="122">
        <f>P404</f>
        <v>8412.777</v>
      </c>
      <c r="Q403" s="84"/>
      <c r="R403" s="84"/>
      <c r="S403" s="84"/>
      <c r="T403" s="84"/>
      <c r="U403" s="84"/>
      <c r="V403" s="84"/>
      <c r="W403" s="84"/>
      <c r="X403" s="84"/>
    </row>
    <row r="404" spans="1:24" s="83" customFormat="1" ht="13" x14ac:dyDescent="0.3">
      <c r="A404" s="91"/>
      <c r="B404" s="49" t="s">
        <v>83</v>
      </c>
      <c r="C404" s="9"/>
      <c r="D404" s="94"/>
      <c r="E404" s="34"/>
      <c r="F404" s="88" t="s">
        <v>82</v>
      </c>
      <c r="G404" s="9"/>
      <c r="H404" s="9"/>
      <c r="I404" s="33"/>
      <c r="J404" s="93">
        <f>J399</f>
        <v>32462.342000000001</v>
      </c>
      <c r="K404" s="53"/>
      <c r="L404" s="87"/>
      <c r="M404" s="87"/>
      <c r="N404" s="93">
        <f>N399</f>
        <v>12909.142999999998</v>
      </c>
      <c r="O404" s="93">
        <f>O399</f>
        <v>8537.5169999999998</v>
      </c>
      <c r="P404" s="122">
        <f>P399</f>
        <v>8412.777</v>
      </c>
      <c r="Q404" s="84"/>
      <c r="R404" s="84"/>
      <c r="S404" s="84"/>
      <c r="T404" s="84"/>
      <c r="U404" s="84"/>
      <c r="V404" s="84"/>
      <c r="W404" s="84"/>
      <c r="X404" s="84"/>
    </row>
    <row r="405" spans="1:24" s="83" customFormat="1" ht="13" x14ac:dyDescent="0.3">
      <c r="A405" s="91"/>
      <c r="B405" s="262" t="s">
        <v>81</v>
      </c>
      <c r="C405" s="9"/>
      <c r="D405" s="94"/>
      <c r="E405" s="34"/>
      <c r="F405" s="79" t="s">
        <v>78</v>
      </c>
      <c r="G405" s="9"/>
      <c r="H405" s="9"/>
      <c r="I405" s="33"/>
      <c r="J405" s="93">
        <f>J406</f>
        <v>48</v>
      </c>
      <c r="K405" s="53"/>
      <c r="L405" s="87"/>
      <c r="M405" s="87"/>
      <c r="N405" s="92">
        <f t="shared" ref="N405:P406" si="44">N406</f>
        <v>883.69100000000003</v>
      </c>
      <c r="O405" s="92">
        <f t="shared" si="44"/>
        <v>626.84299999999996</v>
      </c>
      <c r="P405" s="124">
        <f t="shared" si="44"/>
        <v>664.45399999999995</v>
      </c>
      <c r="Q405" s="84"/>
      <c r="R405" s="84"/>
      <c r="S405" s="84"/>
      <c r="T405" s="84"/>
      <c r="U405" s="84"/>
      <c r="V405" s="84"/>
      <c r="W405" s="84"/>
      <c r="X405" s="84"/>
    </row>
    <row r="406" spans="1:24" s="83" customFormat="1" ht="23.5" customHeight="1" x14ac:dyDescent="0.3">
      <c r="A406" s="91"/>
      <c r="B406" s="82" t="s">
        <v>80</v>
      </c>
      <c r="C406" s="89"/>
      <c r="D406" s="9" t="s">
        <v>44</v>
      </c>
      <c r="E406" s="9" t="s">
        <v>76</v>
      </c>
      <c r="F406" s="77" t="s">
        <v>78</v>
      </c>
      <c r="G406" s="33" t="s">
        <v>77</v>
      </c>
      <c r="H406" s="33"/>
      <c r="I406" s="89"/>
      <c r="J406" s="7">
        <f>J407</f>
        <v>48</v>
      </c>
      <c r="K406" s="7">
        <f>K407</f>
        <v>240.5</v>
      </c>
      <c r="L406" s="7">
        <f>L407</f>
        <v>240.5</v>
      </c>
      <c r="M406" s="7">
        <f>M407</f>
        <v>240.5</v>
      </c>
      <c r="N406" s="7">
        <f t="shared" si="44"/>
        <v>883.69100000000003</v>
      </c>
      <c r="O406" s="7">
        <f t="shared" si="44"/>
        <v>626.84299999999996</v>
      </c>
      <c r="P406" s="429">
        <f t="shared" si="44"/>
        <v>664.45399999999995</v>
      </c>
      <c r="Q406" s="84"/>
      <c r="R406" s="84"/>
      <c r="S406" s="84"/>
      <c r="T406" s="84"/>
      <c r="U406" s="84"/>
      <c r="V406" s="84"/>
      <c r="W406" s="84"/>
      <c r="X406" s="84"/>
    </row>
    <row r="407" spans="1:24" s="83" customFormat="1" ht="13" x14ac:dyDescent="0.3">
      <c r="A407" s="91"/>
      <c r="B407" s="90" t="s">
        <v>79</v>
      </c>
      <c r="C407" s="89"/>
      <c r="D407" s="9" t="s">
        <v>44</v>
      </c>
      <c r="E407" s="9" t="s">
        <v>76</v>
      </c>
      <c r="F407" s="77" t="s">
        <v>78</v>
      </c>
      <c r="G407" s="33" t="s">
        <v>77</v>
      </c>
      <c r="H407" s="33" t="s">
        <v>496</v>
      </c>
      <c r="I407" s="33" t="s">
        <v>456</v>
      </c>
      <c r="J407" s="7">
        <v>48</v>
      </c>
      <c r="K407" s="7">
        <v>240.5</v>
      </c>
      <c r="L407" s="7">
        <v>240.5</v>
      </c>
      <c r="M407" s="7">
        <v>240.5</v>
      </c>
      <c r="N407" s="7">
        <v>883.69100000000003</v>
      </c>
      <c r="O407" s="7">
        <v>626.84299999999996</v>
      </c>
      <c r="P407" s="429">
        <v>664.45399999999995</v>
      </c>
      <c r="Q407" s="84"/>
      <c r="R407" s="84"/>
      <c r="S407" s="84"/>
      <c r="T407" s="84"/>
      <c r="U407" s="84"/>
      <c r="V407" s="84"/>
      <c r="W407" s="84"/>
      <c r="X407" s="84"/>
    </row>
    <row r="408" spans="1:24" s="83" customFormat="1" ht="39" hidden="1" x14ac:dyDescent="0.3">
      <c r="A408" s="91"/>
      <c r="B408" s="49" t="s">
        <v>75</v>
      </c>
      <c r="C408" s="9"/>
      <c r="D408" s="9" t="s">
        <v>15</v>
      </c>
      <c r="E408" s="9" t="s">
        <v>13</v>
      </c>
      <c r="F408" s="34" t="s">
        <v>73</v>
      </c>
      <c r="G408" s="33"/>
      <c r="H408" s="33"/>
      <c r="I408" s="33"/>
      <c r="J408" s="47"/>
      <c r="K408" s="7"/>
      <c r="L408" s="7"/>
      <c r="M408" s="7"/>
      <c r="N408" s="47"/>
      <c r="O408" s="47"/>
      <c r="P408" s="46"/>
      <c r="Q408" s="84"/>
      <c r="R408" s="84"/>
      <c r="S408" s="84"/>
      <c r="T408" s="84"/>
      <c r="U408" s="84"/>
      <c r="V408" s="84"/>
      <c r="W408" s="84"/>
      <c r="X408" s="84"/>
    </row>
    <row r="409" spans="1:24" s="83" customFormat="1" ht="13" hidden="1" x14ac:dyDescent="0.3">
      <c r="A409" s="91"/>
      <c r="B409" s="58" t="s">
        <v>28</v>
      </c>
      <c r="C409" s="9"/>
      <c r="D409" s="9"/>
      <c r="E409" s="9"/>
      <c r="F409" s="9" t="s">
        <v>73</v>
      </c>
      <c r="G409" s="9" t="s">
        <v>74</v>
      </c>
      <c r="H409" s="9"/>
      <c r="I409" s="33"/>
      <c r="J409" s="47"/>
      <c r="K409" s="7"/>
      <c r="L409" s="7"/>
      <c r="M409" s="7"/>
      <c r="N409" s="47"/>
      <c r="O409" s="47"/>
      <c r="P409" s="46"/>
      <c r="Q409" s="84"/>
      <c r="R409" s="84"/>
      <c r="S409" s="84"/>
      <c r="T409" s="84"/>
      <c r="U409" s="84"/>
      <c r="V409" s="84"/>
      <c r="W409" s="84"/>
      <c r="X409" s="84"/>
    </row>
    <row r="410" spans="1:24" s="83" customFormat="1" ht="13" hidden="1" x14ac:dyDescent="0.3">
      <c r="A410" s="91"/>
      <c r="B410" s="49" t="s">
        <v>39</v>
      </c>
      <c r="C410" s="9"/>
      <c r="D410" s="9"/>
      <c r="E410" s="9"/>
      <c r="F410" s="9" t="s">
        <v>73</v>
      </c>
      <c r="G410" s="9" t="s">
        <v>26</v>
      </c>
      <c r="H410" s="9"/>
      <c r="I410" s="9" t="s">
        <v>13</v>
      </c>
      <c r="J410" s="47"/>
      <c r="K410" s="7"/>
      <c r="L410" s="7"/>
      <c r="M410" s="7"/>
      <c r="N410" s="47"/>
      <c r="O410" s="47"/>
      <c r="P410" s="46"/>
      <c r="Q410" s="84"/>
      <c r="R410" s="84"/>
      <c r="S410" s="84"/>
      <c r="T410" s="84"/>
      <c r="U410" s="84"/>
      <c r="V410" s="84"/>
      <c r="W410" s="84"/>
      <c r="X410" s="84"/>
    </row>
    <row r="411" spans="1:24" ht="30" customHeight="1" x14ac:dyDescent="0.25">
      <c r="A411" s="32"/>
      <c r="B411" s="49" t="s">
        <v>72</v>
      </c>
      <c r="C411" s="9"/>
      <c r="D411" s="88" t="s">
        <v>69</v>
      </c>
      <c r="E411" s="9" t="s">
        <v>66</v>
      </c>
      <c r="F411" s="34" t="s">
        <v>67</v>
      </c>
      <c r="G411" s="88" t="s">
        <v>71</v>
      </c>
      <c r="H411" s="88"/>
      <c r="I411" s="9"/>
      <c r="J411" s="53">
        <f>J412</f>
        <v>2173</v>
      </c>
      <c r="K411" s="53"/>
      <c r="L411" s="53">
        <f>L412</f>
        <v>2000</v>
      </c>
      <c r="M411" s="53">
        <f>M412</f>
        <v>2000</v>
      </c>
      <c r="N411" s="87">
        <f>N412</f>
        <v>3045.93</v>
      </c>
      <c r="O411" s="87">
        <f>O412</f>
        <v>3172</v>
      </c>
      <c r="P411" s="96">
        <f>P412</f>
        <v>3322</v>
      </c>
    </row>
    <row r="412" spans="1:24" ht="13" x14ac:dyDescent="0.3">
      <c r="A412" s="32"/>
      <c r="B412" s="16" t="s">
        <v>70</v>
      </c>
      <c r="C412" s="9"/>
      <c r="D412" s="88" t="s">
        <v>69</v>
      </c>
      <c r="E412" s="9" t="s">
        <v>66</v>
      </c>
      <c r="F412" s="9" t="s">
        <v>67</v>
      </c>
      <c r="G412" s="88">
        <v>870</v>
      </c>
      <c r="H412" s="88"/>
      <c r="I412" s="9"/>
      <c r="J412" s="53">
        <f>J413</f>
        <v>2173</v>
      </c>
      <c r="K412" s="53"/>
      <c r="L412" s="53">
        <v>2000</v>
      </c>
      <c r="M412" s="53">
        <v>2000</v>
      </c>
      <c r="N412" s="53">
        <f>N413</f>
        <v>3045.93</v>
      </c>
      <c r="O412" s="53">
        <f>O413</f>
        <v>3172</v>
      </c>
      <c r="P412" s="429">
        <f>P413</f>
        <v>3322</v>
      </c>
    </row>
    <row r="413" spans="1:24" ht="13" x14ac:dyDescent="0.3">
      <c r="A413" s="32"/>
      <c r="B413" s="86" t="s">
        <v>68</v>
      </c>
      <c r="C413" s="9"/>
      <c r="D413" s="88"/>
      <c r="E413" s="9"/>
      <c r="F413" s="9" t="s">
        <v>67</v>
      </c>
      <c r="G413" s="88">
        <v>870</v>
      </c>
      <c r="H413" s="9" t="s">
        <v>456</v>
      </c>
      <c r="I413" s="9" t="s">
        <v>464</v>
      </c>
      <c r="J413" s="53">
        <f>2175-2</f>
        <v>2173</v>
      </c>
      <c r="K413" s="53"/>
      <c r="L413" s="53">
        <v>2000</v>
      </c>
      <c r="M413" s="53">
        <v>2000</v>
      </c>
      <c r="N413" s="53">
        <v>3045.93</v>
      </c>
      <c r="O413" s="53">
        <v>3172</v>
      </c>
      <c r="P413" s="429">
        <v>3322</v>
      </c>
    </row>
    <row r="414" spans="1:24" ht="39" hidden="1" x14ac:dyDescent="0.25">
      <c r="A414" s="32"/>
      <c r="B414" s="15" t="s">
        <v>65</v>
      </c>
      <c r="C414" s="9"/>
      <c r="D414" s="88"/>
      <c r="E414" s="9"/>
      <c r="F414" s="34" t="s">
        <v>63</v>
      </c>
      <c r="G414" s="88"/>
      <c r="H414" s="88"/>
      <c r="I414" s="9"/>
      <c r="J414" s="53"/>
      <c r="K414" s="53"/>
      <c r="L414" s="53"/>
      <c r="M414" s="74"/>
      <c r="N414" s="53"/>
      <c r="O414" s="53"/>
      <c r="P414" s="429"/>
    </row>
    <row r="415" spans="1:24" ht="26" hidden="1" x14ac:dyDescent="0.25">
      <c r="A415" s="32"/>
      <c r="B415" s="15" t="s">
        <v>4</v>
      </c>
      <c r="C415" s="9"/>
      <c r="D415" s="88"/>
      <c r="E415" s="9"/>
      <c r="F415" s="9" t="s">
        <v>63</v>
      </c>
      <c r="G415" s="9" t="s">
        <v>1</v>
      </c>
      <c r="H415" s="9"/>
      <c r="I415" s="9"/>
      <c r="J415" s="53"/>
      <c r="K415" s="53"/>
      <c r="L415" s="53"/>
      <c r="M415" s="74"/>
      <c r="N415" s="53"/>
      <c r="O415" s="53"/>
      <c r="P415" s="429"/>
    </row>
    <row r="416" spans="1:24" ht="13" hidden="1" x14ac:dyDescent="0.25">
      <c r="A416" s="32"/>
      <c r="B416" s="49" t="s">
        <v>64</v>
      </c>
      <c r="C416" s="9"/>
      <c r="D416" s="88"/>
      <c r="E416" s="9"/>
      <c r="F416" s="9" t="s">
        <v>63</v>
      </c>
      <c r="G416" s="9" t="s">
        <v>1</v>
      </c>
      <c r="H416" s="9"/>
      <c r="I416" s="9" t="s">
        <v>62</v>
      </c>
      <c r="J416" s="53"/>
      <c r="K416" s="53"/>
      <c r="L416" s="53"/>
      <c r="M416" s="74"/>
      <c r="N416" s="53"/>
      <c r="O416" s="53"/>
      <c r="P416" s="429"/>
    </row>
    <row r="417" spans="1:24" ht="26" hidden="1" x14ac:dyDescent="0.25">
      <c r="A417" s="32"/>
      <c r="B417" s="58" t="s">
        <v>29</v>
      </c>
      <c r="C417" s="9"/>
      <c r="D417" s="9" t="s">
        <v>15</v>
      </c>
      <c r="E417" s="9" t="s">
        <v>9</v>
      </c>
      <c r="F417" s="34" t="s">
        <v>27</v>
      </c>
      <c r="G417" s="48"/>
      <c r="H417" s="48"/>
      <c r="I417" s="9"/>
      <c r="J417" s="57">
        <f>J419</f>
        <v>0</v>
      </c>
      <c r="K417" s="53"/>
      <c r="L417" s="53"/>
      <c r="M417" s="74"/>
      <c r="N417" s="57">
        <f>N419</f>
        <v>0</v>
      </c>
      <c r="O417" s="57">
        <f>O419</f>
        <v>0</v>
      </c>
      <c r="P417" s="56">
        <f>P419</f>
        <v>0</v>
      </c>
    </row>
    <row r="418" spans="1:24" ht="13" hidden="1" x14ac:dyDescent="0.25">
      <c r="A418" s="32"/>
      <c r="B418" s="55" t="s">
        <v>28</v>
      </c>
      <c r="C418" s="9"/>
      <c r="D418" s="9"/>
      <c r="E418" s="9"/>
      <c r="F418" s="9" t="s">
        <v>27</v>
      </c>
      <c r="G418" s="9" t="s">
        <v>26</v>
      </c>
      <c r="H418" s="9"/>
      <c r="I418" s="9"/>
      <c r="J418" s="53"/>
      <c r="K418" s="53"/>
      <c r="L418" s="53"/>
      <c r="M418" s="74"/>
      <c r="N418" s="53"/>
      <c r="O418" s="53"/>
      <c r="P418" s="429"/>
    </row>
    <row r="419" spans="1:24" ht="13" hidden="1" x14ac:dyDescent="0.3">
      <c r="A419" s="32"/>
      <c r="B419" s="16" t="s">
        <v>11</v>
      </c>
      <c r="C419" s="9"/>
      <c r="D419" s="9" t="s">
        <v>15</v>
      </c>
      <c r="E419" s="9" t="s">
        <v>9</v>
      </c>
      <c r="F419" s="9" t="s">
        <v>27</v>
      </c>
      <c r="G419" s="9" t="s">
        <v>26</v>
      </c>
      <c r="H419" s="9"/>
      <c r="I419" s="9" t="s">
        <v>9</v>
      </c>
      <c r="J419" s="53"/>
      <c r="K419" s="53"/>
      <c r="L419" s="53"/>
      <c r="M419" s="74"/>
      <c r="N419" s="53"/>
      <c r="O419" s="53"/>
      <c r="P419" s="429"/>
    </row>
    <row r="420" spans="1:24" ht="52" hidden="1" x14ac:dyDescent="0.25">
      <c r="A420" s="32"/>
      <c r="B420" s="15" t="s">
        <v>61</v>
      </c>
      <c r="C420" s="9"/>
      <c r="D420" s="88"/>
      <c r="E420" s="9"/>
      <c r="F420" s="34" t="s">
        <v>59</v>
      </c>
      <c r="G420" s="88"/>
      <c r="H420" s="88"/>
      <c r="I420" s="9"/>
      <c r="J420" s="53"/>
      <c r="K420" s="53"/>
      <c r="L420" s="53"/>
      <c r="M420" s="74"/>
      <c r="N420" s="53"/>
      <c r="O420" s="53"/>
      <c r="P420" s="429"/>
    </row>
    <row r="421" spans="1:24" ht="26" hidden="1" x14ac:dyDescent="0.3">
      <c r="A421" s="32"/>
      <c r="B421" s="15" t="s">
        <v>4</v>
      </c>
      <c r="C421" s="89"/>
      <c r="D421" s="9" t="s">
        <v>52</v>
      </c>
      <c r="E421" s="9" t="s">
        <v>58</v>
      </c>
      <c r="F421" s="9" t="s">
        <v>59</v>
      </c>
      <c r="G421" s="88">
        <v>240</v>
      </c>
      <c r="H421" s="88"/>
      <c r="I421" s="7"/>
      <c r="J421" s="53"/>
      <c r="K421" s="7"/>
      <c r="L421" s="7"/>
      <c r="M421" s="84"/>
      <c r="N421" s="53"/>
      <c r="O421" s="53"/>
      <c r="P421" s="429"/>
      <c r="Q421" s="74"/>
    </row>
    <row r="422" spans="1:24" ht="13" hidden="1" x14ac:dyDescent="0.3">
      <c r="A422" s="32"/>
      <c r="B422" s="90" t="s">
        <v>60</v>
      </c>
      <c r="C422" s="89"/>
      <c r="D422" s="9"/>
      <c r="E422" s="9"/>
      <c r="F422" s="9" t="s">
        <v>59</v>
      </c>
      <c r="G422" s="88">
        <v>240</v>
      </c>
      <c r="H422" s="88"/>
      <c r="I422" s="9" t="s">
        <v>58</v>
      </c>
      <c r="J422" s="53"/>
      <c r="K422" s="7"/>
      <c r="L422" s="7"/>
      <c r="M422" s="84"/>
      <c r="N422" s="53"/>
      <c r="O422" s="53"/>
      <c r="P422" s="429"/>
      <c r="Q422" s="74"/>
    </row>
    <row r="423" spans="1:24" s="83" customFormat="1" ht="13" x14ac:dyDescent="0.3">
      <c r="A423" s="85"/>
      <c r="B423" s="49" t="s">
        <v>57</v>
      </c>
      <c r="C423" s="9"/>
      <c r="D423" s="9" t="s">
        <v>52</v>
      </c>
      <c r="E423" s="9" t="s">
        <v>49</v>
      </c>
      <c r="F423" s="34" t="s">
        <v>536</v>
      </c>
      <c r="G423" s="34"/>
      <c r="H423" s="34"/>
      <c r="I423" s="9"/>
      <c r="J423" s="78">
        <f>J424</f>
        <v>0</v>
      </c>
      <c r="K423" s="78"/>
      <c r="L423" s="78">
        <f>L424</f>
        <v>0</v>
      </c>
      <c r="M423" s="78">
        <f>M424</f>
        <v>0</v>
      </c>
      <c r="N423" s="78">
        <f>N424</f>
        <v>0</v>
      </c>
      <c r="O423" s="87">
        <f>O424</f>
        <v>1253.3</v>
      </c>
      <c r="P423" s="948">
        <f>P424</f>
        <v>554.5</v>
      </c>
      <c r="Q423" s="84"/>
      <c r="R423" s="84"/>
      <c r="S423" s="84"/>
      <c r="T423" s="84"/>
      <c r="U423" s="84"/>
      <c r="V423" s="84"/>
      <c r="W423" s="84"/>
      <c r="X423" s="84"/>
    </row>
    <row r="424" spans="1:24" s="83" customFormat="1" ht="26" x14ac:dyDescent="0.3">
      <c r="A424" s="85"/>
      <c r="B424" s="15" t="s">
        <v>4</v>
      </c>
      <c r="C424" s="9"/>
      <c r="D424" s="9" t="s">
        <v>52</v>
      </c>
      <c r="E424" s="9" t="s">
        <v>49</v>
      </c>
      <c r="F424" s="9" t="s">
        <v>536</v>
      </c>
      <c r="G424" s="9" t="s">
        <v>1</v>
      </c>
      <c r="H424" s="9"/>
      <c r="I424" s="9"/>
      <c r="J424" s="7">
        <f>J425</f>
        <v>0</v>
      </c>
      <c r="K424" s="7"/>
      <c r="L424" s="7"/>
      <c r="M424" s="7"/>
      <c r="N424" s="7">
        <f>N425</f>
        <v>0</v>
      </c>
      <c r="O424" s="53">
        <f>O425</f>
        <v>1253.3</v>
      </c>
      <c r="P424" s="429">
        <f>P425</f>
        <v>554.5</v>
      </c>
      <c r="Q424" s="84"/>
      <c r="R424" s="84"/>
      <c r="S424" s="84"/>
      <c r="T424" s="84"/>
      <c r="U424" s="84"/>
      <c r="V424" s="84"/>
      <c r="W424" s="84"/>
      <c r="X424" s="84"/>
    </row>
    <row r="425" spans="1:24" s="83" customFormat="1" ht="13" x14ac:dyDescent="0.3">
      <c r="A425" s="85"/>
      <c r="B425" s="86" t="s">
        <v>51</v>
      </c>
      <c r="C425" s="9"/>
      <c r="D425" s="9"/>
      <c r="E425" s="9"/>
      <c r="F425" s="9" t="s">
        <v>536</v>
      </c>
      <c r="G425" s="9" t="s">
        <v>1</v>
      </c>
      <c r="H425" s="9" t="s">
        <v>452</v>
      </c>
      <c r="I425" s="9" t="s">
        <v>534</v>
      </c>
      <c r="J425" s="7"/>
      <c r="K425" s="7"/>
      <c r="L425" s="7"/>
      <c r="M425" s="7"/>
      <c r="N425" s="7"/>
      <c r="O425" s="53">
        <v>1253.3</v>
      </c>
      <c r="P425" s="429">
        <v>554.5</v>
      </c>
      <c r="Q425" s="84"/>
      <c r="R425" s="84"/>
      <c r="S425" s="84"/>
      <c r="T425" s="84"/>
      <c r="U425" s="84"/>
      <c r="V425" s="84"/>
      <c r="W425" s="84"/>
      <c r="X425" s="84"/>
    </row>
    <row r="426" spans="1:24" s="83" customFormat="1" ht="13" hidden="1" x14ac:dyDescent="0.3">
      <c r="A426" s="85"/>
      <c r="B426" s="49" t="s">
        <v>55</v>
      </c>
      <c r="C426" s="9"/>
      <c r="D426" s="9" t="s">
        <v>52</v>
      </c>
      <c r="E426" s="9" t="s">
        <v>49</v>
      </c>
      <c r="F426" s="34" t="s">
        <v>54</v>
      </c>
      <c r="G426" s="9"/>
      <c r="H426" s="9"/>
      <c r="I426" s="9"/>
      <c r="J426" s="78">
        <f>J427</f>
        <v>94.8</v>
      </c>
      <c r="K426" s="78"/>
      <c r="L426" s="78">
        <f>L427</f>
        <v>64.8</v>
      </c>
      <c r="M426" s="78">
        <f>M427</f>
        <v>64.8</v>
      </c>
      <c r="N426" s="78">
        <f>N427</f>
        <v>0</v>
      </c>
      <c r="O426" s="78">
        <f>O427</f>
        <v>0</v>
      </c>
      <c r="P426" s="96">
        <f>P427</f>
        <v>0</v>
      </c>
      <c r="Q426" s="84"/>
      <c r="R426" s="84"/>
      <c r="S426" s="84"/>
      <c r="T426" s="84"/>
      <c r="U426" s="84"/>
      <c r="V426" s="84"/>
      <c r="W426" s="84"/>
      <c r="X426" s="84"/>
    </row>
    <row r="427" spans="1:24" s="83" customFormat="1" ht="26" hidden="1" x14ac:dyDescent="0.3">
      <c r="A427" s="85"/>
      <c r="B427" s="15" t="s">
        <v>4</v>
      </c>
      <c r="C427" s="9"/>
      <c r="D427" s="9" t="s">
        <v>52</v>
      </c>
      <c r="E427" s="9" t="s">
        <v>49</v>
      </c>
      <c r="F427" s="9" t="s">
        <v>54</v>
      </c>
      <c r="G427" s="9" t="s">
        <v>1</v>
      </c>
      <c r="H427" s="9"/>
      <c r="I427" s="9"/>
      <c r="J427" s="7">
        <f>J428</f>
        <v>94.8</v>
      </c>
      <c r="K427" s="7"/>
      <c r="L427" s="7">
        <v>64.8</v>
      </c>
      <c r="M427" s="7">
        <v>64.8</v>
      </c>
      <c r="N427" s="7">
        <f>N428</f>
        <v>0</v>
      </c>
      <c r="O427" s="7">
        <f>O428</f>
        <v>0</v>
      </c>
      <c r="P427" s="429">
        <f>P428</f>
        <v>0</v>
      </c>
      <c r="Q427" s="84"/>
      <c r="R427" s="84"/>
      <c r="S427" s="84"/>
      <c r="T427" s="84"/>
      <c r="U427" s="84"/>
      <c r="V427" s="84"/>
      <c r="W427" s="84"/>
      <c r="X427" s="84"/>
    </row>
    <row r="428" spans="1:24" s="83" customFormat="1" ht="13" hidden="1" x14ac:dyDescent="0.3">
      <c r="A428" s="85"/>
      <c r="B428" s="86" t="s">
        <v>51</v>
      </c>
      <c r="C428" s="9"/>
      <c r="D428" s="9"/>
      <c r="E428" s="9"/>
      <c r="F428" s="9" t="s">
        <v>54</v>
      </c>
      <c r="G428" s="9" t="s">
        <v>1</v>
      </c>
      <c r="H428" s="9"/>
      <c r="I428" s="9" t="s">
        <v>49</v>
      </c>
      <c r="J428" s="7">
        <v>94.8</v>
      </c>
      <c r="K428" s="7"/>
      <c r="L428" s="7">
        <v>64.8</v>
      </c>
      <c r="M428" s="7">
        <v>64.8</v>
      </c>
      <c r="N428" s="7"/>
      <c r="O428" s="7"/>
      <c r="P428" s="429"/>
      <c r="Q428" s="84"/>
      <c r="R428" s="84"/>
      <c r="S428" s="84"/>
      <c r="T428" s="84"/>
      <c r="U428" s="84"/>
      <c r="V428" s="84"/>
      <c r="W428" s="84"/>
      <c r="X428" s="84"/>
    </row>
    <row r="429" spans="1:24" s="83" customFormat="1" ht="13" x14ac:dyDescent="0.3">
      <c r="A429" s="85"/>
      <c r="B429" s="49" t="s">
        <v>53</v>
      </c>
      <c r="C429" s="9"/>
      <c r="D429" s="9" t="s">
        <v>52</v>
      </c>
      <c r="E429" s="9" t="s">
        <v>49</v>
      </c>
      <c r="F429" s="34" t="s">
        <v>50</v>
      </c>
      <c r="G429" s="9"/>
      <c r="H429" s="9"/>
      <c r="I429" s="9"/>
      <c r="J429" s="87">
        <f>J430</f>
        <v>3163.5070000000001</v>
      </c>
      <c r="K429" s="78"/>
      <c r="L429" s="78">
        <f>L430</f>
        <v>0</v>
      </c>
      <c r="M429" s="78">
        <f>M430</f>
        <v>0</v>
      </c>
      <c r="N429" s="87">
        <f>N430</f>
        <v>1831.94</v>
      </c>
      <c r="O429" s="87">
        <f>O430</f>
        <v>2000</v>
      </c>
      <c r="P429" s="96">
        <f>P430</f>
        <v>3000</v>
      </c>
      <c r="Q429" s="84"/>
      <c r="R429" s="84"/>
      <c r="S429" s="84"/>
      <c r="T429" s="84"/>
      <c r="U429" s="84"/>
      <c r="V429" s="84"/>
      <c r="W429" s="84"/>
      <c r="X429" s="84"/>
    </row>
    <row r="430" spans="1:24" s="83" customFormat="1" ht="13" x14ac:dyDescent="0.3">
      <c r="A430" s="85"/>
      <c r="B430" s="16" t="s">
        <v>16</v>
      </c>
      <c r="C430" s="9"/>
      <c r="D430" s="9" t="s">
        <v>52</v>
      </c>
      <c r="E430" s="9" t="s">
        <v>49</v>
      </c>
      <c r="F430" s="9" t="s">
        <v>50</v>
      </c>
      <c r="G430" s="9" t="s">
        <v>1</v>
      </c>
      <c r="H430" s="9"/>
      <c r="I430" s="9"/>
      <c r="J430" s="53">
        <f>J431</f>
        <v>3163.5070000000001</v>
      </c>
      <c r="K430" s="78"/>
      <c r="L430" s="78"/>
      <c r="M430" s="78"/>
      <c r="N430" s="53">
        <f>N431</f>
        <v>1831.94</v>
      </c>
      <c r="O430" s="53">
        <f>O431</f>
        <v>2000</v>
      </c>
      <c r="P430" s="429">
        <f>P431</f>
        <v>3000</v>
      </c>
      <c r="Q430" s="84"/>
      <c r="R430" s="84"/>
      <c r="S430" s="84"/>
      <c r="T430" s="84"/>
      <c r="U430" s="84"/>
      <c r="V430" s="84"/>
      <c r="W430" s="84"/>
      <c r="X430" s="84"/>
    </row>
    <row r="431" spans="1:24" s="83" customFormat="1" ht="13" x14ac:dyDescent="0.3">
      <c r="A431" s="85"/>
      <c r="B431" s="86" t="s">
        <v>51</v>
      </c>
      <c r="C431" s="9"/>
      <c r="D431" s="9"/>
      <c r="E431" s="9"/>
      <c r="F431" s="9" t="s">
        <v>50</v>
      </c>
      <c r="G431" s="9" t="s">
        <v>1</v>
      </c>
      <c r="H431" s="9" t="s">
        <v>452</v>
      </c>
      <c r="I431" s="9" t="s">
        <v>534</v>
      </c>
      <c r="J431" s="53">
        <v>3163.5070000000001</v>
      </c>
      <c r="K431" s="78"/>
      <c r="L431" s="78"/>
      <c r="M431" s="78"/>
      <c r="N431" s="53">
        <v>1831.94</v>
      </c>
      <c r="O431" s="53">
        <v>2000</v>
      </c>
      <c r="P431" s="429">
        <v>3000</v>
      </c>
      <c r="Q431" s="84"/>
      <c r="R431" s="84"/>
      <c r="S431" s="84"/>
      <c r="T431" s="84"/>
      <c r="U431" s="84"/>
      <c r="V431" s="84"/>
      <c r="W431" s="84"/>
      <c r="X431" s="84"/>
    </row>
    <row r="432" spans="1:24" s="83" customFormat="1" ht="39" hidden="1" x14ac:dyDescent="0.3">
      <c r="A432" s="85"/>
      <c r="B432" s="52" t="s">
        <v>25</v>
      </c>
      <c r="C432" s="9"/>
      <c r="D432" s="34" t="s">
        <v>15</v>
      </c>
      <c r="E432" s="34" t="s">
        <v>13</v>
      </c>
      <c r="F432" s="34" t="s">
        <v>24</v>
      </c>
      <c r="G432" s="48"/>
      <c r="H432" s="48"/>
      <c r="I432" s="34"/>
      <c r="J432" s="51">
        <f>J433</f>
        <v>182.53199999999998</v>
      </c>
      <c r="K432" s="51"/>
      <c r="L432" s="51">
        <f>L433</f>
        <v>85</v>
      </c>
      <c r="M432" s="51">
        <f>M433</f>
        <v>85</v>
      </c>
      <c r="N432" s="51">
        <f>N433</f>
        <v>0</v>
      </c>
      <c r="O432" s="51">
        <f>O433</f>
        <v>0</v>
      </c>
      <c r="P432" s="50">
        <f>P433</f>
        <v>0</v>
      </c>
      <c r="Q432" s="84"/>
      <c r="R432" s="84"/>
      <c r="S432" s="84"/>
      <c r="T432" s="84"/>
      <c r="U432" s="84"/>
      <c r="V432" s="84"/>
      <c r="W432" s="84"/>
      <c r="X432" s="84"/>
    </row>
    <row r="433" spans="1:29" s="83" customFormat="1" ht="39" hidden="1" x14ac:dyDescent="0.3">
      <c r="A433" s="85"/>
      <c r="B433" s="49" t="s">
        <v>23</v>
      </c>
      <c r="C433" s="9"/>
      <c r="D433" s="9" t="s">
        <v>15</v>
      </c>
      <c r="E433" s="9" t="s">
        <v>13</v>
      </c>
      <c r="F433" s="34" t="s">
        <v>48</v>
      </c>
      <c r="G433" s="48"/>
      <c r="H433" s="48"/>
      <c r="I433" s="9"/>
      <c r="J433" s="51">
        <f>J436</f>
        <v>182.53199999999998</v>
      </c>
      <c r="K433" s="51"/>
      <c r="L433" s="51">
        <f>L436</f>
        <v>85</v>
      </c>
      <c r="M433" s="51">
        <f>M436</f>
        <v>85</v>
      </c>
      <c r="N433" s="51">
        <f>N436</f>
        <v>0</v>
      </c>
      <c r="O433" s="51">
        <f>O436</f>
        <v>0</v>
      </c>
      <c r="P433" s="50">
        <f>P436</f>
        <v>0</v>
      </c>
      <c r="Q433" s="84"/>
      <c r="R433" s="84"/>
      <c r="S433" s="84"/>
      <c r="T433" s="84"/>
      <c r="U433" s="84"/>
      <c r="V433" s="84"/>
      <c r="W433" s="84"/>
      <c r="X433" s="84"/>
    </row>
    <row r="434" spans="1:29" s="83" customFormat="1" ht="26" hidden="1" x14ac:dyDescent="0.3">
      <c r="A434" s="85"/>
      <c r="B434" s="42" t="s">
        <v>22</v>
      </c>
      <c r="C434" s="31"/>
      <c r="D434" s="31" t="s">
        <v>15</v>
      </c>
      <c r="E434" s="31" t="s">
        <v>13</v>
      </c>
      <c r="F434" s="31" t="s">
        <v>21</v>
      </c>
      <c r="G434" s="3373" t="s">
        <v>20</v>
      </c>
      <c r="H434" s="3374"/>
      <c r="I434" s="3374"/>
      <c r="J434" s="3375"/>
      <c r="K434" s="45"/>
      <c r="L434" s="44"/>
      <c r="M434" s="43"/>
      <c r="N434" s="84"/>
      <c r="O434" s="84"/>
      <c r="P434" s="432"/>
      <c r="Q434" s="84"/>
      <c r="R434" s="84"/>
      <c r="S434" s="84"/>
      <c r="T434" s="84"/>
      <c r="U434" s="84"/>
      <c r="V434" s="84"/>
      <c r="W434" s="84"/>
      <c r="X434" s="84"/>
    </row>
    <row r="435" spans="1:29" ht="39.65" hidden="1" customHeight="1" x14ac:dyDescent="0.25">
      <c r="A435" s="32"/>
      <c r="B435" s="42" t="s">
        <v>19</v>
      </c>
      <c r="C435" s="31"/>
      <c r="D435" s="31" t="s">
        <v>15</v>
      </c>
      <c r="E435" s="31" t="s">
        <v>13</v>
      </c>
      <c r="F435" s="31" t="s">
        <v>18</v>
      </c>
      <c r="G435" s="3373" t="s">
        <v>17</v>
      </c>
      <c r="H435" s="3374"/>
      <c r="I435" s="3374"/>
      <c r="J435" s="3375"/>
      <c r="K435" s="41"/>
      <c r="L435" s="2"/>
      <c r="M435" s="40"/>
      <c r="N435" s="2"/>
      <c r="O435" s="2"/>
      <c r="P435" s="433"/>
    </row>
    <row r="436" spans="1:29" ht="26" hidden="1" x14ac:dyDescent="0.3">
      <c r="A436" s="32"/>
      <c r="B436" s="15" t="s">
        <v>4</v>
      </c>
      <c r="C436" s="31"/>
      <c r="D436" s="9" t="s">
        <v>15</v>
      </c>
      <c r="E436" s="9" t="s">
        <v>13</v>
      </c>
      <c r="F436" s="9" t="s">
        <v>48</v>
      </c>
      <c r="G436" s="33" t="s">
        <v>1</v>
      </c>
      <c r="H436" s="33"/>
      <c r="I436" s="9"/>
      <c r="J436" s="28">
        <f>J437</f>
        <v>182.53199999999998</v>
      </c>
      <c r="K436" s="30"/>
      <c r="L436" s="29">
        <v>85</v>
      </c>
      <c r="M436" s="28">
        <v>85</v>
      </c>
      <c r="N436" s="28">
        <f>N437</f>
        <v>0</v>
      </c>
      <c r="O436" s="28">
        <f>O437</f>
        <v>0</v>
      </c>
      <c r="P436" s="27">
        <f>P437</f>
        <v>0</v>
      </c>
    </row>
    <row r="437" spans="1:29" ht="13" hidden="1" x14ac:dyDescent="0.3">
      <c r="A437" s="32"/>
      <c r="B437" s="16" t="s">
        <v>39</v>
      </c>
      <c r="C437" s="31"/>
      <c r="D437" s="9"/>
      <c r="E437" s="9"/>
      <c r="F437" s="9" t="s">
        <v>48</v>
      </c>
      <c r="G437" s="33" t="s">
        <v>1</v>
      </c>
      <c r="H437" s="33"/>
      <c r="I437" s="9" t="s">
        <v>13</v>
      </c>
      <c r="J437" s="28">
        <f>85+97.532</f>
        <v>182.53199999999998</v>
      </c>
      <c r="K437" s="30"/>
      <c r="L437" s="29">
        <v>85</v>
      </c>
      <c r="M437" s="28">
        <v>85</v>
      </c>
      <c r="N437" s="28"/>
      <c r="O437" s="28"/>
      <c r="P437" s="27"/>
    </row>
    <row r="438" spans="1:29" ht="13" hidden="1" x14ac:dyDescent="0.3">
      <c r="A438" s="32"/>
      <c r="B438" s="82" t="s">
        <v>47</v>
      </c>
      <c r="C438" s="902"/>
      <c r="D438" s="9"/>
      <c r="E438" s="9"/>
      <c r="F438" s="79" t="s">
        <v>43</v>
      </c>
      <c r="G438" s="33"/>
      <c r="H438" s="33"/>
      <c r="I438" s="9"/>
      <c r="J438" s="28">
        <f>J441</f>
        <v>153.32</v>
      </c>
      <c r="K438" s="30"/>
      <c r="L438" s="29"/>
      <c r="M438" s="28"/>
      <c r="N438" s="81">
        <f>N441+N439</f>
        <v>160.31</v>
      </c>
      <c r="O438" s="81">
        <f>O441+O439</f>
        <v>0</v>
      </c>
      <c r="P438" s="80">
        <f>P441+P439</f>
        <v>0</v>
      </c>
    </row>
    <row r="439" spans="1:29" ht="13" hidden="1" x14ac:dyDescent="0.3">
      <c r="A439" s="32"/>
      <c r="B439" s="16" t="s">
        <v>16</v>
      </c>
      <c r="C439" s="902"/>
      <c r="D439" s="9"/>
      <c r="E439" s="9"/>
      <c r="F439" s="77" t="s">
        <v>43</v>
      </c>
      <c r="G439" s="33" t="s">
        <v>1</v>
      </c>
      <c r="H439" s="33"/>
      <c r="I439" s="9"/>
      <c r="J439" s="28"/>
      <c r="K439" s="30"/>
      <c r="L439" s="29"/>
      <c r="M439" s="28"/>
      <c r="N439" s="28">
        <f>N440</f>
        <v>28.454999999999998</v>
      </c>
      <c r="O439" s="28">
        <f>O440</f>
        <v>0</v>
      </c>
      <c r="P439" s="27">
        <f>P440</f>
        <v>0</v>
      </c>
    </row>
    <row r="440" spans="1:29" ht="13" hidden="1" x14ac:dyDescent="0.3">
      <c r="A440" s="32"/>
      <c r="B440" s="76" t="s">
        <v>45</v>
      </c>
      <c r="C440" s="902"/>
      <c r="D440" s="9"/>
      <c r="E440" s="9"/>
      <c r="F440" s="77" t="s">
        <v>43</v>
      </c>
      <c r="G440" s="33" t="s">
        <v>1</v>
      </c>
      <c r="H440" s="33" t="s">
        <v>496</v>
      </c>
      <c r="I440" s="9" t="s">
        <v>495</v>
      </c>
      <c r="J440" s="28"/>
      <c r="K440" s="30"/>
      <c r="L440" s="29"/>
      <c r="M440" s="28"/>
      <c r="N440" s="28">
        <v>28.454999999999998</v>
      </c>
      <c r="O440" s="28">
        <v>0</v>
      </c>
      <c r="P440" s="27">
        <v>0</v>
      </c>
    </row>
    <row r="441" spans="1:29" ht="13" hidden="1" x14ac:dyDescent="0.3">
      <c r="A441" s="32"/>
      <c r="B441" s="16" t="s">
        <v>46</v>
      </c>
      <c r="C441" s="70"/>
      <c r="D441" s="9" t="s">
        <v>44</v>
      </c>
      <c r="E441" s="9" t="s">
        <v>41</v>
      </c>
      <c r="F441" s="77" t="s">
        <v>43</v>
      </c>
      <c r="G441" s="33" t="s">
        <v>42</v>
      </c>
      <c r="H441" s="33"/>
      <c r="I441" s="9"/>
      <c r="J441" s="7">
        <f t="shared" ref="J441:P441" si="45">J442</f>
        <v>153.32</v>
      </c>
      <c r="K441" s="7">
        <f t="shared" si="45"/>
        <v>172</v>
      </c>
      <c r="L441" s="7">
        <f t="shared" si="45"/>
        <v>172</v>
      </c>
      <c r="M441" s="7">
        <f t="shared" si="45"/>
        <v>172</v>
      </c>
      <c r="N441" s="7">
        <f t="shared" si="45"/>
        <v>131.85499999999999</v>
      </c>
      <c r="O441" s="7">
        <f t="shared" si="45"/>
        <v>0</v>
      </c>
      <c r="P441" s="429">
        <f t="shared" si="45"/>
        <v>0</v>
      </c>
    </row>
    <row r="442" spans="1:29" ht="13" hidden="1" x14ac:dyDescent="0.25">
      <c r="A442" s="32"/>
      <c r="B442" s="76" t="s">
        <v>45</v>
      </c>
      <c r="C442" s="70"/>
      <c r="D442" s="9" t="s">
        <v>44</v>
      </c>
      <c r="E442" s="9" t="s">
        <v>41</v>
      </c>
      <c r="F442" s="77" t="s">
        <v>43</v>
      </c>
      <c r="G442" s="33" t="s">
        <v>42</v>
      </c>
      <c r="H442" s="33" t="s">
        <v>496</v>
      </c>
      <c r="I442" s="9" t="s">
        <v>495</v>
      </c>
      <c r="J442" s="7">
        <v>153.32</v>
      </c>
      <c r="K442" s="7">
        <v>172</v>
      </c>
      <c r="L442" s="7">
        <v>172</v>
      </c>
      <c r="M442" s="7">
        <v>172</v>
      </c>
      <c r="N442" s="7">
        <v>131.85499999999999</v>
      </c>
      <c r="O442" s="7">
        <v>0</v>
      </c>
      <c r="P442" s="429">
        <v>0</v>
      </c>
    </row>
    <row r="443" spans="1:29" ht="26" hidden="1" x14ac:dyDescent="0.25">
      <c r="A443" s="32"/>
      <c r="B443" s="66" t="s">
        <v>40</v>
      </c>
      <c r="C443" s="70"/>
      <c r="D443" s="9"/>
      <c r="E443" s="9"/>
      <c r="F443" s="79" t="s">
        <v>38</v>
      </c>
      <c r="G443" s="33"/>
      <c r="H443" s="33"/>
      <c r="I443" s="9"/>
      <c r="J443" s="7">
        <f>J444</f>
        <v>0</v>
      </c>
      <c r="K443" s="69"/>
      <c r="L443" s="68"/>
      <c r="M443" s="68"/>
      <c r="N443" s="78">
        <f t="shared" ref="N443:P444" si="46">N444</f>
        <v>4460.87</v>
      </c>
      <c r="O443" s="78">
        <f t="shared" si="46"/>
        <v>0</v>
      </c>
      <c r="P443" s="96">
        <f t="shared" si="46"/>
        <v>0</v>
      </c>
    </row>
    <row r="444" spans="1:29" ht="13" hidden="1" x14ac:dyDescent="0.25">
      <c r="A444" s="32"/>
      <c r="B444" s="58" t="s">
        <v>28</v>
      </c>
      <c r="C444" s="70"/>
      <c r="D444" s="9"/>
      <c r="E444" s="9"/>
      <c r="F444" s="77" t="s">
        <v>38</v>
      </c>
      <c r="G444" s="33" t="s">
        <v>26</v>
      </c>
      <c r="H444" s="33"/>
      <c r="I444" s="9"/>
      <c r="J444" s="7">
        <f>J445</f>
        <v>0</v>
      </c>
      <c r="K444" s="69"/>
      <c r="L444" s="68"/>
      <c r="M444" s="68"/>
      <c r="N444" s="7">
        <f t="shared" si="46"/>
        <v>4460.87</v>
      </c>
      <c r="O444" s="7">
        <f t="shared" si="46"/>
        <v>0</v>
      </c>
      <c r="P444" s="429">
        <f t="shared" si="46"/>
        <v>0</v>
      </c>
    </row>
    <row r="445" spans="1:29" ht="13" hidden="1" x14ac:dyDescent="0.3">
      <c r="A445" s="32"/>
      <c r="B445" s="16" t="s">
        <v>39</v>
      </c>
      <c r="C445" s="70"/>
      <c r="D445" s="9"/>
      <c r="E445" s="9"/>
      <c r="F445" s="77" t="s">
        <v>38</v>
      </c>
      <c r="G445" s="33" t="s">
        <v>26</v>
      </c>
      <c r="H445" s="33"/>
      <c r="I445" s="9" t="s">
        <v>13</v>
      </c>
      <c r="J445" s="7"/>
      <c r="K445" s="69"/>
      <c r="L445" s="68"/>
      <c r="M445" s="68"/>
      <c r="N445" s="7">
        <v>4460.87</v>
      </c>
      <c r="O445" s="7"/>
      <c r="P445" s="429"/>
    </row>
    <row r="446" spans="1:29" ht="26" hidden="1" x14ac:dyDescent="0.25">
      <c r="A446" s="32"/>
      <c r="B446" s="76" t="s">
        <v>37</v>
      </c>
      <c r="C446" s="70"/>
      <c r="D446" s="9"/>
      <c r="E446" s="9"/>
      <c r="F446" s="34" t="s">
        <v>36</v>
      </c>
      <c r="G446" s="33"/>
      <c r="H446" s="33"/>
      <c r="I446" s="9"/>
      <c r="J446" s="67">
        <f>J447</f>
        <v>17908.526000000002</v>
      </c>
      <c r="K446" s="69"/>
      <c r="L446" s="68"/>
      <c r="M446" s="68"/>
      <c r="N446" s="67">
        <f t="shared" ref="N446:P447" si="47">N447</f>
        <v>0</v>
      </c>
      <c r="O446" s="67">
        <f t="shared" si="47"/>
        <v>0</v>
      </c>
      <c r="P446" s="434">
        <f t="shared" si="47"/>
        <v>0</v>
      </c>
    </row>
    <row r="447" spans="1:29" ht="26" hidden="1" x14ac:dyDescent="0.25">
      <c r="A447" s="32"/>
      <c r="B447" s="15" t="s">
        <v>4</v>
      </c>
      <c r="C447" s="70"/>
      <c r="D447" s="9"/>
      <c r="E447" s="9"/>
      <c r="F447" s="9" t="s">
        <v>36</v>
      </c>
      <c r="G447" s="33" t="s">
        <v>1</v>
      </c>
      <c r="H447" s="33"/>
      <c r="I447" s="9"/>
      <c r="J447" s="67">
        <f>J448</f>
        <v>17908.526000000002</v>
      </c>
      <c r="K447" s="69"/>
      <c r="L447" s="68"/>
      <c r="M447" s="68"/>
      <c r="N447" s="67">
        <f t="shared" si="47"/>
        <v>0</v>
      </c>
      <c r="O447" s="67">
        <f t="shared" si="47"/>
        <v>0</v>
      </c>
      <c r="P447" s="434">
        <f t="shared" si="47"/>
        <v>0</v>
      </c>
      <c r="Q447" s="75"/>
      <c r="R447" s="75"/>
      <c r="S447" s="75"/>
      <c r="T447" s="75"/>
      <c r="U447" s="74"/>
      <c r="V447" s="73"/>
      <c r="W447" s="72"/>
      <c r="X447" s="72"/>
      <c r="AC447" s="71">
        <f>AC448</f>
        <v>672.10500000000002</v>
      </c>
    </row>
    <row r="448" spans="1:29" ht="13" hidden="1" x14ac:dyDescent="0.25">
      <c r="A448" s="32"/>
      <c r="B448" s="49" t="s">
        <v>34</v>
      </c>
      <c r="C448" s="70"/>
      <c r="D448" s="9"/>
      <c r="E448" s="9"/>
      <c r="F448" s="9" t="s">
        <v>36</v>
      </c>
      <c r="G448" s="33" t="s">
        <v>1</v>
      </c>
      <c r="H448" s="33"/>
      <c r="I448" s="9" t="s">
        <v>32</v>
      </c>
      <c r="J448" s="67">
        <v>17908.526000000002</v>
      </c>
      <c r="K448" s="69"/>
      <c r="L448" s="68"/>
      <c r="M448" s="68"/>
      <c r="N448" s="67"/>
      <c r="O448" s="67"/>
      <c r="P448" s="434"/>
      <c r="Q448" s="75"/>
      <c r="R448" s="75"/>
      <c r="S448" s="75"/>
      <c r="T448" s="75"/>
      <c r="U448" s="74"/>
      <c r="V448" s="73"/>
      <c r="W448" s="72"/>
      <c r="X448" s="72"/>
      <c r="AC448" s="71">
        <v>672.10500000000002</v>
      </c>
    </row>
    <row r="449" spans="1:16" ht="39" hidden="1" x14ac:dyDescent="0.25">
      <c r="A449" s="32"/>
      <c r="B449" s="15" t="s">
        <v>35</v>
      </c>
      <c r="C449" s="70"/>
      <c r="D449" s="9"/>
      <c r="E449" s="9"/>
      <c r="F449" s="34" t="s">
        <v>33</v>
      </c>
      <c r="G449" s="33"/>
      <c r="H449" s="33"/>
      <c r="I449" s="9"/>
      <c r="J449" s="67">
        <f>J450</f>
        <v>7028.6390000000001</v>
      </c>
      <c r="K449" s="69"/>
      <c r="L449" s="68"/>
      <c r="M449" s="68"/>
      <c r="N449" s="67">
        <f t="shared" ref="N449:P450" si="48">N450</f>
        <v>0</v>
      </c>
      <c r="O449" s="67">
        <f t="shared" si="48"/>
        <v>0</v>
      </c>
      <c r="P449" s="434">
        <f t="shared" si="48"/>
        <v>0</v>
      </c>
    </row>
    <row r="450" spans="1:16" ht="26" hidden="1" x14ac:dyDescent="0.25">
      <c r="A450" s="32"/>
      <c r="B450" s="15" t="s">
        <v>4</v>
      </c>
      <c r="C450" s="70"/>
      <c r="D450" s="9"/>
      <c r="E450" s="9"/>
      <c r="F450" s="9" t="s">
        <v>33</v>
      </c>
      <c r="G450" s="33" t="s">
        <v>1</v>
      </c>
      <c r="H450" s="33"/>
      <c r="I450" s="9"/>
      <c r="J450" s="67">
        <f>J451</f>
        <v>7028.6390000000001</v>
      </c>
      <c r="K450" s="69"/>
      <c r="L450" s="68"/>
      <c r="M450" s="68"/>
      <c r="N450" s="67">
        <f t="shared" si="48"/>
        <v>0</v>
      </c>
      <c r="O450" s="67">
        <f t="shared" si="48"/>
        <v>0</v>
      </c>
      <c r="P450" s="434">
        <f t="shared" si="48"/>
        <v>0</v>
      </c>
    </row>
    <row r="451" spans="1:16" ht="13" hidden="1" x14ac:dyDescent="0.25">
      <c r="A451" s="32"/>
      <c r="B451" s="49" t="s">
        <v>34</v>
      </c>
      <c r="C451" s="70"/>
      <c r="D451" s="9"/>
      <c r="E451" s="9"/>
      <c r="F451" s="9" t="s">
        <v>33</v>
      </c>
      <c r="G451" s="33" t="s">
        <v>1</v>
      </c>
      <c r="H451" s="33"/>
      <c r="I451" s="9" t="s">
        <v>32</v>
      </c>
      <c r="J451" s="67">
        <f>838.062+6190.577</f>
        <v>7028.6390000000001</v>
      </c>
      <c r="K451" s="69"/>
      <c r="L451" s="68"/>
      <c r="M451" s="68"/>
      <c r="N451" s="67"/>
      <c r="O451" s="67"/>
      <c r="P451" s="434"/>
    </row>
    <row r="452" spans="1:16" ht="26" hidden="1" x14ac:dyDescent="0.25">
      <c r="A452" s="32"/>
      <c r="B452" s="66" t="s">
        <v>31</v>
      </c>
      <c r="C452" s="31"/>
      <c r="D452" s="9"/>
      <c r="E452" s="9"/>
      <c r="F452" s="34" t="s">
        <v>30</v>
      </c>
      <c r="G452" s="33"/>
      <c r="H452" s="33"/>
      <c r="I452" s="9"/>
      <c r="J452" s="64"/>
      <c r="K452" s="65"/>
      <c r="L452" s="64">
        <f>L453</f>
        <v>0</v>
      </c>
      <c r="M452" s="64">
        <f>M453</f>
        <v>0</v>
      </c>
      <c r="N452" s="63">
        <f>N453</f>
        <v>1172.7070000000001</v>
      </c>
      <c r="O452" s="63">
        <f>O453</f>
        <v>0</v>
      </c>
      <c r="P452" s="62">
        <f>P453</f>
        <v>0</v>
      </c>
    </row>
    <row r="453" spans="1:16" ht="26" hidden="1" x14ac:dyDescent="0.25">
      <c r="A453" s="32"/>
      <c r="B453" s="15" t="s">
        <v>4</v>
      </c>
      <c r="C453" s="9"/>
      <c r="D453" s="9" t="s">
        <v>15</v>
      </c>
      <c r="E453" s="9" t="s">
        <v>9</v>
      </c>
      <c r="F453" s="9" t="s">
        <v>30</v>
      </c>
      <c r="G453" s="9" t="s">
        <v>1</v>
      </c>
      <c r="H453" s="9"/>
      <c r="I453" s="9"/>
      <c r="J453" s="57"/>
      <c r="K453" s="61"/>
      <c r="L453" s="60"/>
      <c r="M453" s="59"/>
      <c r="N453" s="57">
        <f>N454</f>
        <v>1172.7070000000001</v>
      </c>
      <c r="O453" s="57">
        <f>O454</f>
        <v>0</v>
      </c>
      <c r="P453" s="56">
        <f>P454</f>
        <v>0</v>
      </c>
    </row>
    <row r="454" spans="1:16" ht="13" hidden="1" x14ac:dyDescent="0.3">
      <c r="A454" s="32"/>
      <c r="B454" s="16" t="s">
        <v>11</v>
      </c>
      <c r="C454" s="9"/>
      <c r="D454" s="9"/>
      <c r="E454" s="9"/>
      <c r="F454" s="9" t="s">
        <v>30</v>
      </c>
      <c r="G454" s="9" t="s">
        <v>1</v>
      </c>
      <c r="H454" s="9"/>
      <c r="I454" s="9" t="s">
        <v>9</v>
      </c>
      <c r="J454" s="57"/>
      <c r="K454" s="61"/>
      <c r="L454" s="60"/>
      <c r="M454" s="59"/>
      <c r="N454" s="57">
        <v>1172.7070000000001</v>
      </c>
      <c r="O454" s="57"/>
      <c r="P454" s="56"/>
    </row>
    <row r="455" spans="1:16" ht="27" hidden="1" customHeight="1" x14ac:dyDescent="0.25">
      <c r="A455" s="32"/>
      <c r="B455" s="58" t="s">
        <v>29</v>
      </c>
      <c r="C455" s="9"/>
      <c r="D455" s="9" t="s">
        <v>15</v>
      </c>
      <c r="E455" s="9" t="s">
        <v>9</v>
      </c>
      <c r="F455" s="34" t="s">
        <v>27</v>
      </c>
      <c r="G455" s="48"/>
      <c r="H455" s="48"/>
      <c r="I455" s="9"/>
      <c r="J455" s="57"/>
      <c r="K455" s="47"/>
      <c r="L455" s="57">
        <f>L457</f>
        <v>10000</v>
      </c>
      <c r="M455" s="57">
        <f>M457</f>
        <v>10000</v>
      </c>
      <c r="N455" s="57"/>
      <c r="O455" s="57"/>
      <c r="P455" s="56"/>
    </row>
    <row r="456" spans="1:16" ht="25.15" hidden="1" customHeight="1" x14ac:dyDescent="0.25">
      <c r="A456" s="32"/>
      <c r="B456" s="55" t="s">
        <v>28</v>
      </c>
      <c r="C456" s="9"/>
      <c r="D456" s="9"/>
      <c r="E456" s="9"/>
      <c r="F456" s="9" t="s">
        <v>27</v>
      </c>
      <c r="G456" s="9" t="s">
        <v>26</v>
      </c>
      <c r="H456" s="9"/>
      <c r="I456" s="9"/>
      <c r="J456" s="53"/>
      <c r="K456" s="48"/>
      <c r="L456" s="54">
        <v>10000</v>
      </c>
      <c r="M456" s="54">
        <v>10000</v>
      </c>
      <c r="N456" s="53"/>
      <c r="O456" s="53"/>
      <c r="P456" s="429"/>
    </row>
    <row r="457" spans="1:16" ht="17.5" hidden="1" customHeight="1" x14ac:dyDescent="0.3">
      <c r="A457" s="32"/>
      <c r="B457" s="16" t="s">
        <v>11</v>
      </c>
      <c r="C457" s="9"/>
      <c r="D457" s="9" t="s">
        <v>15</v>
      </c>
      <c r="E457" s="9" t="s">
        <v>9</v>
      </c>
      <c r="F457" s="9" t="s">
        <v>27</v>
      </c>
      <c r="G457" s="9" t="s">
        <v>26</v>
      </c>
      <c r="H457" s="9"/>
      <c r="I457" s="9" t="s">
        <v>9</v>
      </c>
      <c r="J457" s="53"/>
      <c r="K457" s="48"/>
      <c r="L457" s="54">
        <v>10000</v>
      </c>
      <c r="M457" s="54">
        <v>10000</v>
      </c>
      <c r="N457" s="53"/>
      <c r="O457" s="53"/>
      <c r="P457" s="429"/>
    </row>
    <row r="458" spans="1:16" ht="39.65" hidden="1" customHeight="1" x14ac:dyDescent="0.25">
      <c r="A458" s="32"/>
      <c r="B458" s="52" t="s">
        <v>25</v>
      </c>
      <c r="C458" s="9"/>
      <c r="D458" s="34" t="s">
        <v>15</v>
      </c>
      <c r="E458" s="34" t="s">
        <v>13</v>
      </c>
      <c r="F458" s="34" t="s">
        <v>24</v>
      </c>
      <c r="G458" s="48"/>
      <c r="H458" s="48"/>
      <c r="I458" s="34"/>
      <c r="J458" s="51">
        <f>J459</f>
        <v>0</v>
      </c>
      <c r="K458" s="51"/>
      <c r="L458" s="51">
        <f>L459</f>
        <v>85</v>
      </c>
      <c r="M458" s="51">
        <f>M459</f>
        <v>85</v>
      </c>
      <c r="N458" s="51">
        <f>N459</f>
        <v>0</v>
      </c>
      <c r="O458" s="51">
        <f>O459</f>
        <v>0</v>
      </c>
      <c r="P458" s="50">
        <f>P459</f>
        <v>0</v>
      </c>
    </row>
    <row r="459" spans="1:16" ht="43.5" hidden="1" customHeight="1" x14ac:dyDescent="0.25">
      <c r="A459" s="32"/>
      <c r="B459" s="49" t="s">
        <v>23</v>
      </c>
      <c r="C459" s="9"/>
      <c r="D459" s="9" t="s">
        <v>15</v>
      </c>
      <c r="E459" s="9" t="s">
        <v>13</v>
      </c>
      <c r="F459" s="9" t="s">
        <v>14</v>
      </c>
      <c r="G459" s="48"/>
      <c r="H459" s="48"/>
      <c r="I459" s="9"/>
      <c r="J459" s="47">
        <f>J462</f>
        <v>0</v>
      </c>
      <c r="K459" s="47"/>
      <c r="L459" s="47">
        <f>L462</f>
        <v>85</v>
      </c>
      <c r="M459" s="47">
        <f>M462</f>
        <v>85</v>
      </c>
      <c r="N459" s="47">
        <f>N462</f>
        <v>0</v>
      </c>
      <c r="O459" s="47">
        <f>O462</f>
        <v>0</v>
      </c>
      <c r="P459" s="46">
        <f>P462</f>
        <v>0</v>
      </c>
    </row>
    <row r="460" spans="1:16" ht="60.75" hidden="1" customHeight="1" x14ac:dyDescent="0.25">
      <c r="A460" s="32"/>
      <c r="B460" s="42" t="s">
        <v>22</v>
      </c>
      <c r="C460" s="31"/>
      <c r="D460" s="31" t="s">
        <v>15</v>
      </c>
      <c r="E460" s="31" t="s">
        <v>13</v>
      </c>
      <c r="F460" s="31" t="s">
        <v>21</v>
      </c>
      <c r="G460" s="3373" t="s">
        <v>20</v>
      </c>
      <c r="H460" s="3374"/>
      <c r="I460" s="3374"/>
      <c r="J460" s="3375"/>
      <c r="K460" s="45"/>
      <c r="L460" s="44"/>
      <c r="M460" s="43"/>
      <c r="N460" s="2"/>
      <c r="O460" s="2"/>
      <c r="P460" s="433"/>
    </row>
    <row r="461" spans="1:16" ht="48" hidden="1" customHeight="1" x14ac:dyDescent="0.25">
      <c r="A461" s="32"/>
      <c r="B461" s="42" t="s">
        <v>19</v>
      </c>
      <c r="C461" s="31"/>
      <c r="D461" s="31" t="s">
        <v>15</v>
      </c>
      <c r="E461" s="31" t="s">
        <v>13</v>
      </c>
      <c r="F461" s="31" t="s">
        <v>18</v>
      </c>
      <c r="G461" s="3373" t="s">
        <v>17</v>
      </c>
      <c r="H461" s="3374"/>
      <c r="I461" s="3374"/>
      <c r="J461" s="3375"/>
      <c r="K461" s="41"/>
      <c r="L461" s="2"/>
      <c r="M461" s="40"/>
      <c r="N461" s="2"/>
      <c r="O461" s="2"/>
      <c r="P461" s="433"/>
    </row>
    <row r="462" spans="1:16" ht="16.899999999999999" hidden="1" customHeight="1" x14ac:dyDescent="0.3">
      <c r="A462" s="32"/>
      <c r="B462" s="39" t="s">
        <v>16</v>
      </c>
      <c r="C462" s="31"/>
      <c r="D462" s="9" t="s">
        <v>15</v>
      </c>
      <c r="E462" s="9" t="s">
        <v>13</v>
      </c>
      <c r="F462" s="9" t="s">
        <v>14</v>
      </c>
      <c r="G462" s="33" t="s">
        <v>1</v>
      </c>
      <c r="H462" s="33"/>
      <c r="I462" s="9" t="s">
        <v>13</v>
      </c>
      <c r="J462" s="28"/>
      <c r="K462" s="30"/>
      <c r="L462" s="29">
        <v>85</v>
      </c>
      <c r="M462" s="28">
        <v>85</v>
      </c>
      <c r="N462" s="28"/>
      <c r="O462" s="28"/>
      <c r="P462" s="27"/>
    </row>
    <row r="463" spans="1:16" ht="26" hidden="1" x14ac:dyDescent="0.3">
      <c r="A463" s="32"/>
      <c r="B463" s="38" t="s">
        <v>8</v>
      </c>
      <c r="C463" s="903"/>
      <c r="D463" s="11"/>
      <c r="E463" s="11"/>
      <c r="F463" s="37" t="s">
        <v>2</v>
      </c>
      <c r="G463" s="11"/>
      <c r="H463" s="11"/>
      <c r="I463" s="11"/>
      <c r="J463" s="36">
        <f>J464+J466</f>
        <v>600.79999999999995</v>
      </c>
      <c r="K463" s="30"/>
      <c r="L463" s="29"/>
      <c r="M463" s="28"/>
      <c r="N463" s="36">
        <f>N464+N466</f>
        <v>640.20000000000005</v>
      </c>
      <c r="O463" s="36">
        <f>O464+O466</f>
        <v>0</v>
      </c>
      <c r="P463" s="435">
        <f>P464+P466</f>
        <v>0</v>
      </c>
    </row>
    <row r="464" spans="1:16" ht="16.899999999999999" hidden="1" customHeight="1" x14ac:dyDescent="0.3">
      <c r="A464" s="32"/>
      <c r="B464" s="16" t="s">
        <v>7</v>
      </c>
      <c r="C464" s="903"/>
      <c r="D464" s="11"/>
      <c r="E464" s="11"/>
      <c r="F464" s="10" t="s">
        <v>2</v>
      </c>
      <c r="G464" s="9" t="s">
        <v>5</v>
      </c>
      <c r="H464" s="9"/>
      <c r="I464" s="11"/>
      <c r="J464" s="7">
        <f>J465</f>
        <v>493.39</v>
      </c>
      <c r="K464" s="30"/>
      <c r="L464" s="29"/>
      <c r="M464" s="28"/>
      <c r="N464" s="7">
        <f>N465</f>
        <v>638.005</v>
      </c>
      <c r="O464" s="7">
        <f>O465</f>
        <v>0</v>
      </c>
      <c r="P464" s="429">
        <f>P465</f>
        <v>0</v>
      </c>
    </row>
    <row r="465" spans="1:24" ht="16.899999999999999" hidden="1" customHeight="1" x14ac:dyDescent="0.3">
      <c r="A465" s="32"/>
      <c r="B465" s="16" t="s">
        <v>6</v>
      </c>
      <c r="C465" s="903"/>
      <c r="D465" s="11"/>
      <c r="E465" s="11"/>
      <c r="F465" s="10" t="s">
        <v>2</v>
      </c>
      <c r="G465" s="9" t="s">
        <v>5</v>
      </c>
      <c r="H465" s="9"/>
      <c r="I465" s="9" t="s">
        <v>0</v>
      </c>
      <c r="J465" s="7">
        <f>378.948+114.442</f>
        <v>493.39</v>
      </c>
      <c r="K465" s="30"/>
      <c r="L465" s="29"/>
      <c r="M465" s="28"/>
      <c r="N465" s="7">
        <v>638.005</v>
      </c>
      <c r="O465" s="7"/>
      <c r="P465" s="429"/>
    </row>
    <row r="466" spans="1:24" ht="16.899999999999999" hidden="1" customHeight="1" x14ac:dyDescent="0.3">
      <c r="A466" s="32"/>
      <c r="B466" s="15" t="s">
        <v>4</v>
      </c>
      <c r="C466" s="903"/>
      <c r="D466" s="11"/>
      <c r="E466" s="11"/>
      <c r="F466" s="10" t="s">
        <v>2</v>
      </c>
      <c r="G466" s="9" t="s">
        <v>1</v>
      </c>
      <c r="H466" s="9"/>
      <c r="I466" s="9"/>
      <c r="J466" s="14">
        <f>J467</f>
        <v>107.41</v>
      </c>
      <c r="K466" s="30"/>
      <c r="L466" s="29"/>
      <c r="M466" s="28"/>
      <c r="N466" s="14">
        <f>N467</f>
        <v>2.1949999999999998</v>
      </c>
      <c r="O466" s="14">
        <f>O467</f>
        <v>0</v>
      </c>
      <c r="P466" s="436">
        <f>P467</f>
        <v>0</v>
      </c>
    </row>
    <row r="467" spans="1:24" ht="16.899999999999999" hidden="1" customHeight="1" x14ac:dyDescent="0.3">
      <c r="A467" s="32"/>
      <c r="B467" s="12" t="s">
        <v>3</v>
      </c>
      <c r="C467" s="903"/>
      <c r="D467" s="11"/>
      <c r="E467" s="11"/>
      <c r="F467" s="10" t="s">
        <v>2</v>
      </c>
      <c r="G467" s="9" t="s">
        <v>1</v>
      </c>
      <c r="H467" s="9"/>
      <c r="I467" s="9" t="s">
        <v>0</v>
      </c>
      <c r="J467" s="7">
        <f>86.41+21</f>
        <v>107.41</v>
      </c>
      <c r="K467" s="30"/>
      <c r="L467" s="29"/>
      <c r="M467" s="28"/>
      <c r="N467" s="7">
        <v>2.1949999999999998</v>
      </c>
      <c r="O467" s="7"/>
      <c r="P467" s="429"/>
      <c r="X467" s="1"/>
    </row>
    <row r="468" spans="1:24" ht="23" x14ac:dyDescent="0.3">
      <c r="A468" s="32"/>
      <c r="B468" s="35" t="s">
        <v>12</v>
      </c>
      <c r="C468" s="31"/>
      <c r="D468" s="9"/>
      <c r="E468" s="9"/>
      <c r="F468" s="34" t="s">
        <v>10</v>
      </c>
      <c r="G468" s="33"/>
      <c r="H468" s="33"/>
      <c r="I468" s="9"/>
      <c r="J468" s="28">
        <f>J469</f>
        <v>1109.2180000000001</v>
      </c>
      <c r="K468" s="30"/>
      <c r="L468" s="29"/>
      <c r="M468" s="28"/>
      <c r="N468" s="28">
        <f t="shared" ref="N468:P469" si="49">N469</f>
        <v>713.495</v>
      </c>
      <c r="O468" s="28">
        <f t="shared" si="49"/>
        <v>822.47400000000005</v>
      </c>
      <c r="P468" s="27">
        <f t="shared" si="49"/>
        <v>871.82299999999998</v>
      </c>
      <c r="X468" s="1"/>
    </row>
    <row r="469" spans="1:24" ht="16.899999999999999" customHeight="1" x14ac:dyDescent="0.3">
      <c r="A469" s="32"/>
      <c r="B469" s="15" t="s">
        <v>4</v>
      </c>
      <c r="C469" s="31"/>
      <c r="D469" s="9"/>
      <c r="E469" s="9"/>
      <c r="F469" s="9" t="s">
        <v>10</v>
      </c>
      <c r="G469" s="9" t="s">
        <v>1</v>
      </c>
      <c r="H469" s="9"/>
      <c r="I469" s="9"/>
      <c r="J469" s="28">
        <f>J470</f>
        <v>1109.2180000000001</v>
      </c>
      <c r="K469" s="30"/>
      <c r="L469" s="29"/>
      <c r="M469" s="28"/>
      <c r="N469" s="28">
        <f t="shared" si="49"/>
        <v>713.495</v>
      </c>
      <c r="O469" s="28">
        <f t="shared" si="49"/>
        <v>822.47400000000005</v>
      </c>
      <c r="P469" s="27">
        <f t="shared" si="49"/>
        <v>871.82299999999998</v>
      </c>
      <c r="X469" s="1"/>
    </row>
    <row r="470" spans="1:24" ht="16.899999999999999" customHeight="1" x14ac:dyDescent="0.3">
      <c r="A470" s="32"/>
      <c r="B470" s="16" t="s">
        <v>11</v>
      </c>
      <c r="C470" s="31"/>
      <c r="D470" s="9"/>
      <c r="E470" s="9"/>
      <c r="F470" s="9" t="s">
        <v>10</v>
      </c>
      <c r="G470" s="9" t="s">
        <v>1</v>
      </c>
      <c r="H470" s="9" t="s">
        <v>463</v>
      </c>
      <c r="I470" s="9" t="s">
        <v>456</v>
      </c>
      <c r="J470" s="53">
        <v>1109.2180000000001</v>
      </c>
      <c r="K470" s="30"/>
      <c r="L470" s="29"/>
      <c r="M470" s="527"/>
      <c r="N470" s="53">
        <v>713.495</v>
      </c>
      <c r="O470" s="53">
        <v>822.47400000000005</v>
      </c>
      <c r="P470" s="429">
        <v>871.82299999999998</v>
      </c>
      <c r="X470" s="1"/>
    </row>
    <row r="471" spans="1:24" ht="26" x14ac:dyDescent="0.3">
      <c r="A471" s="145"/>
      <c r="B471" s="23" t="s">
        <v>8</v>
      </c>
      <c r="C471" s="22"/>
      <c r="D471" s="20"/>
      <c r="E471" s="20"/>
      <c r="F471" s="21" t="s">
        <v>2</v>
      </c>
      <c r="G471" s="20"/>
      <c r="H471" s="20"/>
      <c r="I471" s="20"/>
      <c r="J471" s="17">
        <f>J472+J474</f>
        <v>600.79999999999995</v>
      </c>
      <c r="K471" s="19"/>
      <c r="L471" s="18">
        <f>L472+L474</f>
        <v>605.88300000000004</v>
      </c>
      <c r="M471" s="18">
        <f>M472+M474</f>
        <v>605.88300000000004</v>
      </c>
      <c r="N471" s="17">
        <f>N472+N474</f>
        <v>600.79999999999995</v>
      </c>
      <c r="O471" s="17">
        <f>O472+O474</f>
        <v>662.9</v>
      </c>
      <c r="P471" s="904">
        <f>P472+P474</f>
        <v>0</v>
      </c>
      <c r="X471" s="1"/>
    </row>
    <row r="472" spans="1:24" ht="13" x14ac:dyDescent="0.3">
      <c r="A472" s="32"/>
      <c r="B472" s="16" t="s">
        <v>7</v>
      </c>
      <c r="C472" s="903"/>
      <c r="D472" s="11"/>
      <c r="E472" s="11"/>
      <c r="F472" s="10" t="s">
        <v>2</v>
      </c>
      <c r="G472" s="9" t="s">
        <v>5</v>
      </c>
      <c r="H472" s="9"/>
      <c r="I472" s="11"/>
      <c r="J472" s="7">
        <f>J473</f>
        <v>493.39</v>
      </c>
      <c r="K472" s="8"/>
      <c r="L472" s="7">
        <v>555.32000000000005</v>
      </c>
      <c r="M472" s="7">
        <v>555.32000000000005</v>
      </c>
      <c r="N472" s="7">
        <f>N473</f>
        <v>493.39</v>
      </c>
      <c r="O472" s="7">
        <f>O473</f>
        <v>638.4</v>
      </c>
      <c r="P472" s="429">
        <f>P473</f>
        <v>0</v>
      </c>
      <c r="X472" s="1"/>
    </row>
    <row r="473" spans="1:24" ht="13" x14ac:dyDescent="0.3">
      <c r="A473" s="32"/>
      <c r="B473" s="16" t="s">
        <v>6</v>
      </c>
      <c r="C473" s="903"/>
      <c r="D473" s="11"/>
      <c r="E473" s="11"/>
      <c r="F473" s="10" t="s">
        <v>2</v>
      </c>
      <c r="G473" s="9" t="s">
        <v>5</v>
      </c>
      <c r="H473" s="9" t="s">
        <v>488</v>
      </c>
      <c r="I473" s="9" t="s">
        <v>495</v>
      </c>
      <c r="J473" s="7">
        <f>378.948+114.442</f>
        <v>493.39</v>
      </c>
      <c r="K473" s="8"/>
      <c r="L473" s="7">
        <v>555.32000000000005</v>
      </c>
      <c r="M473" s="7">
        <v>555.32000000000005</v>
      </c>
      <c r="N473" s="7">
        <f>378.948+114.442</f>
        <v>493.39</v>
      </c>
      <c r="O473" s="7">
        <v>638.4</v>
      </c>
      <c r="P473" s="429">
        <v>0</v>
      </c>
      <c r="X473" s="1"/>
    </row>
    <row r="474" spans="1:24" ht="26" x14ac:dyDescent="0.3">
      <c r="A474" s="32"/>
      <c r="B474" s="15" t="s">
        <v>4</v>
      </c>
      <c r="C474" s="903"/>
      <c r="D474" s="11"/>
      <c r="E474" s="11"/>
      <c r="F474" s="10" t="s">
        <v>2</v>
      </c>
      <c r="G474" s="9" t="s">
        <v>1</v>
      </c>
      <c r="H474" s="9"/>
      <c r="I474" s="9"/>
      <c r="J474" s="14">
        <f>J475</f>
        <v>107.41</v>
      </c>
      <c r="K474" s="8"/>
      <c r="L474" s="8">
        <v>50.563000000000002</v>
      </c>
      <c r="M474" s="8">
        <v>50.563000000000002</v>
      </c>
      <c r="N474" s="14">
        <f>N475</f>
        <v>107.41</v>
      </c>
      <c r="O474" s="14">
        <f>O475</f>
        <v>24.5</v>
      </c>
      <c r="P474" s="436">
        <f>P475</f>
        <v>0</v>
      </c>
      <c r="X474" s="1"/>
    </row>
    <row r="475" spans="1:24" ht="13.5" thickBot="1" x14ac:dyDescent="0.3">
      <c r="A475" s="26"/>
      <c r="B475" s="895" t="s">
        <v>3</v>
      </c>
      <c r="C475" s="896"/>
      <c r="D475" s="897"/>
      <c r="E475" s="897"/>
      <c r="F475" s="898" t="s">
        <v>2</v>
      </c>
      <c r="G475" s="25" t="s">
        <v>1</v>
      </c>
      <c r="H475" s="25" t="s">
        <v>488</v>
      </c>
      <c r="I475" s="25" t="s">
        <v>495</v>
      </c>
      <c r="J475" s="905">
        <f>86.41+21</f>
        <v>107.41</v>
      </c>
      <c r="K475" s="906"/>
      <c r="L475" s="906">
        <v>50.563000000000002</v>
      </c>
      <c r="M475" s="906">
        <v>50.563000000000002</v>
      </c>
      <c r="N475" s="905">
        <f>86.41+21</f>
        <v>107.41</v>
      </c>
      <c r="O475" s="905">
        <v>24.5</v>
      </c>
      <c r="P475" s="713">
        <v>0</v>
      </c>
      <c r="X475" s="1"/>
    </row>
    <row r="476" spans="1:24" x14ac:dyDescent="0.25">
      <c r="X476" s="1"/>
    </row>
    <row r="478" spans="1:24" x14ac:dyDescent="0.25">
      <c r="O478" s="542">
        <f>O441+O405</f>
        <v>626.84299999999996</v>
      </c>
      <c r="P478" s="543">
        <f>P441+P405</f>
        <v>664.45399999999995</v>
      </c>
    </row>
  </sheetData>
  <mergeCells count="13">
    <mergeCell ref="G461:J461"/>
    <mergeCell ref="G127:J127"/>
    <mergeCell ref="G128:J128"/>
    <mergeCell ref="G434:J434"/>
    <mergeCell ref="G435:J435"/>
    <mergeCell ref="G460:J460"/>
    <mergeCell ref="A16:P16"/>
    <mergeCell ref="A17:P17"/>
    <mergeCell ref="L2:P2"/>
    <mergeCell ref="B12:J12"/>
    <mergeCell ref="A13:P13"/>
    <mergeCell ref="A14:P14"/>
    <mergeCell ref="A15:P15"/>
  </mergeCells>
  <pageMargins left="0.59055118110236227" right="0.59055118110236227" top="0.31496062992125984" bottom="0.31496062992125984" header="0.31496062992125984" footer="0.31496062992125984"/>
  <pageSetup scale="59" firstPageNumber="55" fitToHeight="3" orientation="portrait" useFirstPageNumber="1" r:id="rId1"/>
  <headerFooter alignWithMargins="0"/>
  <rowBreaks count="1" manualBreakCount="1">
    <brk id="207" max="14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Y386"/>
  <sheetViews>
    <sheetView view="pageBreakPreview" topLeftCell="C4" zoomScale="95" zoomScaleNormal="75" zoomScaleSheetLayoutView="95" workbookViewId="0">
      <selection activeCell="Y306" sqref="Y306"/>
    </sheetView>
  </sheetViews>
  <sheetFormatPr defaultColWidth="9.1796875" defaultRowHeight="12.5" x14ac:dyDescent="0.25"/>
  <cols>
    <col min="1" max="1" width="5.26953125" style="1" customWidth="1"/>
    <col min="2" max="2" width="62.453125" style="6" customWidth="1"/>
    <col min="3" max="3" width="10" style="5" customWidth="1"/>
    <col min="4" max="4" width="9.26953125" style="4" customWidth="1"/>
    <col min="5" max="5" width="10.453125" style="4" customWidth="1"/>
    <col min="6" max="6" width="11.54296875" style="4" customWidth="1"/>
    <col min="7" max="7" width="10.26953125" style="4" customWidth="1"/>
    <col min="8" max="8" width="14.7265625" style="263" customWidth="1"/>
    <col min="9" max="9" width="18.7265625" style="263" hidden="1" customWidth="1"/>
    <col min="10" max="10" width="15.7265625" style="1" hidden="1" customWidth="1"/>
    <col min="11" max="11" width="11.1796875" style="1" hidden="1" customWidth="1"/>
    <col min="12" max="12" width="14.7265625" style="1" hidden="1" customWidth="1"/>
    <col min="13" max="13" width="13.1796875" style="1" hidden="1" customWidth="1"/>
    <col min="14" max="14" width="14.7265625" style="263" customWidth="1"/>
    <col min="15" max="16" width="8.81640625" style="1" hidden="1" customWidth="1"/>
    <col min="17" max="17" width="15.453125" style="1" hidden="1" customWidth="1"/>
    <col min="18" max="20" width="9.1796875" style="1" hidden="1" customWidth="1"/>
    <col min="21" max="21" width="14.7265625" style="263" customWidth="1"/>
    <col min="22" max="22" width="10.453125" style="1" bestFit="1" customWidth="1"/>
    <col min="23" max="24" width="10.1796875" style="1" bestFit="1" customWidth="1"/>
    <col min="25" max="16384" width="9.1796875" style="1"/>
  </cols>
  <sheetData>
    <row r="1" spans="1:21" ht="15.5" x14ac:dyDescent="0.35">
      <c r="E1" s="1030"/>
      <c r="F1" s="1030"/>
      <c r="G1" s="1030"/>
      <c r="H1" s="1525"/>
      <c r="I1" s="261"/>
      <c r="J1" s="261"/>
      <c r="K1" s="261"/>
      <c r="L1" s="261"/>
      <c r="M1" s="261"/>
      <c r="O1" s="261"/>
      <c r="P1" s="261"/>
      <c r="Q1" s="261"/>
      <c r="R1" s="261"/>
      <c r="U1" s="1525" t="s">
        <v>946</v>
      </c>
    </row>
    <row r="2" spans="1:21" ht="15.5" x14ac:dyDescent="0.35">
      <c r="E2" s="261"/>
      <c r="F2" s="261"/>
      <c r="G2" s="261"/>
      <c r="H2" s="1525"/>
      <c r="I2" s="261"/>
      <c r="J2" s="261"/>
      <c r="K2" s="261"/>
      <c r="L2" s="261"/>
      <c r="M2" s="261"/>
      <c r="P2" s="261"/>
      <c r="Q2" s="261"/>
      <c r="R2" s="261"/>
      <c r="U2" s="1525" t="s">
        <v>450</v>
      </c>
    </row>
    <row r="3" spans="1:21" ht="15.5" x14ac:dyDescent="0.35">
      <c r="E3" s="261"/>
      <c r="F3" s="261"/>
      <c r="G3" s="261"/>
      <c r="H3" s="1525"/>
      <c r="I3" s="261"/>
      <c r="J3" s="261"/>
      <c r="K3" s="261"/>
      <c r="L3" s="261"/>
      <c r="M3" s="261"/>
      <c r="O3" s="261"/>
      <c r="P3" s="261"/>
      <c r="Q3" s="261"/>
      <c r="R3" s="261"/>
      <c r="U3" s="1525" t="s">
        <v>449</v>
      </c>
    </row>
    <row r="4" spans="1:21" ht="15.5" x14ac:dyDescent="0.35">
      <c r="E4" s="261"/>
      <c r="F4" s="261"/>
      <c r="G4" s="261"/>
      <c r="H4" s="1525"/>
      <c r="I4" s="261"/>
      <c r="J4" s="261"/>
      <c r="K4" s="261"/>
      <c r="L4" s="261"/>
      <c r="M4" s="261"/>
      <c r="O4" s="261"/>
      <c r="P4" s="261"/>
      <c r="Q4" s="261"/>
      <c r="R4" s="261"/>
      <c r="U4" s="1525" t="s">
        <v>448</v>
      </c>
    </row>
    <row r="5" spans="1:21" ht="15.5" x14ac:dyDescent="0.25">
      <c r="E5" s="388"/>
      <c r="F5" s="388"/>
      <c r="G5" s="388"/>
      <c r="H5" s="1526"/>
      <c r="I5" s="388"/>
      <c r="J5" s="388"/>
      <c r="K5" s="388"/>
      <c r="L5" s="388"/>
      <c r="M5" s="388"/>
      <c r="O5" s="387" t="s">
        <v>617</v>
      </c>
      <c r="Q5" s="386"/>
      <c r="R5" s="386"/>
      <c r="U5" s="1526" t="s">
        <v>900</v>
      </c>
    </row>
    <row r="6" spans="1:21" ht="15.5" x14ac:dyDescent="0.35">
      <c r="I6" s="4"/>
      <c r="J6" s="4"/>
      <c r="K6" s="4"/>
      <c r="L6" s="4"/>
      <c r="M6" s="263"/>
      <c r="O6" s="1525"/>
      <c r="P6" s="1525"/>
      <c r="Q6" s="1525"/>
      <c r="R6" s="1525"/>
    </row>
    <row r="7" spans="1:21" ht="15.5" hidden="1" x14ac:dyDescent="0.35">
      <c r="E7" s="254"/>
      <c r="F7" s="254"/>
      <c r="G7" s="254"/>
      <c r="H7" s="1526" t="s">
        <v>446</v>
      </c>
      <c r="I7" s="4"/>
      <c r="J7" s="254"/>
      <c r="K7" s="254"/>
      <c r="L7" s="254"/>
      <c r="M7" s="1526"/>
      <c r="N7" s="1526" t="s">
        <v>446</v>
      </c>
      <c r="O7" s="1525"/>
      <c r="P7" s="1525"/>
      <c r="Q7" s="1525"/>
      <c r="R7" s="1525"/>
      <c r="U7" s="1526" t="s">
        <v>446</v>
      </c>
    </row>
    <row r="8" spans="1:21" ht="15.5" hidden="1" x14ac:dyDescent="0.35">
      <c r="E8" s="254"/>
      <c r="F8" s="254"/>
      <c r="G8" s="254"/>
      <c r="H8" s="384"/>
      <c r="I8" s="4"/>
      <c r="J8" s="254"/>
      <c r="K8" s="254"/>
      <c r="L8" s="254"/>
      <c r="M8" s="384"/>
      <c r="N8" s="384"/>
      <c r="P8" s="1525"/>
      <c r="Q8" s="1525"/>
      <c r="U8" s="384"/>
    </row>
    <row r="9" spans="1:21" ht="15.5" hidden="1" x14ac:dyDescent="0.35">
      <c r="E9" s="254"/>
      <c r="F9" s="254"/>
      <c r="G9" s="254"/>
      <c r="H9" s="1526" t="s">
        <v>848</v>
      </c>
      <c r="I9" s="4"/>
      <c r="J9" s="254"/>
      <c r="K9" s="254"/>
      <c r="L9" s="254"/>
      <c r="M9" s="1526"/>
      <c r="N9" s="1526" t="s">
        <v>848</v>
      </c>
      <c r="O9" s="1525"/>
      <c r="P9" s="1525"/>
      <c r="Q9" s="1525"/>
      <c r="R9" s="1525"/>
      <c r="U9" s="1526" t="s">
        <v>848</v>
      </c>
    </row>
    <row r="10" spans="1:21" ht="15.5" hidden="1" x14ac:dyDescent="0.35">
      <c r="H10" s="390"/>
      <c r="I10" s="391">
        <v>73707.5</v>
      </c>
      <c r="J10" s="4"/>
      <c r="K10" s="4"/>
      <c r="L10" s="4"/>
      <c r="M10" s="263"/>
      <c r="N10" s="390"/>
      <c r="O10" s="1525"/>
      <c r="P10" s="1525"/>
      <c r="Q10" s="1525"/>
      <c r="U10" s="390"/>
    </row>
    <row r="11" spans="1:21" ht="13" x14ac:dyDescent="0.3">
      <c r="G11" s="392"/>
      <c r="H11" s="393"/>
      <c r="I11" s="394">
        <v>3685.4</v>
      </c>
      <c r="N11" s="393"/>
      <c r="U11" s="393"/>
    </row>
    <row r="12" spans="1:21" ht="15.5" x14ac:dyDescent="0.3">
      <c r="B12" s="3387"/>
      <c r="C12" s="3387"/>
      <c r="D12" s="3387"/>
      <c r="E12" s="3387"/>
      <c r="F12" s="3387"/>
      <c r="G12" s="3387"/>
      <c r="H12" s="3387"/>
      <c r="I12" s="395" t="e">
        <f>I10-I11-#REF!</f>
        <v>#REF!</v>
      </c>
      <c r="N12" s="1"/>
      <c r="U12" s="1"/>
    </row>
    <row r="13" spans="1:21" ht="15.65" customHeight="1" x14ac:dyDescent="0.25">
      <c r="A13" s="3388" t="s">
        <v>614</v>
      </c>
      <c r="B13" s="3388"/>
      <c r="C13" s="3388"/>
      <c r="D13" s="3388"/>
      <c r="E13" s="3388"/>
      <c r="F13" s="3388"/>
      <c r="G13" s="3388"/>
      <c r="H13" s="3388"/>
      <c r="I13" s="3388"/>
      <c r="J13" s="3388"/>
      <c r="K13" s="3388"/>
      <c r="L13" s="3388"/>
      <c r="M13" s="3388"/>
      <c r="N13" s="3388"/>
      <c r="O13" s="3388"/>
      <c r="P13" s="3388"/>
      <c r="Q13" s="3388"/>
      <c r="R13" s="3388"/>
      <c r="S13" s="3388"/>
      <c r="T13" s="3388"/>
      <c r="U13" s="3388"/>
    </row>
    <row r="14" spans="1:21" ht="15.65" customHeight="1" x14ac:dyDescent="0.25">
      <c r="A14" s="3388" t="s">
        <v>613</v>
      </c>
      <c r="B14" s="3388"/>
      <c r="C14" s="3388"/>
      <c r="D14" s="3388"/>
      <c r="E14" s="3388"/>
      <c r="F14" s="3388"/>
      <c r="G14" s="3388"/>
      <c r="H14" s="3388"/>
      <c r="I14" s="3388"/>
      <c r="J14" s="3388"/>
      <c r="K14" s="3388"/>
      <c r="L14" s="3388"/>
      <c r="M14" s="3388"/>
      <c r="N14" s="3388"/>
      <c r="O14" s="3388"/>
      <c r="P14" s="3388"/>
      <c r="Q14" s="3388"/>
      <c r="R14" s="3388"/>
      <c r="S14" s="3388"/>
      <c r="T14" s="3388"/>
      <c r="U14" s="3388"/>
    </row>
    <row r="15" spans="1:21" ht="15" customHeight="1" x14ac:dyDescent="0.25">
      <c r="A15" s="3388" t="s">
        <v>968</v>
      </c>
      <c r="B15" s="3388"/>
      <c r="C15" s="3388"/>
      <c r="D15" s="3388"/>
      <c r="E15" s="3388"/>
      <c r="F15" s="3388"/>
      <c r="G15" s="3388"/>
      <c r="H15" s="3388"/>
      <c r="I15" s="3388"/>
      <c r="J15" s="3388"/>
      <c r="K15" s="3388"/>
      <c r="L15" s="3388"/>
      <c r="M15" s="3388"/>
      <c r="N15" s="3388"/>
      <c r="O15" s="3388"/>
      <c r="P15" s="3388"/>
      <c r="Q15" s="3388"/>
      <c r="R15" s="3388"/>
      <c r="S15" s="3388"/>
      <c r="T15" s="3388"/>
      <c r="U15" s="3388"/>
    </row>
    <row r="16" spans="1:21" ht="16" thickBot="1" x14ac:dyDescent="0.4">
      <c r="A16" s="375"/>
      <c r="B16" s="236"/>
      <c r="C16" s="235"/>
      <c r="D16" s="234"/>
      <c r="E16" s="234"/>
      <c r="F16" s="234"/>
      <c r="G16" s="234"/>
      <c r="H16" s="1157"/>
      <c r="I16" s="374"/>
      <c r="N16" s="1157"/>
      <c r="U16" s="1157" t="s">
        <v>829</v>
      </c>
    </row>
    <row r="17" spans="1:21" ht="13" thickBot="1" x14ac:dyDescent="0.3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790</v>
      </c>
      <c r="I17" s="846" t="s">
        <v>604</v>
      </c>
      <c r="J17" s="368" t="s">
        <v>603</v>
      </c>
      <c r="N17" s="1162" t="s">
        <v>845</v>
      </c>
      <c r="U17" s="1673" t="s">
        <v>904</v>
      </c>
    </row>
    <row r="18" spans="1:21" ht="13.5" thickBot="1" x14ac:dyDescent="0.3">
      <c r="A18" s="1163"/>
      <c r="B18" s="1164" t="s">
        <v>618</v>
      </c>
      <c r="C18" s="1165"/>
      <c r="D18" s="1166"/>
      <c r="E18" s="1166"/>
      <c r="F18" s="1166"/>
      <c r="G18" s="1659"/>
      <c r="H18" s="1674">
        <f>H20</f>
        <v>95708.6</v>
      </c>
      <c r="I18" s="847">
        <f>I19+I53+I363</f>
        <v>78942.399999999994</v>
      </c>
      <c r="J18" s="363">
        <f>J19+J53+J363</f>
        <v>79872.899999999994</v>
      </c>
      <c r="K18" s="1438">
        <f>K21+K118+K139+K145+K177+K183+K194+K210+K213+K218+K241+K279+K288+K310+K327+K351</f>
        <v>94980.799952000016</v>
      </c>
      <c r="L18" s="237">
        <v>95708.6</v>
      </c>
      <c r="M18" s="237">
        <f>H18-L18</f>
        <v>0</v>
      </c>
      <c r="N18" s="1167">
        <f>N20</f>
        <v>94576.187000000005</v>
      </c>
      <c r="U18" s="1674">
        <f>U20</f>
        <v>94721.560000000012</v>
      </c>
    </row>
    <row r="19" spans="1:21" ht="21.5" hidden="1" thickBot="1" x14ac:dyDescent="0.3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24845.037000000004</v>
      </c>
      <c r="I19" s="848">
        <f>I21</f>
        <v>2531.0699999999997</v>
      </c>
      <c r="J19" s="292">
        <f>J21</f>
        <v>2637.06</v>
      </c>
      <c r="N19" s="1170">
        <f>N21</f>
        <v>24974.25</v>
      </c>
      <c r="U19" s="1675">
        <f>U21</f>
        <v>25943.338</v>
      </c>
    </row>
    <row r="20" spans="1:21" ht="23.5" thickBot="1" x14ac:dyDescent="0.3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H21+H116+H142+H191+H276+H286++H309+H327+H108+H352</f>
        <v>95708.6</v>
      </c>
      <c r="I20" s="848">
        <f>I21+I91+I117+I166+I240+I251+I282+I297+I83</f>
        <v>44063.945</v>
      </c>
      <c r="J20" s="293">
        <f>J21+J91+J117+J166+J240+J251+J282+J297+J83</f>
        <v>42129.229999999996</v>
      </c>
      <c r="N20" s="1170">
        <f>N21+N116+N142+N191+N276+N286++N309+N327+N108+N352</f>
        <v>94576.187000000005</v>
      </c>
      <c r="U20" s="1675">
        <f>U21+U116+U142+U191+U276+U286++U309+U327+U108+U352</f>
        <v>94721.560000000012</v>
      </c>
    </row>
    <row r="21" spans="1:21" x14ac:dyDescent="0.25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H28+H34+H55+H73+H85+H91</f>
        <v>24845.037000000004</v>
      </c>
      <c r="I21" s="849">
        <f>I22+I34+I47</f>
        <v>2531.0699999999997</v>
      </c>
      <c r="J21" s="287">
        <f>J22+J34+J47</f>
        <v>2637.06</v>
      </c>
      <c r="K21" s="1440">
        <f>K33+K39+K40+K41+K60+K61+K62+K64+K66+K72+K78+K90+K94+K95+K96+K97</f>
        <v>24845.036951999999</v>
      </c>
      <c r="N21" s="1176">
        <f>N28+N34+N55+N73+N85+N91</f>
        <v>24974.25</v>
      </c>
      <c r="U21" s="1676">
        <f>U28+U34+U55+U73+U85+U91</f>
        <v>25943.338</v>
      </c>
    </row>
    <row r="22" spans="1:21" ht="21" hidden="1" x14ac:dyDescent="0.25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N22" s="1178"/>
      <c r="U22" s="1677"/>
    </row>
    <row r="23" spans="1:21" ht="21" hidden="1" x14ac:dyDescent="0.25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N23" s="1181"/>
      <c r="U23" s="1678"/>
    </row>
    <row r="24" spans="1:21" ht="21" hidden="1" x14ac:dyDescent="0.25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N24" s="1181"/>
      <c r="U24" s="1678"/>
    </row>
    <row r="25" spans="1:21" hidden="1" x14ac:dyDescent="0.25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N25" s="1181"/>
      <c r="U25" s="1678"/>
    </row>
    <row r="26" spans="1:21" ht="21" hidden="1" x14ac:dyDescent="0.25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N26" s="1181"/>
      <c r="U26" s="1678"/>
    </row>
    <row r="27" spans="1:21" hidden="1" x14ac:dyDescent="0.25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N27" s="1181"/>
      <c r="U27" s="1678"/>
    </row>
    <row r="28" spans="1:21" ht="23" x14ac:dyDescent="0.25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>
        <f>H29</f>
        <v>1694.001</v>
      </c>
      <c r="I28" s="851"/>
      <c r="J28" s="353"/>
      <c r="K28" s="237">
        <f>K33+K39+K40+K41</f>
        <v>3579.8849519999999</v>
      </c>
      <c r="L28" s="237">
        <f>K28-3579.885</f>
        <v>-4.8000000333559001E-5</v>
      </c>
      <c r="N28" s="1178">
        <f>N29</f>
        <v>1764.761</v>
      </c>
      <c r="U28" s="1677">
        <f>U29</f>
        <v>1832.232</v>
      </c>
    </row>
    <row r="29" spans="1:21" ht="24.75" customHeight="1" x14ac:dyDescent="0.25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>
        <f>H30</f>
        <v>1694.001</v>
      </c>
      <c r="I29" s="851"/>
      <c r="J29" s="353"/>
      <c r="N29" s="1181">
        <f>N30</f>
        <v>1764.761</v>
      </c>
      <c r="U29" s="1678">
        <f>U30</f>
        <v>1832.232</v>
      </c>
    </row>
    <row r="30" spans="1:21" ht="21" x14ac:dyDescent="0.25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>
        <f>H31</f>
        <v>1694.001</v>
      </c>
      <c r="I30" s="851"/>
      <c r="J30" s="353"/>
      <c r="N30" s="1181">
        <f>N31</f>
        <v>1764.761</v>
      </c>
      <c r="U30" s="1678">
        <f>U31</f>
        <v>1832.232</v>
      </c>
    </row>
    <row r="31" spans="1:21" x14ac:dyDescent="0.25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>
        <f>H32</f>
        <v>1694.001</v>
      </c>
      <c r="I31" s="851"/>
      <c r="J31" s="353"/>
      <c r="N31" s="1181">
        <f>N32</f>
        <v>1764.761</v>
      </c>
      <c r="U31" s="1678">
        <f>U32</f>
        <v>1832.232</v>
      </c>
    </row>
    <row r="32" spans="1:21" ht="21" x14ac:dyDescent="0.25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>
        <f>H33</f>
        <v>1694.001</v>
      </c>
      <c r="I32" s="851"/>
      <c r="J32" s="353"/>
      <c r="N32" s="1181">
        <f>N33</f>
        <v>1764.761</v>
      </c>
      <c r="U32" s="1678">
        <f>U33</f>
        <v>1832.232</v>
      </c>
    </row>
    <row r="33" spans="1:21" x14ac:dyDescent="0.25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>
        <v>1694.001</v>
      </c>
      <c r="I33" s="851"/>
      <c r="J33" s="353"/>
      <c r="K33" s="1">
        <f>1301.076*130.2/100</f>
        <v>1694.0009519999999</v>
      </c>
      <c r="N33" s="1181">
        <v>1764.761</v>
      </c>
      <c r="U33" s="1678">
        <v>1832.232</v>
      </c>
    </row>
    <row r="34" spans="1:21" ht="34.5" x14ac:dyDescent="0.25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9">
        <f>H35</f>
        <v>1885.884</v>
      </c>
      <c r="I34" s="850">
        <f>I35</f>
        <v>2531.0699999999997</v>
      </c>
      <c r="J34" s="355">
        <f>J35</f>
        <v>2637.06</v>
      </c>
      <c r="N34" s="1463">
        <f>N35</f>
        <v>1958.319</v>
      </c>
      <c r="U34" s="1679">
        <f>U35</f>
        <v>2039.7719999999999</v>
      </c>
    </row>
    <row r="35" spans="1:21" ht="26.25" customHeight="1" x14ac:dyDescent="0.25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>
        <f>H36+H43</f>
        <v>1885.884</v>
      </c>
      <c r="I35" s="851">
        <f>I36+I43</f>
        <v>2531.0699999999997</v>
      </c>
      <c r="J35" s="353">
        <f>J36+J43</f>
        <v>2637.06</v>
      </c>
      <c r="N35" s="1181">
        <f>N36+N43</f>
        <v>1958.319</v>
      </c>
      <c r="U35" s="1678">
        <f>U36+U43</f>
        <v>2039.7719999999999</v>
      </c>
    </row>
    <row r="36" spans="1:21" ht="27" customHeight="1" x14ac:dyDescent="0.25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>
        <f t="shared" ref="H36:J37" si="1">H37</f>
        <v>1885.884</v>
      </c>
      <c r="I36" s="851">
        <f t="shared" si="1"/>
        <v>1871.5079999999998</v>
      </c>
      <c r="J36" s="353">
        <f t="shared" si="1"/>
        <v>1911.5409999999999</v>
      </c>
      <c r="N36" s="1181">
        <f t="shared" ref="N36:N37" si="2">N37</f>
        <v>1958.319</v>
      </c>
      <c r="U36" s="1678">
        <f t="shared" ref="U36:U37" si="3">U37</f>
        <v>2039.7719999999999</v>
      </c>
    </row>
    <row r="37" spans="1:21" x14ac:dyDescent="0.25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>
        <f t="shared" si="1"/>
        <v>1885.884</v>
      </c>
      <c r="I37" s="851">
        <f t="shared" si="1"/>
        <v>1871.5079999999998</v>
      </c>
      <c r="J37" s="353">
        <f t="shared" si="1"/>
        <v>1911.5409999999999</v>
      </c>
      <c r="N37" s="1181">
        <f t="shared" si="2"/>
        <v>1958.319</v>
      </c>
      <c r="U37" s="1678">
        <f t="shared" si="3"/>
        <v>2039.7719999999999</v>
      </c>
    </row>
    <row r="38" spans="1:21" x14ac:dyDescent="0.25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>
        <f>H39+H40+H41</f>
        <v>1885.884</v>
      </c>
      <c r="I38" s="851">
        <f>I39+I40</f>
        <v>1871.5079999999998</v>
      </c>
      <c r="J38" s="353">
        <f>J39+J40</f>
        <v>1911.5409999999999</v>
      </c>
      <c r="N38" s="1181">
        <f>N39+N40+N41</f>
        <v>1958.319</v>
      </c>
      <c r="U38" s="1678">
        <f>U39+U40+U41</f>
        <v>2039.7719999999999</v>
      </c>
    </row>
    <row r="39" spans="1:21" x14ac:dyDescent="0.25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>
        <v>955.79899999999998</v>
      </c>
      <c r="I39" s="851">
        <v>672.428</v>
      </c>
      <c r="J39" s="352">
        <v>739.67200000000003</v>
      </c>
      <c r="K39" s="1">
        <v>955.79899999999998</v>
      </c>
      <c r="N39" s="1181">
        <v>994.03099999999995</v>
      </c>
      <c r="U39" s="1678">
        <v>1033.7919999999999</v>
      </c>
    </row>
    <row r="40" spans="1:21" ht="21" x14ac:dyDescent="0.25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680">
        <v>925.08500000000004</v>
      </c>
      <c r="I40" s="851">
        <v>1199.08</v>
      </c>
      <c r="J40" s="352">
        <v>1171.8689999999999</v>
      </c>
      <c r="K40" s="1031">
        <f>1068.271-143.186</f>
        <v>925.08499999999992</v>
      </c>
      <c r="N40" s="1186">
        <v>964.28800000000001</v>
      </c>
      <c r="U40" s="1680">
        <v>1005.98</v>
      </c>
    </row>
    <row r="41" spans="1:21" x14ac:dyDescent="0.25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680">
        <v>5</v>
      </c>
      <c r="I41" s="851"/>
      <c r="J41" s="1187"/>
      <c r="K41" s="1031">
        <v>5</v>
      </c>
      <c r="N41" s="1186"/>
      <c r="U41" s="1680"/>
    </row>
    <row r="42" spans="1:21" hidden="1" x14ac:dyDescent="0.25">
      <c r="A42" s="842"/>
      <c r="B42" s="1182"/>
      <c r="C42" s="1183"/>
      <c r="D42" s="409"/>
      <c r="E42" s="409"/>
      <c r="F42" s="409"/>
      <c r="G42" s="1662"/>
      <c r="H42" s="1680"/>
      <c r="I42" s="851"/>
      <c r="J42" s="1187"/>
      <c r="K42" s="1031"/>
      <c r="N42" s="1186"/>
      <c r="U42" s="1680"/>
    </row>
    <row r="43" spans="1:21" ht="31.5" hidden="1" x14ac:dyDescent="0.25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4">H44</f>
        <v>0</v>
      </c>
      <c r="I43" s="851">
        <f t="shared" si="4"/>
        <v>659.56200000000001</v>
      </c>
      <c r="J43" s="353">
        <f t="shared" si="4"/>
        <v>725.51900000000001</v>
      </c>
      <c r="N43" s="1181"/>
      <c r="U43" s="1678"/>
    </row>
    <row r="44" spans="1:21" hidden="1" x14ac:dyDescent="0.25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4"/>
        <v>0</v>
      </c>
      <c r="I44" s="851">
        <f t="shared" si="4"/>
        <v>659.56200000000001</v>
      </c>
      <c r="J44" s="353">
        <f t="shared" si="4"/>
        <v>725.51900000000001</v>
      </c>
      <c r="N44" s="1181"/>
      <c r="U44" s="1678"/>
    </row>
    <row r="45" spans="1:21" ht="21" hidden="1" x14ac:dyDescent="0.25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4"/>
        <v>0</v>
      </c>
      <c r="I45" s="851">
        <f t="shared" si="4"/>
        <v>659.56200000000001</v>
      </c>
      <c r="J45" s="353">
        <f t="shared" si="4"/>
        <v>725.51900000000001</v>
      </c>
      <c r="N45" s="1181"/>
      <c r="U45" s="1678"/>
    </row>
    <row r="46" spans="1:21" hidden="1" x14ac:dyDescent="0.25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1">
        <v>0</v>
      </c>
      <c r="N46" s="1181"/>
      <c r="U46" s="1678"/>
    </row>
    <row r="47" spans="1:21" ht="21" hidden="1" x14ac:dyDescent="0.25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5">I48</f>
        <v>0</v>
      </c>
      <c r="J47" s="354">
        <f t="shared" si="5"/>
        <v>0</v>
      </c>
      <c r="N47" s="1178"/>
      <c r="U47" s="1677"/>
    </row>
    <row r="48" spans="1:21" ht="21" hidden="1" x14ac:dyDescent="0.25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5"/>
        <v>0</v>
      </c>
      <c r="I48" s="851">
        <f t="shared" si="5"/>
        <v>0</v>
      </c>
      <c r="J48" s="352">
        <f t="shared" si="5"/>
        <v>0</v>
      </c>
      <c r="N48" s="1181">
        <f t="shared" ref="N48:N51" si="6">N49</f>
        <v>0</v>
      </c>
      <c r="U48" s="1678">
        <f t="shared" ref="U48:U51" si="7">U49</f>
        <v>0</v>
      </c>
    </row>
    <row r="49" spans="1:22" ht="21" hidden="1" x14ac:dyDescent="0.25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5"/>
        <v>0</v>
      </c>
      <c r="I49" s="851">
        <f t="shared" si="5"/>
        <v>0</v>
      </c>
      <c r="J49" s="352">
        <f t="shared" si="5"/>
        <v>0</v>
      </c>
      <c r="N49" s="1181">
        <f t="shared" si="6"/>
        <v>0</v>
      </c>
      <c r="U49" s="1678">
        <f t="shared" si="7"/>
        <v>0</v>
      </c>
    </row>
    <row r="50" spans="1:22" hidden="1" x14ac:dyDescent="0.25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5"/>
        <v>0</v>
      </c>
      <c r="I50" s="851">
        <f t="shared" si="5"/>
        <v>0</v>
      </c>
      <c r="J50" s="352">
        <f t="shared" si="5"/>
        <v>0</v>
      </c>
      <c r="N50" s="1181">
        <f t="shared" si="6"/>
        <v>0</v>
      </c>
      <c r="U50" s="1678">
        <f t="shared" si="7"/>
        <v>0</v>
      </c>
    </row>
    <row r="51" spans="1:22" ht="21" hidden="1" x14ac:dyDescent="0.25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5"/>
        <v>0</v>
      </c>
      <c r="I51" s="851">
        <f t="shared" si="5"/>
        <v>0</v>
      </c>
      <c r="J51" s="352">
        <f t="shared" si="5"/>
        <v>0</v>
      </c>
      <c r="N51" s="1181">
        <f t="shared" si="6"/>
        <v>0</v>
      </c>
      <c r="U51" s="1678">
        <f t="shared" si="7"/>
        <v>0</v>
      </c>
    </row>
    <row r="52" spans="1:22" hidden="1" x14ac:dyDescent="0.25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N52" s="1194"/>
      <c r="U52" s="1681"/>
    </row>
    <row r="53" spans="1:22" ht="23.5" hidden="1" thickBot="1" x14ac:dyDescent="0.3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H54+H116+H142+H191+H276+H287+H309+H327+H108</f>
        <v>87475.056000000011</v>
      </c>
      <c r="I53" s="848">
        <f>I54+I116+I142+I191+I276+I287+I309+I327+I108</f>
        <v>68198.73</v>
      </c>
      <c r="J53" s="293">
        <f>J54+J116+J142+J191+J276+J287+J309+J327+J108</f>
        <v>68972.84</v>
      </c>
      <c r="N53" s="1170">
        <f>N54+N116+N142+N191+N276+N287+N309+N327+N108</f>
        <v>86635.706999999995</v>
      </c>
      <c r="U53" s="1675">
        <f>U54+U116+U142+U191+U276+U287+U309+U327+U108</f>
        <v>86311.556000000011</v>
      </c>
    </row>
    <row r="54" spans="1:22" hidden="1" x14ac:dyDescent="0.25">
      <c r="A54" s="1195"/>
      <c r="B54" s="1173" t="s">
        <v>431</v>
      </c>
      <c r="C54" s="1174"/>
      <c r="D54" s="1175" t="s">
        <v>456</v>
      </c>
      <c r="E54" s="1175" t="s">
        <v>459</v>
      </c>
      <c r="F54" s="1175"/>
      <c r="G54" s="1660"/>
      <c r="H54" s="1676">
        <f>H55+H85+H91+H79</f>
        <v>20845.197</v>
      </c>
      <c r="I54" s="849">
        <f>I55+I85+I91</f>
        <v>18535.740000000002</v>
      </c>
      <c r="J54" s="287">
        <f>J55+J85+J91</f>
        <v>19711.260000000002</v>
      </c>
      <c r="N54" s="1176">
        <f>N55+N85+N91+N79</f>
        <v>21251.17</v>
      </c>
      <c r="U54" s="1676">
        <f>U55+U85+U91+U79</f>
        <v>22071.333999999999</v>
      </c>
    </row>
    <row r="55" spans="1:22" ht="34.5" x14ac:dyDescent="0.25">
      <c r="A55" s="842"/>
      <c r="B55" s="1196" t="s">
        <v>105</v>
      </c>
      <c r="C55" s="1189"/>
      <c r="D55" s="408" t="s">
        <v>456</v>
      </c>
      <c r="E55" s="408" t="s">
        <v>452</v>
      </c>
      <c r="F55" s="408"/>
      <c r="G55" s="1661"/>
      <c r="H55" s="1677">
        <f>H56</f>
        <v>17080.953000000001</v>
      </c>
      <c r="I55" s="850">
        <f>I56</f>
        <v>15223.140000000001</v>
      </c>
      <c r="J55" s="355">
        <f>J56</f>
        <v>16197.52</v>
      </c>
      <c r="K55" s="237">
        <f>K60+K61+K62+K64+K66+K72+K78</f>
        <v>17500.908000000003</v>
      </c>
      <c r="L55" s="1">
        <f>18156.908</f>
        <v>18156.907999999999</v>
      </c>
      <c r="M55" s="237">
        <f>L55-K55</f>
        <v>655.99999999999636</v>
      </c>
      <c r="N55" s="1178">
        <f>N56</f>
        <v>17851.169999999998</v>
      </c>
      <c r="U55" s="1677">
        <f>U56</f>
        <v>18491.333999999999</v>
      </c>
      <c r="V55" s="237"/>
    </row>
    <row r="56" spans="1:22" ht="28.5" customHeight="1" x14ac:dyDescent="0.25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H57+H69</f>
        <v>17080.953000000001</v>
      </c>
      <c r="I56" s="851">
        <f>I57+I69</f>
        <v>15223.140000000001</v>
      </c>
      <c r="J56" s="353">
        <f>J57+J69</f>
        <v>16197.52</v>
      </c>
      <c r="N56" s="1181">
        <f>N57+N69</f>
        <v>17851.169999999998</v>
      </c>
      <c r="U56" s="1678">
        <f>U57+U69</f>
        <v>18491.333999999999</v>
      </c>
      <c r="V56" s="237"/>
    </row>
    <row r="57" spans="1:22" ht="30.75" customHeight="1" x14ac:dyDescent="0.25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15568.353000000001</v>
      </c>
      <c r="I57" s="851">
        <f>I58</f>
        <v>13595.477000000001</v>
      </c>
      <c r="J57" s="353">
        <f>J58</f>
        <v>14414.787</v>
      </c>
      <c r="N57" s="1181">
        <f>N58</f>
        <v>16278.065999999999</v>
      </c>
      <c r="U57" s="1678">
        <f>U58</f>
        <v>16855.306</v>
      </c>
    </row>
    <row r="58" spans="1:22" x14ac:dyDescent="0.25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H59+H63+H65+H67</f>
        <v>15568.353000000001</v>
      </c>
      <c r="I58" s="851">
        <f>I59+I63+I65+I67</f>
        <v>13595.477000000001</v>
      </c>
      <c r="J58" s="353">
        <f>J59+J63+J65+J67</f>
        <v>14414.787</v>
      </c>
      <c r="N58" s="1181">
        <f>N59+N63+N65+N67</f>
        <v>16278.065999999999</v>
      </c>
      <c r="U58" s="1678">
        <f>U59+U63+U65+U67</f>
        <v>16855.306</v>
      </c>
    </row>
    <row r="59" spans="1:22" x14ac:dyDescent="0.25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H60+H61+H62</f>
        <v>15210.253000000001</v>
      </c>
      <c r="I59" s="851">
        <f>I60+I61</f>
        <v>13595.477000000001</v>
      </c>
      <c r="J59" s="353">
        <f>J60+J61</f>
        <v>14414.787</v>
      </c>
      <c r="N59" s="1181">
        <f>N60+N61+N62</f>
        <v>16278.065999999999</v>
      </c>
      <c r="U59" s="1678">
        <f>U60+U61+U62</f>
        <v>16855.306</v>
      </c>
    </row>
    <row r="60" spans="1:22" x14ac:dyDescent="0.25">
      <c r="A60" s="842"/>
      <c r="B60" s="1182" t="s">
        <v>571</v>
      </c>
      <c r="C60" s="1183"/>
      <c r="D60" s="409" t="s">
        <v>456</v>
      </c>
      <c r="E60" s="409" t="s">
        <v>452</v>
      </c>
      <c r="F60" s="409" t="s">
        <v>152</v>
      </c>
      <c r="G60" s="1662" t="s">
        <v>5</v>
      </c>
      <c r="H60" s="1678">
        <v>13742.608</v>
      </c>
      <c r="I60" s="851">
        <v>8998.8070000000007</v>
      </c>
      <c r="J60" s="352">
        <v>9997.6880000000001</v>
      </c>
      <c r="K60" s="1">
        <f>11012.345+22.735+0.6+3325.728-618.8</f>
        <v>13742.608</v>
      </c>
      <c r="N60" s="1181">
        <v>14292.312</v>
      </c>
      <c r="U60" s="1678">
        <v>14864</v>
      </c>
    </row>
    <row r="61" spans="1:22" ht="21" x14ac:dyDescent="0.25">
      <c r="A61" s="842"/>
      <c r="B61" s="1182" t="s">
        <v>454</v>
      </c>
      <c r="C61" s="1183"/>
      <c r="D61" s="409" t="s">
        <v>456</v>
      </c>
      <c r="E61" s="409" t="s">
        <v>452</v>
      </c>
      <c r="F61" s="409" t="s">
        <v>152</v>
      </c>
      <c r="G61" s="1662" t="s">
        <v>1</v>
      </c>
      <c r="H61" s="1678">
        <v>1457.645</v>
      </c>
      <c r="I61" s="851">
        <v>4596.67</v>
      </c>
      <c r="J61" s="352">
        <v>4417.0990000000002</v>
      </c>
      <c r="K61" s="1031">
        <f>1845.107-350.262-37.2</f>
        <v>1457.645</v>
      </c>
      <c r="N61" s="1181">
        <v>1985.7539999999999</v>
      </c>
      <c r="U61" s="1678">
        <v>1991.306</v>
      </c>
    </row>
    <row r="62" spans="1:22" x14ac:dyDescent="0.25">
      <c r="A62" s="842"/>
      <c r="B62" s="1198" t="s">
        <v>457</v>
      </c>
      <c r="C62" s="1183"/>
      <c r="D62" s="409" t="s">
        <v>456</v>
      </c>
      <c r="E62" s="409" t="s">
        <v>452</v>
      </c>
      <c r="F62" s="409" t="s">
        <v>152</v>
      </c>
      <c r="G62" s="1662" t="s">
        <v>91</v>
      </c>
      <c r="H62" s="1678">
        <v>10</v>
      </c>
      <c r="I62" s="851"/>
      <c r="J62" s="352"/>
      <c r="K62" s="1031">
        <v>10</v>
      </c>
      <c r="N62" s="1181"/>
      <c r="U62" s="1678"/>
    </row>
    <row r="63" spans="1:22" ht="21" x14ac:dyDescent="0.25">
      <c r="A63" s="842"/>
      <c r="B63" s="1199" t="s">
        <v>151</v>
      </c>
      <c r="C63" s="1188"/>
      <c r="D63" s="409" t="s">
        <v>456</v>
      </c>
      <c r="E63" s="409" t="s">
        <v>452</v>
      </c>
      <c r="F63" s="409" t="s">
        <v>623</v>
      </c>
      <c r="G63" s="1662"/>
      <c r="H63" s="1682">
        <f>H64</f>
        <v>50.6</v>
      </c>
      <c r="I63" s="529">
        <f>I64</f>
        <v>0</v>
      </c>
      <c r="J63" s="269">
        <f>J64</f>
        <v>0</v>
      </c>
      <c r="N63" s="1200"/>
      <c r="U63" s="1682"/>
    </row>
    <row r="64" spans="1:22" x14ac:dyDescent="0.25">
      <c r="A64" s="842"/>
      <c r="B64" s="1182" t="s">
        <v>575</v>
      </c>
      <c r="C64" s="1183"/>
      <c r="D64" s="409" t="s">
        <v>456</v>
      </c>
      <c r="E64" s="409" t="s">
        <v>452</v>
      </c>
      <c r="F64" s="409" t="s">
        <v>623</v>
      </c>
      <c r="G64" s="1662" t="s">
        <v>120</v>
      </c>
      <c r="H64" s="1682">
        <v>50.6</v>
      </c>
      <c r="I64" s="529"/>
      <c r="J64" s="269"/>
      <c r="K64" s="1">
        <v>50.6</v>
      </c>
      <c r="N64" s="1200"/>
      <c r="U64" s="1682"/>
    </row>
    <row r="65" spans="1:21" ht="21" x14ac:dyDescent="0.25">
      <c r="A65" s="842"/>
      <c r="B65" s="1201" t="s">
        <v>149</v>
      </c>
      <c r="C65" s="1188"/>
      <c r="D65" s="409" t="s">
        <v>456</v>
      </c>
      <c r="E65" s="409" t="s">
        <v>452</v>
      </c>
      <c r="F65" s="409" t="s">
        <v>148</v>
      </c>
      <c r="G65" s="1662"/>
      <c r="H65" s="1682">
        <f>H66</f>
        <v>307.5</v>
      </c>
      <c r="I65" s="529">
        <f>I66</f>
        <v>0</v>
      </c>
      <c r="J65" s="269">
        <f>J66</f>
        <v>0</v>
      </c>
      <c r="N65" s="1200"/>
      <c r="U65" s="1682"/>
    </row>
    <row r="66" spans="1:21" x14ac:dyDescent="0.25">
      <c r="A66" s="842"/>
      <c r="B66" s="1182" t="s">
        <v>575</v>
      </c>
      <c r="C66" s="1183"/>
      <c r="D66" s="409" t="s">
        <v>456</v>
      </c>
      <c r="E66" s="409" t="s">
        <v>452</v>
      </c>
      <c r="F66" s="409" t="s">
        <v>148</v>
      </c>
      <c r="G66" s="1662" t="s">
        <v>120</v>
      </c>
      <c r="H66" s="1682">
        <v>307.5</v>
      </c>
      <c r="I66" s="529"/>
      <c r="J66" s="269"/>
      <c r="K66" s="1">
        <v>307.5</v>
      </c>
      <c r="N66" s="1200"/>
      <c r="U66" s="1682"/>
    </row>
    <row r="67" spans="1:21" ht="31.5" hidden="1" x14ac:dyDescent="0.25">
      <c r="A67" s="842"/>
      <c r="B67" s="1202" t="s">
        <v>145</v>
      </c>
      <c r="C67" s="1183"/>
      <c r="D67" s="409" t="s">
        <v>456</v>
      </c>
      <c r="E67" s="409" t="s">
        <v>452</v>
      </c>
      <c r="F67" s="409" t="s">
        <v>144</v>
      </c>
      <c r="G67" s="1662"/>
      <c r="H67" s="1682">
        <f>H68</f>
        <v>0</v>
      </c>
      <c r="I67" s="529">
        <f>I68</f>
        <v>0</v>
      </c>
      <c r="J67" s="269">
        <f>J68</f>
        <v>0</v>
      </c>
      <c r="N67" s="1200">
        <f>N68</f>
        <v>0</v>
      </c>
      <c r="U67" s="1682">
        <f>U68</f>
        <v>0</v>
      </c>
    </row>
    <row r="68" spans="1:21" hidden="1" x14ac:dyDescent="0.25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144</v>
      </c>
      <c r="G68" s="1662" t="s">
        <v>120</v>
      </c>
      <c r="H68" s="1682">
        <v>0</v>
      </c>
      <c r="I68" s="529"/>
      <c r="J68" s="269"/>
      <c r="N68" s="1200">
        <v>0</v>
      </c>
      <c r="U68" s="1682">
        <v>0</v>
      </c>
    </row>
    <row r="69" spans="1:21" ht="31.5" x14ac:dyDescent="0.25">
      <c r="A69" s="842"/>
      <c r="B69" s="1203" t="s">
        <v>111</v>
      </c>
      <c r="C69" s="1183"/>
      <c r="D69" s="409" t="s">
        <v>456</v>
      </c>
      <c r="E69" s="409" t="s">
        <v>452</v>
      </c>
      <c r="F69" s="1204" t="s">
        <v>110</v>
      </c>
      <c r="G69" s="1662"/>
      <c r="H69" s="1682">
        <f>H70</f>
        <v>1512.6</v>
      </c>
      <c r="I69" s="529">
        <f t="shared" ref="I69:J71" si="8">I70</f>
        <v>1627.663</v>
      </c>
      <c r="J69" s="269">
        <f t="shared" si="8"/>
        <v>1782.7329999999999</v>
      </c>
      <c r="N69" s="1200">
        <f>N70</f>
        <v>1573.104</v>
      </c>
      <c r="U69" s="1682">
        <f>U70</f>
        <v>1636.028</v>
      </c>
    </row>
    <row r="70" spans="1:21" x14ac:dyDescent="0.25">
      <c r="A70" s="842"/>
      <c r="B70" s="1197" t="s">
        <v>109</v>
      </c>
      <c r="C70" s="1183"/>
      <c r="D70" s="409" t="s">
        <v>456</v>
      </c>
      <c r="E70" s="409" t="s">
        <v>452</v>
      </c>
      <c r="F70" s="1204" t="s">
        <v>108</v>
      </c>
      <c r="G70" s="1662"/>
      <c r="H70" s="1682">
        <f>H71</f>
        <v>1512.6</v>
      </c>
      <c r="I70" s="529">
        <f t="shared" si="8"/>
        <v>1627.663</v>
      </c>
      <c r="J70" s="269">
        <f t="shared" si="8"/>
        <v>1782.7329999999999</v>
      </c>
      <c r="N70" s="1200">
        <f>N71</f>
        <v>1573.104</v>
      </c>
      <c r="U70" s="1682">
        <f>U71</f>
        <v>1636.028</v>
      </c>
    </row>
    <row r="71" spans="1:21" ht="21" x14ac:dyDescent="0.25">
      <c r="A71" s="842"/>
      <c r="B71" s="1205" t="s">
        <v>107</v>
      </c>
      <c r="C71" s="1183"/>
      <c r="D71" s="409" t="s">
        <v>456</v>
      </c>
      <c r="E71" s="409" t="s">
        <v>452</v>
      </c>
      <c r="F71" s="1204" t="s">
        <v>104</v>
      </c>
      <c r="G71" s="1662"/>
      <c r="H71" s="1682">
        <f>H72</f>
        <v>1512.6</v>
      </c>
      <c r="I71" s="529">
        <f t="shared" si="8"/>
        <v>1627.663</v>
      </c>
      <c r="J71" s="269">
        <f t="shared" si="8"/>
        <v>1782.7329999999999</v>
      </c>
      <c r="N71" s="1200">
        <f>N72</f>
        <v>1573.104</v>
      </c>
      <c r="U71" s="1682">
        <f>U72</f>
        <v>1636.028</v>
      </c>
    </row>
    <row r="72" spans="1:21" x14ac:dyDescent="0.25">
      <c r="A72" s="842"/>
      <c r="B72" s="1182" t="s">
        <v>571</v>
      </c>
      <c r="C72" s="1183"/>
      <c r="D72" s="409" t="s">
        <v>456</v>
      </c>
      <c r="E72" s="409" t="s">
        <v>452</v>
      </c>
      <c r="F72" s="1204" t="s">
        <v>104</v>
      </c>
      <c r="G72" s="1662" t="s">
        <v>5</v>
      </c>
      <c r="H72" s="1682">
        <v>1512.6</v>
      </c>
      <c r="I72" s="529">
        <v>1627.663</v>
      </c>
      <c r="J72" s="269">
        <v>1782.7329999999999</v>
      </c>
      <c r="K72" s="1">
        <f>1161.751+350.849</f>
        <v>1512.6</v>
      </c>
      <c r="N72" s="1200">
        <v>1573.104</v>
      </c>
      <c r="U72" s="1682">
        <v>1636.028</v>
      </c>
    </row>
    <row r="73" spans="1:21" s="760" customFormat="1" ht="23" x14ac:dyDescent="0.3">
      <c r="A73" s="842"/>
      <c r="B73" s="1206" t="s">
        <v>122</v>
      </c>
      <c r="C73" s="1207"/>
      <c r="D73" s="408" t="s">
        <v>456</v>
      </c>
      <c r="E73" s="408" t="s">
        <v>585</v>
      </c>
      <c r="F73" s="763"/>
      <c r="G73" s="1661"/>
      <c r="H73" s="1683">
        <f>H74</f>
        <v>419.95499999999998</v>
      </c>
      <c r="I73" s="841"/>
      <c r="J73" s="276"/>
      <c r="N73" s="1208"/>
      <c r="U73" s="1683"/>
    </row>
    <row r="74" spans="1:21" ht="21" x14ac:dyDescent="0.25">
      <c r="A74" s="842"/>
      <c r="B74" s="1209" t="s">
        <v>588</v>
      </c>
      <c r="C74" s="1183"/>
      <c r="D74" s="409" t="s">
        <v>456</v>
      </c>
      <c r="E74" s="409" t="s">
        <v>585</v>
      </c>
      <c r="F74" s="1204" t="s">
        <v>157</v>
      </c>
      <c r="G74" s="1662"/>
      <c r="H74" s="1682">
        <f>H75</f>
        <v>419.95499999999998</v>
      </c>
      <c r="I74" s="529"/>
      <c r="J74" s="269"/>
      <c r="N74" s="1200"/>
      <c r="U74" s="1682"/>
    </row>
    <row r="75" spans="1:21" ht="21" x14ac:dyDescent="0.25">
      <c r="A75" s="842"/>
      <c r="B75" s="1209" t="s">
        <v>587</v>
      </c>
      <c r="C75" s="1183"/>
      <c r="D75" s="409" t="s">
        <v>456</v>
      </c>
      <c r="E75" s="409" t="s">
        <v>585</v>
      </c>
      <c r="F75" s="1204" t="s">
        <v>155</v>
      </c>
      <c r="G75" s="1662"/>
      <c r="H75" s="1682">
        <f>H76</f>
        <v>419.95499999999998</v>
      </c>
      <c r="I75" s="529"/>
      <c r="J75" s="269"/>
      <c r="N75" s="1200"/>
      <c r="U75" s="1682"/>
    </row>
    <row r="76" spans="1:21" x14ac:dyDescent="0.25">
      <c r="A76" s="842"/>
      <c r="B76" s="1209" t="s">
        <v>582</v>
      </c>
      <c r="C76" s="1183"/>
      <c r="D76" s="409" t="s">
        <v>456</v>
      </c>
      <c r="E76" s="409" t="s">
        <v>585</v>
      </c>
      <c r="F76" s="1204" t="s">
        <v>154</v>
      </c>
      <c r="G76" s="1662"/>
      <c r="H76" s="1682">
        <f>H77</f>
        <v>419.95499999999998</v>
      </c>
      <c r="I76" s="529"/>
      <c r="J76" s="269"/>
      <c r="N76" s="1200"/>
      <c r="U76" s="1682"/>
    </row>
    <row r="77" spans="1:21" ht="21" x14ac:dyDescent="0.25">
      <c r="A77" s="842"/>
      <c r="B77" s="1209" t="s">
        <v>586</v>
      </c>
      <c r="C77" s="1183"/>
      <c r="D77" s="409" t="s">
        <v>456</v>
      </c>
      <c r="E77" s="409" t="s">
        <v>585</v>
      </c>
      <c r="F77" s="1204" t="s">
        <v>129</v>
      </c>
      <c r="G77" s="1662"/>
      <c r="H77" s="1682">
        <f>H78</f>
        <v>419.95499999999998</v>
      </c>
      <c r="I77" s="529"/>
      <c r="J77" s="269"/>
      <c r="N77" s="1200"/>
      <c r="U77" s="1682"/>
    </row>
    <row r="78" spans="1:21" x14ac:dyDescent="0.25">
      <c r="A78" s="842"/>
      <c r="B78" s="1198" t="s">
        <v>575</v>
      </c>
      <c r="C78" s="1183"/>
      <c r="D78" s="409" t="s">
        <v>456</v>
      </c>
      <c r="E78" s="409" t="s">
        <v>585</v>
      </c>
      <c r="F78" s="1204" t="s">
        <v>129</v>
      </c>
      <c r="G78" s="1662" t="s">
        <v>120</v>
      </c>
      <c r="H78" s="1682">
        <v>419.95499999999998</v>
      </c>
      <c r="I78" s="529"/>
      <c r="J78" s="269"/>
      <c r="K78" s="1">
        <v>419.95499999999998</v>
      </c>
      <c r="N78" s="1200"/>
      <c r="U78" s="1682"/>
    </row>
    <row r="79" spans="1:21" s="760" customFormat="1" ht="13" hidden="1" x14ac:dyDescent="0.3">
      <c r="A79" s="842"/>
      <c r="B79" s="1210" t="s">
        <v>419</v>
      </c>
      <c r="C79" s="408"/>
      <c r="D79" s="408" t="s">
        <v>456</v>
      </c>
      <c r="E79" s="408" t="s">
        <v>506</v>
      </c>
      <c r="F79" s="763"/>
      <c r="G79" s="1661"/>
      <c r="H79" s="1683">
        <f>H80</f>
        <v>0</v>
      </c>
      <c r="I79" s="841"/>
      <c r="J79" s="276"/>
      <c r="N79" s="1208">
        <f>N80</f>
        <v>0</v>
      </c>
      <c r="U79" s="1683">
        <f>U80</f>
        <v>0</v>
      </c>
    </row>
    <row r="80" spans="1:21" ht="21" hidden="1" x14ac:dyDescent="0.25">
      <c r="A80" s="1179"/>
      <c r="B80" s="762" t="s">
        <v>499</v>
      </c>
      <c r="C80" s="409"/>
      <c r="D80" s="409" t="s">
        <v>456</v>
      </c>
      <c r="E80" s="409" t="s">
        <v>506</v>
      </c>
      <c r="F80" s="409" t="s">
        <v>89</v>
      </c>
      <c r="G80" s="1662"/>
      <c r="H80" s="1682">
        <f>H81</f>
        <v>0</v>
      </c>
      <c r="I80" s="529"/>
      <c r="J80" s="269"/>
      <c r="N80" s="1200">
        <f>N81</f>
        <v>0</v>
      </c>
      <c r="U80" s="1682">
        <f>U81</f>
        <v>0</v>
      </c>
    </row>
    <row r="81" spans="1:21" hidden="1" x14ac:dyDescent="0.25">
      <c r="A81" s="842"/>
      <c r="B81" s="709" t="s">
        <v>109</v>
      </c>
      <c r="C81" s="409"/>
      <c r="D81" s="409" t="s">
        <v>456</v>
      </c>
      <c r="E81" s="409" t="s">
        <v>506</v>
      </c>
      <c r="F81" s="409" t="s">
        <v>581</v>
      </c>
      <c r="G81" s="1662"/>
      <c r="H81" s="1682">
        <f>H82</f>
        <v>0</v>
      </c>
      <c r="I81" s="529"/>
      <c r="J81" s="269"/>
      <c r="N81" s="1200">
        <f>N82</f>
        <v>0</v>
      </c>
      <c r="U81" s="1682">
        <f>U82</f>
        <v>0</v>
      </c>
    </row>
    <row r="82" spans="1:21" hidden="1" x14ac:dyDescent="0.25">
      <c r="A82" s="842"/>
      <c r="B82" s="709" t="s">
        <v>109</v>
      </c>
      <c r="C82" s="409"/>
      <c r="D82" s="409" t="s">
        <v>456</v>
      </c>
      <c r="E82" s="409" t="s">
        <v>506</v>
      </c>
      <c r="F82" s="409" t="s">
        <v>82</v>
      </c>
      <c r="G82" s="1662"/>
      <c r="H82" s="1682">
        <f>H83</f>
        <v>0</v>
      </c>
      <c r="I82" s="529"/>
      <c r="J82" s="269"/>
      <c r="N82" s="1200">
        <f>N83</f>
        <v>0</v>
      </c>
      <c r="U82" s="1682">
        <f>U83</f>
        <v>0</v>
      </c>
    </row>
    <row r="83" spans="1:21" ht="21" hidden="1" x14ac:dyDescent="0.25">
      <c r="A83" s="842"/>
      <c r="B83" s="1209" t="s">
        <v>788</v>
      </c>
      <c r="C83" s="409"/>
      <c r="D83" s="409" t="s">
        <v>456</v>
      </c>
      <c r="E83" s="409" t="s">
        <v>506</v>
      </c>
      <c r="F83" s="409" t="s">
        <v>789</v>
      </c>
      <c r="G83" s="1662"/>
      <c r="H83" s="1682">
        <f>H84</f>
        <v>0</v>
      </c>
      <c r="I83" s="529"/>
      <c r="J83" s="269"/>
      <c r="N83" s="1200">
        <f>N84</f>
        <v>0</v>
      </c>
      <c r="U83" s="1682">
        <f>U84</f>
        <v>0</v>
      </c>
    </row>
    <row r="84" spans="1:21" ht="21" hidden="1" x14ac:dyDescent="0.25">
      <c r="A84" s="842"/>
      <c r="B84" s="1182" t="s">
        <v>454</v>
      </c>
      <c r="C84" s="409"/>
      <c r="D84" s="409" t="s">
        <v>456</v>
      </c>
      <c r="E84" s="409" t="s">
        <v>506</v>
      </c>
      <c r="F84" s="409" t="s">
        <v>789</v>
      </c>
      <c r="G84" s="1662" t="s">
        <v>1</v>
      </c>
      <c r="H84" s="1682">
        <v>0</v>
      </c>
      <c r="I84" s="529"/>
      <c r="J84" s="269"/>
      <c r="N84" s="1200">
        <v>0</v>
      </c>
      <c r="U84" s="1682">
        <v>0</v>
      </c>
    </row>
    <row r="85" spans="1:21" x14ac:dyDescent="0.25">
      <c r="A85" s="842"/>
      <c r="B85" s="1184" t="s">
        <v>68</v>
      </c>
      <c r="C85" s="1177"/>
      <c r="D85" s="408" t="s">
        <v>456</v>
      </c>
      <c r="E85" s="408" t="s">
        <v>464</v>
      </c>
      <c r="F85" s="408"/>
      <c r="G85" s="1661"/>
      <c r="H85" s="1683">
        <f t="shared" ref="H85:J89" si="9">H86</f>
        <v>2870</v>
      </c>
      <c r="I85" s="841">
        <f t="shared" si="9"/>
        <v>2500.6</v>
      </c>
      <c r="J85" s="276">
        <f t="shared" si="9"/>
        <v>2701.74</v>
      </c>
      <c r="N85" s="1208">
        <f t="shared" ref="N85:N89" si="10">N86</f>
        <v>2900</v>
      </c>
      <c r="U85" s="1683">
        <f t="shared" ref="U85:U89" si="11">U86</f>
        <v>2980</v>
      </c>
    </row>
    <row r="86" spans="1:21" ht="21" x14ac:dyDescent="0.25">
      <c r="A86" s="1179"/>
      <c r="B86" s="753" t="s">
        <v>499</v>
      </c>
      <c r="C86" s="1180"/>
      <c r="D86" s="409" t="s">
        <v>456</v>
      </c>
      <c r="E86" s="409" t="s">
        <v>464</v>
      </c>
      <c r="F86" s="409" t="s">
        <v>89</v>
      </c>
      <c r="G86" s="1662"/>
      <c r="H86" s="1682">
        <f t="shared" si="9"/>
        <v>2870</v>
      </c>
      <c r="I86" s="529">
        <f t="shared" si="9"/>
        <v>2500.6</v>
      </c>
      <c r="J86" s="269">
        <f t="shared" si="9"/>
        <v>2701.74</v>
      </c>
      <c r="N86" s="1200">
        <f t="shared" si="10"/>
        <v>2900</v>
      </c>
      <c r="U86" s="1682">
        <f t="shared" si="11"/>
        <v>2980</v>
      </c>
    </row>
    <row r="87" spans="1:21" x14ac:dyDescent="0.25">
      <c r="A87" s="842"/>
      <c r="B87" s="1180" t="s">
        <v>109</v>
      </c>
      <c r="C87" s="1180"/>
      <c r="D87" s="409" t="s">
        <v>456</v>
      </c>
      <c r="E87" s="409" t="s">
        <v>464</v>
      </c>
      <c r="F87" s="409" t="s">
        <v>581</v>
      </c>
      <c r="G87" s="1662"/>
      <c r="H87" s="1682">
        <f t="shared" si="9"/>
        <v>2870</v>
      </c>
      <c r="I87" s="529">
        <f t="shared" si="9"/>
        <v>2500.6</v>
      </c>
      <c r="J87" s="269">
        <f t="shared" si="9"/>
        <v>2701.74</v>
      </c>
      <c r="N87" s="1200">
        <f t="shared" si="10"/>
        <v>2900</v>
      </c>
      <c r="U87" s="1682">
        <f t="shared" si="11"/>
        <v>2980</v>
      </c>
    </row>
    <row r="88" spans="1:21" x14ac:dyDescent="0.25">
      <c r="A88" s="842"/>
      <c r="B88" s="1180" t="s">
        <v>109</v>
      </c>
      <c r="C88" s="1180"/>
      <c r="D88" s="409" t="s">
        <v>456</v>
      </c>
      <c r="E88" s="409" t="s">
        <v>464</v>
      </c>
      <c r="F88" s="409" t="s">
        <v>82</v>
      </c>
      <c r="G88" s="1662"/>
      <c r="H88" s="1682">
        <f t="shared" si="9"/>
        <v>2870</v>
      </c>
      <c r="I88" s="529">
        <f t="shared" si="9"/>
        <v>2500.6</v>
      </c>
      <c r="J88" s="269">
        <f t="shared" si="9"/>
        <v>2701.74</v>
      </c>
      <c r="N88" s="1200">
        <f t="shared" si="10"/>
        <v>2900</v>
      </c>
      <c r="U88" s="1682">
        <f t="shared" si="11"/>
        <v>2980</v>
      </c>
    </row>
    <row r="89" spans="1:21" ht="21" x14ac:dyDescent="0.25">
      <c r="A89" s="842"/>
      <c r="B89" s="1180" t="s">
        <v>72</v>
      </c>
      <c r="C89" s="1180"/>
      <c r="D89" s="409" t="s">
        <v>456</v>
      </c>
      <c r="E89" s="409" t="s">
        <v>464</v>
      </c>
      <c r="F89" s="409" t="s">
        <v>67</v>
      </c>
      <c r="G89" s="1662"/>
      <c r="H89" s="1682">
        <f t="shared" si="9"/>
        <v>2870</v>
      </c>
      <c r="I89" s="529">
        <f t="shared" si="9"/>
        <v>2500.6</v>
      </c>
      <c r="J89" s="269">
        <f t="shared" si="9"/>
        <v>2701.74</v>
      </c>
      <c r="N89" s="1200">
        <f t="shared" si="10"/>
        <v>2900</v>
      </c>
      <c r="U89" s="1682">
        <f t="shared" si="11"/>
        <v>2980</v>
      </c>
    </row>
    <row r="90" spans="1:21" ht="13.5" customHeight="1" x14ac:dyDescent="0.25">
      <c r="A90" s="842"/>
      <c r="B90" s="1182" t="s">
        <v>580</v>
      </c>
      <c r="C90" s="1183"/>
      <c r="D90" s="409" t="s">
        <v>456</v>
      </c>
      <c r="E90" s="409" t="s">
        <v>464</v>
      </c>
      <c r="F90" s="409" t="s">
        <v>67</v>
      </c>
      <c r="G90" s="1662" t="s">
        <v>579</v>
      </c>
      <c r="H90" s="1682">
        <v>2870</v>
      </c>
      <c r="I90" s="529">
        <v>2500.6</v>
      </c>
      <c r="J90" s="269">
        <v>2701.74</v>
      </c>
      <c r="K90" s="1">
        <v>2870</v>
      </c>
      <c r="N90" s="1200">
        <v>2900</v>
      </c>
      <c r="U90" s="1682">
        <v>2980</v>
      </c>
    </row>
    <row r="91" spans="1:21" x14ac:dyDescent="0.25">
      <c r="A91" s="842"/>
      <c r="B91" s="1184" t="s">
        <v>93</v>
      </c>
      <c r="C91" s="1177"/>
      <c r="D91" s="408" t="s">
        <v>456</v>
      </c>
      <c r="E91" s="408" t="s">
        <v>573</v>
      </c>
      <c r="F91" s="408"/>
      <c r="G91" s="1661"/>
      <c r="H91" s="1683">
        <f>H92+H98</f>
        <v>894.24399999999991</v>
      </c>
      <c r="I91" s="841">
        <f>I92+I98</f>
        <v>812</v>
      </c>
      <c r="J91" s="276">
        <f>J92+J98</f>
        <v>812</v>
      </c>
      <c r="N91" s="1208">
        <f>N92+N98</f>
        <v>500</v>
      </c>
      <c r="U91" s="1683">
        <f>U92+U98</f>
        <v>600</v>
      </c>
    </row>
    <row r="92" spans="1:21" x14ac:dyDescent="0.25">
      <c r="A92" s="1179"/>
      <c r="B92" s="753" t="s">
        <v>102</v>
      </c>
      <c r="C92" s="1180"/>
      <c r="D92" s="409" t="s">
        <v>456</v>
      </c>
      <c r="E92" s="409" t="s">
        <v>573</v>
      </c>
      <c r="F92" s="409" t="s">
        <v>101</v>
      </c>
      <c r="G92" s="1662"/>
      <c r="H92" s="1682">
        <f t="shared" ref="H92:J94" si="12">H93</f>
        <v>894.24399999999991</v>
      </c>
      <c r="I92" s="529">
        <f t="shared" si="12"/>
        <v>213.5</v>
      </c>
      <c r="J92" s="269">
        <f t="shared" si="12"/>
        <v>213.5</v>
      </c>
      <c r="N92" s="1200">
        <f t="shared" ref="N92:N94" si="13">N93</f>
        <v>500</v>
      </c>
      <c r="U92" s="1682">
        <f t="shared" ref="U92:U94" si="14">U93</f>
        <v>600</v>
      </c>
    </row>
    <row r="93" spans="1:21" x14ac:dyDescent="0.25">
      <c r="A93" s="1179"/>
      <c r="B93" s="753" t="s">
        <v>109</v>
      </c>
      <c r="C93" s="1180"/>
      <c r="D93" s="409" t="s">
        <v>456</v>
      </c>
      <c r="E93" s="409" t="s">
        <v>573</v>
      </c>
      <c r="F93" s="409" t="s">
        <v>100</v>
      </c>
      <c r="G93" s="1662"/>
      <c r="H93" s="1682">
        <f t="shared" si="12"/>
        <v>894.24399999999991</v>
      </c>
      <c r="I93" s="529">
        <f t="shared" si="12"/>
        <v>213.5</v>
      </c>
      <c r="J93" s="269">
        <f t="shared" si="12"/>
        <v>213.5</v>
      </c>
      <c r="N93" s="1200">
        <f t="shared" si="13"/>
        <v>500</v>
      </c>
      <c r="U93" s="1682">
        <f t="shared" si="14"/>
        <v>600</v>
      </c>
    </row>
    <row r="94" spans="1:21" x14ac:dyDescent="0.25">
      <c r="A94" s="1179"/>
      <c r="B94" s="753" t="s">
        <v>109</v>
      </c>
      <c r="C94" s="1180"/>
      <c r="D94" s="409" t="s">
        <v>456</v>
      </c>
      <c r="E94" s="409" t="s">
        <v>573</v>
      </c>
      <c r="F94" s="409" t="s">
        <v>99</v>
      </c>
      <c r="G94" s="1662"/>
      <c r="H94" s="1682">
        <f t="shared" si="12"/>
        <v>894.24399999999991</v>
      </c>
      <c r="I94" s="529">
        <f t="shared" si="12"/>
        <v>213.5</v>
      </c>
      <c r="J94" s="269">
        <f t="shared" si="12"/>
        <v>213.5</v>
      </c>
      <c r="N94" s="1200">
        <f t="shared" si="13"/>
        <v>500</v>
      </c>
      <c r="U94" s="1682">
        <f t="shared" si="14"/>
        <v>600</v>
      </c>
    </row>
    <row r="95" spans="1:21" x14ac:dyDescent="0.25">
      <c r="A95" s="1179"/>
      <c r="B95" s="753" t="s">
        <v>577</v>
      </c>
      <c r="C95" s="1180"/>
      <c r="D95" s="409" t="s">
        <v>456</v>
      </c>
      <c r="E95" s="409" t="s">
        <v>573</v>
      </c>
      <c r="F95" s="409" t="s">
        <v>92</v>
      </c>
      <c r="G95" s="1662"/>
      <c r="H95" s="1682">
        <f>H96+H97</f>
        <v>894.24399999999991</v>
      </c>
      <c r="I95" s="529">
        <f>I96+I97</f>
        <v>213.5</v>
      </c>
      <c r="J95" s="269">
        <f>J96+J97</f>
        <v>213.5</v>
      </c>
      <c r="K95" s="1">
        <v>500</v>
      </c>
      <c r="L95" s="1" t="s">
        <v>959</v>
      </c>
      <c r="N95" s="1200">
        <f>N96+N97</f>
        <v>500</v>
      </c>
      <c r="U95" s="1682">
        <f>U96+U97</f>
        <v>600</v>
      </c>
    </row>
    <row r="96" spans="1:21" ht="21" x14ac:dyDescent="0.25">
      <c r="A96" s="842"/>
      <c r="B96" s="1182" t="s">
        <v>454</v>
      </c>
      <c r="C96" s="1183"/>
      <c r="D96" s="409" t="s">
        <v>456</v>
      </c>
      <c r="E96" s="409" t="s">
        <v>573</v>
      </c>
      <c r="F96" s="409" t="s">
        <v>92</v>
      </c>
      <c r="G96" s="1662" t="s">
        <v>1</v>
      </c>
      <c r="H96" s="1682">
        <f>K95+K96</f>
        <v>844.24399999999991</v>
      </c>
      <c r="I96" s="529">
        <v>178.5</v>
      </c>
      <c r="J96" s="269">
        <v>178.5</v>
      </c>
      <c r="K96" s="1">
        <f>462.085-117.841</f>
        <v>344.24399999999997</v>
      </c>
      <c r="N96" s="1200">
        <v>400</v>
      </c>
      <c r="U96" s="1682">
        <v>500</v>
      </c>
    </row>
    <row r="97" spans="1:25" x14ac:dyDescent="0.25">
      <c r="A97" s="842"/>
      <c r="B97" s="1182" t="s">
        <v>457</v>
      </c>
      <c r="C97" s="1183"/>
      <c r="D97" s="409" t="s">
        <v>456</v>
      </c>
      <c r="E97" s="409" t="s">
        <v>573</v>
      </c>
      <c r="F97" s="409" t="s">
        <v>92</v>
      </c>
      <c r="G97" s="1662" t="s">
        <v>91</v>
      </c>
      <c r="H97" s="1682">
        <f>100-50</f>
        <v>50</v>
      </c>
      <c r="I97" s="529">
        <v>35</v>
      </c>
      <c r="J97" s="269">
        <v>35</v>
      </c>
      <c r="K97" s="1">
        <f>100-50</f>
        <v>50</v>
      </c>
      <c r="N97" s="1200">
        <v>100</v>
      </c>
      <c r="U97" s="1682">
        <v>100</v>
      </c>
    </row>
    <row r="98" spans="1:25" ht="21" hidden="1" x14ac:dyDescent="0.25">
      <c r="A98" s="1211"/>
      <c r="B98" s="753" t="s">
        <v>583</v>
      </c>
      <c r="C98" s="1177"/>
      <c r="D98" s="408" t="s">
        <v>456</v>
      </c>
      <c r="E98" s="408" t="s">
        <v>573</v>
      </c>
      <c r="F98" s="408" t="s">
        <v>157</v>
      </c>
      <c r="G98" s="1661"/>
      <c r="H98" s="1683">
        <f t="shared" ref="H98:J99" si="15">H99</f>
        <v>0</v>
      </c>
      <c r="I98" s="841">
        <f t="shared" si="15"/>
        <v>598.5</v>
      </c>
      <c r="J98" s="276">
        <f t="shared" si="15"/>
        <v>598.5</v>
      </c>
      <c r="N98" s="1208">
        <f t="shared" ref="N98:N99" si="16">N99</f>
        <v>0</v>
      </c>
      <c r="U98" s="1683">
        <f t="shared" ref="U98:U99" si="17">U99</f>
        <v>0</v>
      </c>
    </row>
    <row r="99" spans="1:25" ht="21" hidden="1" x14ac:dyDescent="0.25">
      <c r="A99" s="1179"/>
      <c r="B99" s="1197" t="s">
        <v>156</v>
      </c>
      <c r="C99" s="1180"/>
      <c r="D99" s="409" t="s">
        <v>456</v>
      </c>
      <c r="E99" s="409" t="s">
        <v>573</v>
      </c>
      <c r="F99" s="409" t="s">
        <v>155</v>
      </c>
      <c r="G99" s="1662"/>
      <c r="H99" s="1682">
        <f t="shared" si="15"/>
        <v>0</v>
      </c>
      <c r="I99" s="529">
        <f t="shared" si="15"/>
        <v>598.5</v>
      </c>
      <c r="J99" s="269">
        <f t="shared" si="15"/>
        <v>598.5</v>
      </c>
      <c r="N99" s="1200">
        <f t="shared" si="16"/>
        <v>0</v>
      </c>
      <c r="U99" s="1682">
        <f t="shared" si="17"/>
        <v>0</v>
      </c>
    </row>
    <row r="100" spans="1:25" hidden="1" x14ac:dyDescent="0.25">
      <c r="A100" s="1179"/>
      <c r="B100" s="753" t="s">
        <v>109</v>
      </c>
      <c r="C100" s="1180"/>
      <c r="D100" s="409" t="s">
        <v>456</v>
      </c>
      <c r="E100" s="409" t="s">
        <v>573</v>
      </c>
      <c r="F100" s="409" t="s">
        <v>154</v>
      </c>
      <c r="G100" s="1662"/>
      <c r="H100" s="1682">
        <f>H105</f>
        <v>0</v>
      </c>
      <c r="I100" s="529">
        <f>I105</f>
        <v>598.5</v>
      </c>
      <c r="J100" s="269">
        <f>J105</f>
        <v>598.5</v>
      </c>
      <c r="N100" s="1200">
        <f>N105</f>
        <v>0</v>
      </c>
      <c r="U100" s="1682">
        <f>U105</f>
        <v>0</v>
      </c>
    </row>
    <row r="101" spans="1:25" hidden="1" x14ac:dyDescent="0.25">
      <c r="A101" s="1179"/>
      <c r="B101" s="753" t="s">
        <v>577</v>
      </c>
      <c r="C101" s="1180"/>
      <c r="D101" s="409" t="s">
        <v>456</v>
      </c>
      <c r="E101" s="409" t="s">
        <v>573</v>
      </c>
      <c r="F101" s="409" t="s">
        <v>576</v>
      </c>
      <c r="G101" s="1662"/>
      <c r="H101" s="1682">
        <f>H102</f>
        <v>0</v>
      </c>
      <c r="I101" s="529">
        <f>I102</f>
        <v>0</v>
      </c>
      <c r="J101" s="269">
        <f>J102</f>
        <v>0</v>
      </c>
      <c r="N101" s="1200">
        <f>N102</f>
        <v>0</v>
      </c>
      <c r="U101" s="1682">
        <f>U102</f>
        <v>0</v>
      </c>
    </row>
    <row r="102" spans="1:25" ht="21" hidden="1" x14ac:dyDescent="0.25">
      <c r="A102" s="842"/>
      <c r="B102" s="1182" t="s">
        <v>454</v>
      </c>
      <c r="C102" s="1183"/>
      <c r="D102" s="409" t="s">
        <v>456</v>
      </c>
      <c r="E102" s="409" t="s">
        <v>573</v>
      </c>
      <c r="F102" s="409" t="s">
        <v>576</v>
      </c>
      <c r="G102" s="1662" t="s">
        <v>1</v>
      </c>
      <c r="H102" s="1682"/>
      <c r="I102" s="529"/>
      <c r="J102" s="269"/>
      <c r="N102" s="1200"/>
      <c r="U102" s="1682"/>
    </row>
    <row r="103" spans="1:25" ht="21" hidden="1" x14ac:dyDescent="0.25">
      <c r="A103" s="842"/>
      <c r="B103" s="1199" t="s">
        <v>151</v>
      </c>
      <c r="C103" s="1188"/>
      <c r="D103" s="409" t="s">
        <v>456</v>
      </c>
      <c r="E103" s="409" t="s">
        <v>452</v>
      </c>
      <c r="F103" s="409" t="s">
        <v>150</v>
      </c>
      <c r="G103" s="1662"/>
      <c r="H103" s="1682">
        <f>H104</f>
        <v>0</v>
      </c>
      <c r="I103" s="529">
        <f>I104</f>
        <v>0</v>
      </c>
      <c r="J103" s="269">
        <f>J104</f>
        <v>0</v>
      </c>
      <c r="N103" s="1200">
        <f>N104</f>
        <v>0</v>
      </c>
      <c r="U103" s="1682">
        <f>U104</f>
        <v>0</v>
      </c>
    </row>
    <row r="104" spans="1:25" hidden="1" x14ac:dyDescent="0.25">
      <c r="A104" s="842"/>
      <c r="B104" s="1182" t="s">
        <v>575</v>
      </c>
      <c r="C104" s="1183"/>
      <c r="D104" s="409" t="s">
        <v>456</v>
      </c>
      <c r="E104" s="409" t="s">
        <v>452</v>
      </c>
      <c r="F104" s="409" t="s">
        <v>150</v>
      </c>
      <c r="G104" s="1662" t="s">
        <v>120</v>
      </c>
      <c r="H104" s="1682"/>
      <c r="I104" s="529"/>
      <c r="J104" s="269"/>
      <c r="N104" s="1200"/>
      <c r="U104" s="1682"/>
    </row>
    <row r="105" spans="1:25" ht="52" hidden="1" x14ac:dyDescent="0.25">
      <c r="A105" s="842"/>
      <c r="B105" s="398" t="s">
        <v>574</v>
      </c>
      <c r="C105" s="1188"/>
      <c r="D105" s="409" t="s">
        <v>456</v>
      </c>
      <c r="E105" s="409" t="s">
        <v>573</v>
      </c>
      <c r="F105" s="409" t="s">
        <v>127</v>
      </c>
      <c r="G105" s="1662"/>
      <c r="H105" s="1682">
        <f>H106+H107</f>
        <v>0</v>
      </c>
      <c r="I105" s="529">
        <f>I106+I107</f>
        <v>598.5</v>
      </c>
      <c r="J105" s="269">
        <f>J106+J107</f>
        <v>598.5</v>
      </c>
      <c r="N105" s="1200">
        <f>N106+N107</f>
        <v>0</v>
      </c>
      <c r="U105" s="1682">
        <f>U106+U107</f>
        <v>0</v>
      </c>
    </row>
    <row r="106" spans="1:25" hidden="1" x14ac:dyDescent="0.25">
      <c r="A106" s="842"/>
      <c r="B106" s="1182" t="s">
        <v>571</v>
      </c>
      <c r="C106" s="1183"/>
      <c r="D106" s="409" t="s">
        <v>456</v>
      </c>
      <c r="E106" s="409" t="s">
        <v>573</v>
      </c>
      <c r="F106" s="409" t="s">
        <v>127</v>
      </c>
      <c r="G106" s="1662" t="s">
        <v>5</v>
      </c>
      <c r="H106" s="1682"/>
      <c r="I106" s="529">
        <v>561.29999999999995</v>
      </c>
      <c r="J106" s="269">
        <v>561.29999999999995</v>
      </c>
      <c r="N106" s="1200"/>
      <c r="U106" s="1682"/>
    </row>
    <row r="107" spans="1:25" ht="21" hidden="1" x14ac:dyDescent="0.25">
      <c r="A107" s="842"/>
      <c r="B107" s="1182" t="s">
        <v>454</v>
      </c>
      <c r="C107" s="1183"/>
      <c r="D107" s="409" t="s">
        <v>456</v>
      </c>
      <c r="E107" s="409" t="s">
        <v>573</v>
      </c>
      <c r="F107" s="409" t="s">
        <v>127</v>
      </c>
      <c r="G107" s="1662" t="s">
        <v>1</v>
      </c>
      <c r="H107" s="1682"/>
      <c r="I107" s="529">
        <v>37.200000000000003</v>
      </c>
      <c r="J107" s="269">
        <v>37.200000000000003</v>
      </c>
      <c r="N107" s="1200"/>
      <c r="U107" s="1682"/>
    </row>
    <row r="108" spans="1:25" x14ac:dyDescent="0.25">
      <c r="A108" s="842"/>
      <c r="B108" s="1212" t="s">
        <v>412</v>
      </c>
      <c r="C108" s="1183"/>
      <c r="D108" s="1705" t="s">
        <v>488</v>
      </c>
      <c r="E108" s="1705" t="s">
        <v>459</v>
      </c>
      <c r="F108" s="1706"/>
      <c r="G108" s="1707"/>
      <c r="H108" s="1708">
        <f>H109</f>
        <v>727.80000000000007</v>
      </c>
      <c r="I108" s="1709">
        <f t="shared" ref="I108:J112" si="18">I109</f>
        <v>0</v>
      </c>
      <c r="J108" s="1710">
        <f t="shared" si="18"/>
        <v>0</v>
      </c>
      <c r="K108" s="1711"/>
      <c r="L108" s="1711"/>
      <c r="M108" s="1711"/>
      <c r="N108" s="1712">
        <f>N109</f>
        <v>755.8</v>
      </c>
      <c r="O108" s="1711"/>
      <c r="P108" s="1711"/>
      <c r="Q108" s="1711"/>
      <c r="R108" s="1711"/>
      <c r="S108" s="1711"/>
      <c r="T108" s="1711"/>
      <c r="U108" s="1708"/>
      <c r="V108" s="1723">
        <v>834.7</v>
      </c>
      <c r="W108" s="1723">
        <v>844.2</v>
      </c>
      <c r="X108" s="1723">
        <v>874.4</v>
      </c>
      <c r="Y108" s="239" t="s">
        <v>444</v>
      </c>
    </row>
    <row r="109" spans="1:25" x14ac:dyDescent="0.25">
      <c r="A109" s="842"/>
      <c r="B109" s="1212" t="s">
        <v>6</v>
      </c>
      <c r="C109" s="1183"/>
      <c r="D109" s="1705" t="s">
        <v>488</v>
      </c>
      <c r="E109" s="1705" t="s">
        <v>495</v>
      </c>
      <c r="F109" s="1706"/>
      <c r="G109" s="1707"/>
      <c r="H109" s="1708">
        <f>H110</f>
        <v>727.80000000000007</v>
      </c>
      <c r="I109" s="1709">
        <f t="shared" si="18"/>
        <v>0</v>
      </c>
      <c r="J109" s="1710">
        <f t="shared" si="18"/>
        <v>0</v>
      </c>
      <c r="K109" s="1713">
        <v>727.8</v>
      </c>
      <c r="L109" s="1711"/>
      <c r="M109" s="1711"/>
      <c r="N109" s="1712">
        <f>N110</f>
        <v>755.8</v>
      </c>
      <c r="O109" s="1711"/>
      <c r="P109" s="1711"/>
      <c r="Q109" s="1711"/>
      <c r="R109" s="1711"/>
      <c r="S109" s="1711"/>
      <c r="T109" s="1711"/>
      <c r="U109" s="1708"/>
    </row>
    <row r="110" spans="1:25" ht="21" x14ac:dyDescent="0.25">
      <c r="A110" s="842"/>
      <c r="B110" s="752" t="s">
        <v>572</v>
      </c>
      <c r="C110" s="1183"/>
      <c r="D110" s="1705" t="s">
        <v>488</v>
      </c>
      <c r="E110" s="1705" t="s">
        <v>495</v>
      </c>
      <c r="F110" s="1705" t="s">
        <v>89</v>
      </c>
      <c r="G110" s="1707"/>
      <c r="H110" s="1708">
        <f>H111</f>
        <v>727.80000000000007</v>
      </c>
      <c r="I110" s="1709">
        <f t="shared" si="18"/>
        <v>0</v>
      </c>
      <c r="J110" s="1710">
        <f t="shared" si="18"/>
        <v>0</v>
      </c>
      <c r="K110" s="1711"/>
      <c r="L110" s="1711"/>
      <c r="M110" s="1711"/>
      <c r="N110" s="1712">
        <f>N111</f>
        <v>755.8</v>
      </c>
      <c r="O110" s="1711"/>
      <c r="P110" s="1711"/>
      <c r="Q110" s="1711"/>
      <c r="R110" s="1711"/>
      <c r="S110" s="1711"/>
      <c r="T110" s="1711"/>
      <c r="U110" s="1708"/>
    </row>
    <row r="111" spans="1:25" x14ac:dyDescent="0.25">
      <c r="A111" s="842"/>
      <c r="B111" s="753" t="s">
        <v>109</v>
      </c>
      <c r="C111" s="1183"/>
      <c r="D111" s="1706" t="s">
        <v>488</v>
      </c>
      <c r="E111" s="1706" t="s">
        <v>495</v>
      </c>
      <c r="F111" s="1706" t="s">
        <v>84</v>
      </c>
      <c r="G111" s="1707"/>
      <c r="H111" s="1714">
        <f>H112</f>
        <v>727.80000000000007</v>
      </c>
      <c r="I111" s="1715">
        <f t="shared" si="18"/>
        <v>0</v>
      </c>
      <c r="J111" s="1716">
        <f t="shared" si="18"/>
        <v>0</v>
      </c>
      <c r="K111" s="1711"/>
      <c r="L111" s="1711"/>
      <c r="M111" s="1711"/>
      <c r="N111" s="1717">
        <f>N112</f>
        <v>755.8</v>
      </c>
      <c r="O111" s="1711"/>
      <c r="P111" s="1711"/>
      <c r="Q111" s="1711"/>
      <c r="R111" s="1711"/>
      <c r="S111" s="1711"/>
      <c r="T111" s="1711"/>
      <c r="U111" s="1714"/>
    </row>
    <row r="112" spans="1:25" x14ac:dyDescent="0.25">
      <c r="A112" s="842"/>
      <c r="B112" s="753" t="s">
        <v>109</v>
      </c>
      <c r="C112" s="1183"/>
      <c r="D112" s="1706" t="s">
        <v>488</v>
      </c>
      <c r="E112" s="1706" t="s">
        <v>495</v>
      </c>
      <c r="F112" s="1706" t="s">
        <v>82</v>
      </c>
      <c r="G112" s="1707"/>
      <c r="H112" s="1714">
        <f>H113</f>
        <v>727.80000000000007</v>
      </c>
      <c r="I112" s="1715">
        <f t="shared" si="18"/>
        <v>0</v>
      </c>
      <c r="J112" s="1716">
        <f t="shared" si="18"/>
        <v>0</v>
      </c>
      <c r="K112" s="1711"/>
      <c r="L112" s="1711"/>
      <c r="M112" s="1711"/>
      <c r="N112" s="1717">
        <f>N113</f>
        <v>755.8</v>
      </c>
      <c r="O112" s="1711"/>
      <c r="P112" s="1711"/>
      <c r="Q112" s="1711"/>
      <c r="R112" s="1711"/>
      <c r="S112" s="1711"/>
      <c r="T112" s="1711"/>
      <c r="U112" s="1714"/>
    </row>
    <row r="113" spans="1:24" ht="21" x14ac:dyDescent="0.25">
      <c r="A113" s="842"/>
      <c r="B113" s="1213" t="s">
        <v>8</v>
      </c>
      <c r="C113" s="1183"/>
      <c r="D113" s="1706" t="s">
        <v>488</v>
      </c>
      <c r="E113" s="1706" t="s">
        <v>495</v>
      </c>
      <c r="F113" s="1706" t="s">
        <v>2</v>
      </c>
      <c r="G113" s="1707"/>
      <c r="H113" s="1714">
        <f>H114+H115</f>
        <v>727.80000000000007</v>
      </c>
      <c r="I113" s="1715">
        <f>I114+I115</f>
        <v>0</v>
      </c>
      <c r="J113" s="1716">
        <f>J114+J115</f>
        <v>0</v>
      </c>
      <c r="K113" s="1711"/>
      <c r="L113" s="1711"/>
      <c r="M113" s="1711"/>
      <c r="N113" s="1717">
        <f>N114+N115</f>
        <v>755.8</v>
      </c>
      <c r="O113" s="1711"/>
      <c r="P113" s="1711"/>
      <c r="Q113" s="1711"/>
      <c r="R113" s="1711"/>
      <c r="S113" s="1711"/>
      <c r="T113" s="1711"/>
      <c r="U113" s="1714"/>
    </row>
    <row r="114" spans="1:24" x14ac:dyDescent="0.25">
      <c r="A114" s="842"/>
      <c r="B114" s="1182" t="s">
        <v>571</v>
      </c>
      <c r="C114" s="1183"/>
      <c r="D114" s="1706" t="s">
        <v>488</v>
      </c>
      <c r="E114" s="1706" t="s">
        <v>495</v>
      </c>
      <c r="F114" s="1706" t="s">
        <v>2</v>
      </c>
      <c r="G114" s="1707" t="s">
        <v>5</v>
      </c>
      <c r="H114" s="1714">
        <v>700.22400000000005</v>
      </c>
      <c r="I114" s="1715"/>
      <c r="J114" s="1716"/>
      <c r="K114" s="1711">
        <v>700.22400000000005</v>
      </c>
      <c r="L114" s="1711"/>
      <c r="M114" s="1711"/>
      <c r="N114" s="1717">
        <v>728.23299999999995</v>
      </c>
      <c r="O114" s="1711"/>
      <c r="P114" s="1711"/>
      <c r="Q114" s="1711"/>
      <c r="R114" s="1711"/>
      <c r="S114" s="1711"/>
      <c r="T114" s="1711"/>
      <c r="U114" s="1714"/>
      <c r="V114" s="1698">
        <v>807.12400000000002</v>
      </c>
      <c r="W114" s="1698">
        <v>816.63300000000004</v>
      </c>
      <c r="X114" s="1698">
        <v>846.83299999999997</v>
      </c>
    </row>
    <row r="115" spans="1:24" ht="21" x14ac:dyDescent="0.25">
      <c r="A115" s="842"/>
      <c r="B115" s="1182" t="s">
        <v>454</v>
      </c>
      <c r="C115" s="1183"/>
      <c r="D115" s="1706" t="s">
        <v>488</v>
      </c>
      <c r="E115" s="1706" t="s">
        <v>495</v>
      </c>
      <c r="F115" s="1706" t="s">
        <v>2</v>
      </c>
      <c r="G115" s="1707" t="s">
        <v>1</v>
      </c>
      <c r="H115" s="1714">
        <v>27.576000000000001</v>
      </c>
      <c r="I115" s="1715"/>
      <c r="J115" s="1716"/>
      <c r="K115" s="1711">
        <v>27.576000000000001</v>
      </c>
      <c r="L115" s="1711"/>
      <c r="M115" s="1711"/>
      <c r="N115" s="1717">
        <v>27.567</v>
      </c>
      <c r="O115" s="1711"/>
      <c r="P115" s="1711"/>
      <c r="Q115" s="1711"/>
      <c r="R115" s="1711"/>
      <c r="S115" s="1711"/>
      <c r="T115" s="1711"/>
      <c r="U115" s="1714"/>
      <c r="V115" s="1698"/>
      <c r="W115" s="1698"/>
      <c r="X115" s="1698">
        <v>27.567</v>
      </c>
    </row>
    <row r="116" spans="1:24" x14ac:dyDescent="0.25">
      <c r="A116" s="1179"/>
      <c r="B116" s="1214" t="s">
        <v>407</v>
      </c>
      <c r="C116" s="1177"/>
      <c r="D116" s="408" t="s">
        <v>495</v>
      </c>
      <c r="E116" s="408" t="s">
        <v>459</v>
      </c>
      <c r="F116" s="408"/>
      <c r="G116" s="1661"/>
      <c r="H116" s="1683">
        <f>H117</f>
        <v>1492</v>
      </c>
      <c r="I116" s="841">
        <f>I117</f>
        <v>1202</v>
      </c>
      <c r="J116" s="276">
        <f>J117</f>
        <v>676</v>
      </c>
      <c r="N116" s="1208">
        <f>N117</f>
        <v>1858</v>
      </c>
      <c r="U116" s="1683">
        <f>U117</f>
        <v>1906.04</v>
      </c>
    </row>
    <row r="117" spans="1:24" ht="23" x14ac:dyDescent="0.25">
      <c r="A117" s="842"/>
      <c r="B117" s="1184" t="s">
        <v>570</v>
      </c>
      <c r="C117" s="1177"/>
      <c r="D117" s="408" t="s">
        <v>495</v>
      </c>
      <c r="E117" s="408" t="s">
        <v>539</v>
      </c>
      <c r="F117" s="408"/>
      <c r="G117" s="1661"/>
      <c r="H117" s="1683">
        <f>H118+H138</f>
        <v>1492</v>
      </c>
      <c r="I117" s="841">
        <f>I118+I138</f>
        <v>1202</v>
      </c>
      <c r="J117" s="276">
        <f>J118+J138</f>
        <v>676</v>
      </c>
      <c r="N117" s="1208">
        <f>N118+N138</f>
        <v>1858</v>
      </c>
      <c r="U117" s="1683">
        <f>U118+U138</f>
        <v>1906.04</v>
      </c>
    </row>
    <row r="118" spans="1:24" ht="21" x14ac:dyDescent="0.25">
      <c r="A118" s="1179"/>
      <c r="B118" s="1205" t="s">
        <v>912</v>
      </c>
      <c r="C118" s="1215"/>
      <c r="D118" s="409" t="s">
        <v>495</v>
      </c>
      <c r="E118" s="409" t="s">
        <v>539</v>
      </c>
      <c r="F118" s="409" t="s">
        <v>240</v>
      </c>
      <c r="G118" s="1662"/>
      <c r="H118" s="1682">
        <f>H122+H129+H134</f>
        <v>836</v>
      </c>
      <c r="I118" s="529">
        <f>I119+I131</f>
        <v>1202</v>
      </c>
      <c r="J118" s="269">
        <f>J119+J131</f>
        <v>676</v>
      </c>
      <c r="K118" s="1439">
        <f>K122+K129+K134</f>
        <v>836</v>
      </c>
      <c r="N118" s="1200">
        <f>N122+N129+N134</f>
        <v>1202</v>
      </c>
      <c r="U118" s="1682">
        <f>U122+U129+U134</f>
        <v>1250.04</v>
      </c>
    </row>
    <row r="119" spans="1:24" ht="42" x14ac:dyDescent="0.25">
      <c r="A119" s="1179"/>
      <c r="B119" s="1216" t="s">
        <v>926</v>
      </c>
      <c r="C119" s="1215"/>
      <c r="D119" s="1217" t="s">
        <v>495</v>
      </c>
      <c r="E119" s="1217" t="s">
        <v>539</v>
      </c>
      <c r="F119" s="1217" t="s">
        <v>238</v>
      </c>
      <c r="G119" s="1664"/>
      <c r="H119" s="1682">
        <f>H120+H127</f>
        <v>443.32</v>
      </c>
      <c r="I119" s="529">
        <f>I120+I127</f>
        <v>506</v>
      </c>
      <c r="J119" s="269">
        <f>J120+J127</f>
        <v>646</v>
      </c>
      <c r="N119" s="1200">
        <f>N120+N127</f>
        <v>606</v>
      </c>
      <c r="U119" s="1682">
        <f>U120+U127</f>
        <v>630.20000000000005</v>
      </c>
    </row>
    <row r="120" spans="1:24" ht="21" x14ac:dyDescent="0.25">
      <c r="A120" s="1179"/>
      <c r="B120" s="1197" t="s">
        <v>236</v>
      </c>
      <c r="C120" s="1215"/>
      <c r="D120" s="1217" t="s">
        <v>495</v>
      </c>
      <c r="E120" s="1217" t="s">
        <v>539</v>
      </c>
      <c r="F120" s="1217" t="s">
        <v>235</v>
      </c>
      <c r="G120" s="1664"/>
      <c r="H120" s="1682">
        <f>H121+H123+H125</f>
        <v>133.32</v>
      </c>
      <c r="I120" s="529">
        <f>I121+I123+I125</f>
        <v>320</v>
      </c>
      <c r="J120" s="269">
        <f>J121+J123+J125</f>
        <v>340</v>
      </c>
      <c r="N120" s="1200">
        <f>N121+N123+N125</f>
        <v>376</v>
      </c>
      <c r="U120" s="1682">
        <f>U121+U123+U125</f>
        <v>391</v>
      </c>
    </row>
    <row r="121" spans="1:24" ht="21" x14ac:dyDescent="0.25">
      <c r="A121" s="1179"/>
      <c r="B121" s="1218" t="s">
        <v>237</v>
      </c>
      <c r="C121" s="1215"/>
      <c r="D121" s="1217" t="s">
        <v>495</v>
      </c>
      <c r="E121" s="1217" t="s">
        <v>539</v>
      </c>
      <c r="F121" s="1217" t="s">
        <v>233</v>
      </c>
      <c r="G121" s="1664"/>
      <c r="H121" s="1682">
        <f>H122</f>
        <v>133.32</v>
      </c>
      <c r="I121" s="529">
        <f>I122</f>
        <v>320</v>
      </c>
      <c r="J121" s="269">
        <f>J122</f>
        <v>340</v>
      </c>
      <c r="N121" s="1200">
        <f>N122</f>
        <v>376</v>
      </c>
      <c r="U121" s="1682">
        <f>U122</f>
        <v>391</v>
      </c>
    </row>
    <row r="122" spans="1:24" ht="21" x14ac:dyDescent="0.25">
      <c r="A122" s="1179"/>
      <c r="B122" s="1182" t="s">
        <v>454</v>
      </c>
      <c r="C122" s="1183"/>
      <c r="D122" s="1217" t="s">
        <v>495</v>
      </c>
      <c r="E122" s="1217" t="s">
        <v>539</v>
      </c>
      <c r="F122" s="1217" t="s">
        <v>233</v>
      </c>
      <c r="G122" s="1662" t="s">
        <v>1</v>
      </c>
      <c r="H122" s="1682">
        <v>133.32</v>
      </c>
      <c r="I122" s="529">
        <v>320</v>
      </c>
      <c r="J122" s="269">
        <v>340</v>
      </c>
      <c r="K122" s="1">
        <v>133.32</v>
      </c>
      <c r="N122" s="1200">
        <v>376</v>
      </c>
      <c r="U122" s="1682">
        <v>391</v>
      </c>
    </row>
    <row r="123" spans="1:24" hidden="1" x14ac:dyDescent="0.25">
      <c r="A123" s="1179"/>
      <c r="B123" s="1219" t="s">
        <v>568</v>
      </c>
      <c r="C123" s="1215"/>
      <c r="D123" s="1217" t="s">
        <v>495</v>
      </c>
      <c r="E123" s="1217" t="s">
        <v>539</v>
      </c>
      <c r="F123" s="1217" t="s">
        <v>567</v>
      </c>
      <c r="G123" s="1664"/>
      <c r="H123" s="1682">
        <f>H124</f>
        <v>0</v>
      </c>
      <c r="I123" s="529">
        <f>I124</f>
        <v>0</v>
      </c>
      <c r="J123" s="269">
        <f>J124</f>
        <v>0</v>
      </c>
      <c r="N123" s="1200">
        <f>N124</f>
        <v>0</v>
      </c>
      <c r="U123" s="1682">
        <f>U124</f>
        <v>0</v>
      </c>
    </row>
    <row r="124" spans="1:24" ht="21" hidden="1" x14ac:dyDescent="0.25">
      <c r="A124" s="1179"/>
      <c r="B124" s="1182" t="s">
        <v>454</v>
      </c>
      <c r="C124" s="1183"/>
      <c r="D124" s="1217" t="s">
        <v>495</v>
      </c>
      <c r="E124" s="1217" t="s">
        <v>539</v>
      </c>
      <c r="F124" s="1217" t="s">
        <v>567</v>
      </c>
      <c r="G124" s="1662" t="s">
        <v>1</v>
      </c>
      <c r="H124" s="1682"/>
      <c r="I124" s="529"/>
      <c r="J124" s="269"/>
      <c r="N124" s="1200"/>
      <c r="U124" s="1682"/>
    </row>
    <row r="125" spans="1:24" hidden="1" x14ac:dyDescent="0.25">
      <c r="A125" s="1179"/>
      <c r="B125" s="1219" t="s">
        <v>566</v>
      </c>
      <c r="C125" s="1215"/>
      <c r="D125" s="1217" t="s">
        <v>495</v>
      </c>
      <c r="E125" s="1217" t="s">
        <v>539</v>
      </c>
      <c r="F125" s="1217" t="s">
        <v>565</v>
      </c>
      <c r="G125" s="1664"/>
      <c r="H125" s="1682">
        <f>H126</f>
        <v>0</v>
      </c>
      <c r="I125" s="529">
        <f>I126</f>
        <v>0</v>
      </c>
      <c r="J125" s="269">
        <f>J126</f>
        <v>0</v>
      </c>
      <c r="N125" s="1200">
        <f>N126</f>
        <v>0</v>
      </c>
      <c r="U125" s="1682">
        <f>U126</f>
        <v>0</v>
      </c>
    </row>
    <row r="126" spans="1:24" ht="21" hidden="1" x14ac:dyDescent="0.25">
      <c r="A126" s="1179"/>
      <c r="B126" s="1182" t="s">
        <v>454</v>
      </c>
      <c r="C126" s="1183"/>
      <c r="D126" s="1217" t="s">
        <v>495</v>
      </c>
      <c r="E126" s="1217" t="s">
        <v>539</v>
      </c>
      <c r="F126" s="1217" t="s">
        <v>565</v>
      </c>
      <c r="G126" s="1662" t="s">
        <v>1</v>
      </c>
      <c r="H126" s="1682"/>
      <c r="I126" s="529"/>
      <c r="J126" s="269"/>
      <c r="N126" s="1200"/>
      <c r="U126" s="1682"/>
    </row>
    <row r="127" spans="1:24" x14ac:dyDescent="0.25">
      <c r="A127" s="1179"/>
      <c r="B127" s="1219" t="s">
        <v>564</v>
      </c>
      <c r="C127" s="1215"/>
      <c r="D127" s="1217" t="s">
        <v>495</v>
      </c>
      <c r="E127" s="1217" t="s">
        <v>539</v>
      </c>
      <c r="F127" s="1217" t="s">
        <v>231</v>
      </c>
      <c r="G127" s="1664"/>
      <c r="H127" s="1682">
        <f>H128</f>
        <v>310</v>
      </c>
      <c r="I127" s="529">
        <f>I128</f>
        <v>186</v>
      </c>
      <c r="J127" s="269">
        <f>J128</f>
        <v>306</v>
      </c>
      <c r="N127" s="1200">
        <f>N128</f>
        <v>230</v>
      </c>
      <c r="U127" s="1682">
        <f>U128</f>
        <v>239.2</v>
      </c>
    </row>
    <row r="128" spans="1:24" x14ac:dyDescent="0.25">
      <c r="A128" s="1179"/>
      <c r="B128" s="1117" t="s">
        <v>563</v>
      </c>
      <c r="C128" s="1188"/>
      <c r="D128" s="409" t="s">
        <v>495</v>
      </c>
      <c r="E128" s="409" t="s">
        <v>539</v>
      </c>
      <c r="F128" s="1217" t="s">
        <v>229</v>
      </c>
      <c r="G128" s="1664"/>
      <c r="H128" s="1682">
        <f>H129+H130</f>
        <v>310</v>
      </c>
      <c r="I128" s="529">
        <f>I129+I130</f>
        <v>186</v>
      </c>
      <c r="J128" s="269">
        <f>J129+J130</f>
        <v>306</v>
      </c>
      <c r="N128" s="1200">
        <f>N129+N130</f>
        <v>230</v>
      </c>
      <c r="U128" s="1682">
        <f>U129+U130</f>
        <v>239.2</v>
      </c>
    </row>
    <row r="129" spans="1:25" ht="21" x14ac:dyDescent="0.25">
      <c r="A129" s="1179"/>
      <c r="B129" s="1182" t="s">
        <v>454</v>
      </c>
      <c r="C129" s="1183"/>
      <c r="D129" s="409" t="s">
        <v>495</v>
      </c>
      <c r="E129" s="409" t="s">
        <v>539</v>
      </c>
      <c r="F129" s="1217" t="s">
        <v>229</v>
      </c>
      <c r="G129" s="1664">
        <v>240</v>
      </c>
      <c r="H129" s="1682">
        <v>310</v>
      </c>
      <c r="I129" s="529">
        <v>186</v>
      </c>
      <c r="J129" s="269">
        <v>306</v>
      </c>
      <c r="K129" s="1">
        <v>310</v>
      </c>
      <c r="N129" s="1200">
        <v>230</v>
      </c>
      <c r="U129" s="1682">
        <v>239.2</v>
      </c>
    </row>
    <row r="130" spans="1:25" ht="21" hidden="1" x14ac:dyDescent="0.25">
      <c r="A130" s="1179"/>
      <c r="B130" s="1183" t="s">
        <v>562</v>
      </c>
      <c r="C130" s="1183"/>
      <c r="D130" s="409" t="s">
        <v>495</v>
      </c>
      <c r="E130" s="409" t="s">
        <v>539</v>
      </c>
      <c r="F130" s="1217" t="s">
        <v>229</v>
      </c>
      <c r="G130" s="1664" t="s">
        <v>561</v>
      </c>
      <c r="H130" s="1682"/>
      <c r="I130" s="529"/>
      <c r="J130" s="269"/>
      <c r="N130" s="1200"/>
      <c r="U130" s="1682"/>
    </row>
    <row r="131" spans="1:25" x14ac:dyDescent="0.25">
      <c r="A131" s="1179"/>
      <c r="B131" s="1219" t="s">
        <v>560</v>
      </c>
      <c r="C131" s="1215"/>
      <c r="D131" s="1217" t="s">
        <v>495</v>
      </c>
      <c r="E131" s="1217" t="s">
        <v>539</v>
      </c>
      <c r="F131" s="1217" t="s">
        <v>227</v>
      </c>
      <c r="G131" s="1664"/>
      <c r="H131" s="1682">
        <f>H132</f>
        <v>392.68</v>
      </c>
      <c r="I131" s="529">
        <f>I132</f>
        <v>696</v>
      </c>
      <c r="J131" s="269">
        <f>J132</f>
        <v>30</v>
      </c>
      <c r="N131" s="1200">
        <f>N132</f>
        <v>596</v>
      </c>
      <c r="U131" s="1682">
        <f>U132</f>
        <v>619.84</v>
      </c>
    </row>
    <row r="132" spans="1:25" ht="21" x14ac:dyDescent="0.25">
      <c r="A132" s="1179"/>
      <c r="B132" s="1219" t="s">
        <v>559</v>
      </c>
      <c r="C132" s="1215"/>
      <c r="D132" s="1217" t="s">
        <v>495</v>
      </c>
      <c r="E132" s="1217" t="s">
        <v>539</v>
      </c>
      <c r="F132" s="1217" t="s">
        <v>225</v>
      </c>
      <c r="G132" s="1664"/>
      <c r="H132" s="1682">
        <f>H133</f>
        <v>392.68</v>
      </c>
      <c r="I132" s="529">
        <f>I133+I135</f>
        <v>696</v>
      </c>
      <c r="J132" s="269">
        <f>J133+J135</f>
        <v>30</v>
      </c>
      <c r="N132" s="1200">
        <f>N133</f>
        <v>596</v>
      </c>
      <c r="U132" s="1682">
        <f>U133</f>
        <v>619.84</v>
      </c>
    </row>
    <row r="133" spans="1:25" x14ac:dyDescent="0.25">
      <c r="A133" s="1179"/>
      <c r="B133" s="1220" t="s">
        <v>224</v>
      </c>
      <c r="C133" s="1188"/>
      <c r="D133" s="1217" t="s">
        <v>495</v>
      </c>
      <c r="E133" s="1217" t="s">
        <v>539</v>
      </c>
      <c r="F133" s="1217" t="s">
        <v>220</v>
      </c>
      <c r="G133" s="1664"/>
      <c r="H133" s="1682">
        <f>H134</f>
        <v>392.68</v>
      </c>
      <c r="I133" s="529">
        <f>I134</f>
        <v>696</v>
      </c>
      <c r="J133" s="269">
        <f>J134</f>
        <v>30</v>
      </c>
      <c r="N133" s="1200">
        <f>N134</f>
        <v>596</v>
      </c>
      <c r="U133" s="1682">
        <f>U134</f>
        <v>619.84</v>
      </c>
    </row>
    <row r="134" spans="1:25" ht="21" x14ac:dyDescent="0.25">
      <c r="A134" s="1179"/>
      <c r="B134" s="1182" t="s">
        <v>454</v>
      </c>
      <c r="C134" s="1183"/>
      <c r="D134" s="1217" t="s">
        <v>495</v>
      </c>
      <c r="E134" s="1217" t="s">
        <v>539</v>
      </c>
      <c r="F134" s="1217" t="s">
        <v>220</v>
      </c>
      <c r="G134" s="1662" t="s">
        <v>1</v>
      </c>
      <c r="H134" s="1682">
        <v>392.68</v>
      </c>
      <c r="I134" s="529">
        <v>696</v>
      </c>
      <c r="J134" s="269">
        <v>30</v>
      </c>
      <c r="K134" s="1">
        <v>392.68</v>
      </c>
      <c r="N134" s="1200">
        <v>596</v>
      </c>
      <c r="U134" s="1682">
        <v>619.84</v>
      </c>
    </row>
    <row r="135" spans="1:25" ht="27" customHeight="1" x14ac:dyDescent="0.25">
      <c r="A135" s="1179"/>
      <c r="B135" s="1214" t="s">
        <v>833</v>
      </c>
      <c r="C135" s="1188"/>
      <c r="D135" s="1718" t="s">
        <v>495</v>
      </c>
      <c r="E135" s="1718" t="s">
        <v>832</v>
      </c>
      <c r="F135" s="1705"/>
      <c r="G135" s="1719"/>
      <c r="H135" s="1708">
        <f>H137</f>
        <v>656</v>
      </c>
      <c r="I135" s="1715">
        <f>I137</f>
        <v>0</v>
      </c>
      <c r="J135" s="1716">
        <f>J137</f>
        <v>0</v>
      </c>
      <c r="K135" s="1711"/>
      <c r="L135" s="1711"/>
      <c r="M135" s="1711"/>
      <c r="N135" s="1712">
        <f>N137</f>
        <v>656</v>
      </c>
      <c r="O135" s="1711"/>
      <c r="P135" s="1711"/>
      <c r="Q135" s="1711"/>
      <c r="R135" s="1711"/>
      <c r="S135" s="1711"/>
      <c r="T135" s="1711"/>
      <c r="U135" s="1708">
        <f>U137</f>
        <v>656</v>
      </c>
      <c r="V135" s="1723">
        <v>7.1</v>
      </c>
      <c r="W135" s="1723">
        <v>7.1</v>
      </c>
      <c r="X135" s="1723">
        <v>7.1</v>
      </c>
      <c r="Y135" s="239" t="s">
        <v>444</v>
      </c>
    </row>
    <row r="136" spans="1:25" ht="26.25" customHeight="1" x14ac:dyDescent="0.25">
      <c r="A136" s="1179"/>
      <c r="B136" s="753" t="s">
        <v>583</v>
      </c>
      <c r="C136" s="1188"/>
      <c r="D136" s="1720" t="s">
        <v>495</v>
      </c>
      <c r="E136" s="1720" t="s">
        <v>832</v>
      </c>
      <c r="F136" s="1706" t="s">
        <v>157</v>
      </c>
      <c r="G136" s="1721"/>
      <c r="H136" s="1714">
        <f>H137</f>
        <v>656</v>
      </c>
      <c r="I136" s="1715"/>
      <c r="J136" s="1716"/>
      <c r="K136" s="1711"/>
      <c r="L136" s="1711"/>
      <c r="M136" s="1711"/>
      <c r="N136" s="1717">
        <f>N137</f>
        <v>656</v>
      </c>
      <c r="O136" s="1711"/>
      <c r="P136" s="1711"/>
      <c r="Q136" s="1711"/>
      <c r="R136" s="1711"/>
      <c r="S136" s="1711"/>
      <c r="T136" s="1711"/>
      <c r="U136" s="1714">
        <f>U137</f>
        <v>656</v>
      </c>
    </row>
    <row r="137" spans="1:25" ht="27.75" customHeight="1" x14ac:dyDescent="0.25">
      <c r="A137" s="1179"/>
      <c r="B137" s="1197" t="s">
        <v>156</v>
      </c>
      <c r="C137" s="1183"/>
      <c r="D137" s="1720" t="s">
        <v>495</v>
      </c>
      <c r="E137" s="1720" t="s">
        <v>832</v>
      </c>
      <c r="F137" s="1706" t="s">
        <v>155</v>
      </c>
      <c r="G137" s="1707"/>
      <c r="H137" s="1714">
        <f>H138</f>
        <v>656</v>
      </c>
      <c r="I137" s="1715"/>
      <c r="J137" s="1716"/>
      <c r="K137" s="1711"/>
      <c r="L137" s="1711"/>
      <c r="M137" s="1711"/>
      <c r="N137" s="1717">
        <f>N138</f>
        <v>656</v>
      </c>
      <c r="O137" s="1711"/>
      <c r="P137" s="1711"/>
      <c r="Q137" s="1711"/>
      <c r="R137" s="1711"/>
      <c r="S137" s="1711"/>
      <c r="T137" s="1711"/>
      <c r="U137" s="1714">
        <f>U138</f>
        <v>656</v>
      </c>
    </row>
    <row r="138" spans="1:25" x14ac:dyDescent="0.25">
      <c r="A138" s="842"/>
      <c r="B138" s="1219" t="s">
        <v>109</v>
      </c>
      <c r="C138" s="1222"/>
      <c r="D138" s="1706" t="s">
        <v>495</v>
      </c>
      <c r="E138" s="1706" t="s">
        <v>832</v>
      </c>
      <c r="F138" s="1706" t="s">
        <v>154</v>
      </c>
      <c r="G138" s="1707"/>
      <c r="H138" s="1714">
        <f>H139</f>
        <v>656</v>
      </c>
      <c r="I138" s="1709">
        <f t="shared" ref="I138:J140" si="19">I139</f>
        <v>0</v>
      </c>
      <c r="J138" s="1710">
        <f t="shared" si="19"/>
        <v>0</v>
      </c>
      <c r="K138" s="1711"/>
      <c r="L138" s="1711"/>
      <c r="M138" s="1711"/>
      <c r="N138" s="1717">
        <f>N139</f>
        <v>656</v>
      </c>
      <c r="O138" s="1711"/>
      <c r="P138" s="1711"/>
      <c r="Q138" s="1711"/>
      <c r="R138" s="1711"/>
      <c r="S138" s="1711"/>
      <c r="T138" s="1711"/>
      <c r="U138" s="1714">
        <f>U139</f>
        <v>656</v>
      </c>
    </row>
    <row r="139" spans="1:25" ht="31.5" x14ac:dyDescent="0.25">
      <c r="A139" s="1179"/>
      <c r="B139" s="1219" t="s">
        <v>834</v>
      </c>
      <c r="C139" s="1223"/>
      <c r="D139" s="1706" t="s">
        <v>495</v>
      </c>
      <c r="E139" s="1706" t="s">
        <v>832</v>
      </c>
      <c r="F139" s="1706" t="s">
        <v>127</v>
      </c>
      <c r="G139" s="1707"/>
      <c r="H139" s="1714">
        <f>H140+H141</f>
        <v>656</v>
      </c>
      <c r="I139" s="1715">
        <f t="shared" si="19"/>
        <v>0</v>
      </c>
      <c r="J139" s="1716">
        <f t="shared" si="19"/>
        <v>0</v>
      </c>
      <c r="K139" s="1713">
        <f>K140+K141</f>
        <v>656</v>
      </c>
      <c r="L139" s="1711"/>
      <c r="M139" s="1711"/>
      <c r="N139" s="1717">
        <f>N140+N141</f>
        <v>656</v>
      </c>
      <c r="O139" s="1711"/>
      <c r="P139" s="1711"/>
      <c r="Q139" s="1711"/>
      <c r="R139" s="1711"/>
      <c r="S139" s="1711"/>
      <c r="T139" s="1711"/>
      <c r="U139" s="1714">
        <f>U140+U141</f>
        <v>656</v>
      </c>
    </row>
    <row r="140" spans="1:25" x14ac:dyDescent="0.25">
      <c r="A140" s="842"/>
      <c r="B140" s="753" t="s">
        <v>571</v>
      </c>
      <c r="C140" s="1224"/>
      <c r="D140" s="1720" t="s">
        <v>495</v>
      </c>
      <c r="E140" s="1720" t="s">
        <v>832</v>
      </c>
      <c r="F140" s="1706" t="s">
        <v>127</v>
      </c>
      <c r="G140" s="1707" t="s">
        <v>5</v>
      </c>
      <c r="H140" s="1714">
        <v>618.79999999999995</v>
      </c>
      <c r="I140" s="1715">
        <f t="shared" si="19"/>
        <v>0</v>
      </c>
      <c r="J140" s="1716">
        <f t="shared" si="19"/>
        <v>0</v>
      </c>
      <c r="K140" s="1711">
        <v>618.79999999999995</v>
      </c>
      <c r="L140" s="1711"/>
      <c r="M140" s="1711"/>
      <c r="N140" s="1717">
        <v>618.79999999999995</v>
      </c>
      <c r="O140" s="1711"/>
      <c r="P140" s="1711"/>
      <c r="Q140" s="1711"/>
      <c r="R140" s="1711"/>
      <c r="S140" s="1711"/>
      <c r="T140" s="1711"/>
      <c r="U140" s="1714">
        <v>618.79999999999995</v>
      </c>
    </row>
    <row r="141" spans="1:25" ht="21" x14ac:dyDescent="0.25">
      <c r="A141" s="1179"/>
      <c r="B141" s="1182" t="s">
        <v>454</v>
      </c>
      <c r="C141" s="1183"/>
      <c r="D141" s="1720" t="s">
        <v>495</v>
      </c>
      <c r="E141" s="1720" t="s">
        <v>832</v>
      </c>
      <c r="F141" s="1706" t="s">
        <v>127</v>
      </c>
      <c r="G141" s="1707" t="s">
        <v>1</v>
      </c>
      <c r="H141" s="1714">
        <v>37.200000000000003</v>
      </c>
      <c r="I141" s="1715"/>
      <c r="J141" s="1716"/>
      <c r="K141" s="1711">
        <v>37.200000000000003</v>
      </c>
      <c r="L141" s="1711"/>
      <c r="M141" s="1711"/>
      <c r="N141" s="1717">
        <v>37.200000000000003</v>
      </c>
      <c r="O141" s="1711"/>
      <c r="P141" s="1711"/>
      <c r="Q141" s="1711"/>
      <c r="R141" s="1711"/>
      <c r="S141" s="1711"/>
      <c r="T141" s="1711"/>
      <c r="U141" s="1714">
        <v>37.200000000000003</v>
      </c>
      <c r="V141" s="1722">
        <v>7.1</v>
      </c>
      <c r="W141" s="1722">
        <v>7.1</v>
      </c>
      <c r="X141" s="1722">
        <v>7.1</v>
      </c>
    </row>
    <row r="142" spans="1:25" x14ac:dyDescent="0.25">
      <c r="A142" s="1179"/>
      <c r="B142" s="1225" t="s">
        <v>396</v>
      </c>
      <c r="C142" s="1226"/>
      <c r="D142" s="1227" t="s">
        <v>452</v>
      </c>
      <c r="E142" s="1227" t="s">
        <v>459</v>
      </c>
      <c r="F142" s="1227"/>
      <c r="G142" s="1665"/>
      <c r="H142" s="1684">
        <f>H143+H176</f>
        <v>7119.9639999999999</v>
      </c>
      <c r="I142" s="853">
        <f>I143+I176</f>
        <v>6055</v>
      </c>
      <c r="J142" s="400">
        <f>J143+J176</f>
        <v>6300</v>
      </c>
      <c r="N142" s="1228">
        <f>N143+N176</f>
        <v>5796.8220000000001</v>
      </c>
      <c r="U142" s="1684">
        <f>U143+U176</f>
        <v>4862.1210000000001</v>
      </c>
    </row>
    <row r="143" spans="1:25" x14ac:dyDescent="0.25">
      <c r="A143" s="1229"/>
      <c r="B143" s="1225" t="s">
        <v>60</v>
      </c>
      <c r="C143" s="1227"/>
      <c r="D143" s="1227" t="s">
        <v>452</v>
      </c>
      <c r="E143" s="1227" t="s">
        <v>539</v>
      </c>
      <c r="F143" s="1227"/>
      <c r="G143" s="1665"/>
      <c r="H143" s="1684">
        <f>H148+H150+H156+H158+H175</f>
        <v>5289.9639999999999</v>
      </c>
      <c r="I143" s="853">
        <f>I144</f>
        <v>5740</v>
      </c>
      <c r="J143" s="400">
        <f>J144</f>
        <v>5980</v>
      </c>
      <c r="N143" s="1228">
        <f>N148+N150+N156+N158+N175</f>
        <v>3908.3220000000001</v>
      </c>
      <c r="U143" s="1684">
        <f>U148+U150+U156+U158+U175</f>
        <v>3021.3209999999999</v>
      </c>
    </row>
    <row r="144" spans="1:25" ht="30" customHeight="1" x14ac:dyDescent="0.25">
      <c r="A144" s="1179"/>
      <c r="B144" s="1205" t="s">
        <v>927</v>
      </c>
      <c r="C144" s="409"/>
      <c r="D144" s="409" t="s">
        <v>452</v>
      </c>
      <c r="E144" s="409" t="s">
        <v>539</v>
      </c>
      <c r="F144" s="409" t="s">
        <v>218</v>
      </c>
      <c r="G144" s="1662"/>
      <c r="H144" s="1682">
        <f>H145+H153</f>
        <v>4512.1639999999998</v>
      </c>
      <c r="I144" s="529">
        <f>I145+I153</f>
        <v>5740</v>
      </c>
      <c r="J144" s="270">
        <f>J145+J153</f>
        <v>5980</v>
      </c>
      <c r="N144" s="1200">
        <f>N145+N153</f>
        <v>3130.5219999999999</v>
      </c>
      <c r="U144" s="1682">
        <f>U145+U153</f>
        <v>2243.5209999999997</v>
      </c>
    </row>
    <row r="145" spans="1:21" ht="21" x14ac:dyDescent="0.25">
      <c r="A145" s="1179"/>
      <c r="B145" s="1205" t="s">
        <v>217</v>
      </c>
      <c r="C145" s="1217"/>
      <c r="D145" s="1217" t="s">
        <v>452</v>
      </c>
      <c r="E145" s="1217" t="s">
        <v>539</v>
      </c>
      <c r="F145" s="409" t="s">
        <v>216</v>
      </c>
      <c r="G145" s="1664"/>
      <c r="H145" s="1682">
        <f>H146</f>
        <v>2793.85</v>
      </c>
      <c r="I145" s="529">
        <f>I146</f>
        <v>0</v>
      </c>
      <c r="J145" s="270">
        <f>J146</f>
        <v>0</v>
      </c>
      <c r="K145" s="1440">
        <f>K148+K150+K156+K158+K175</f>
        <v>5289.9639999999999</v>
      </c>
      <c r="N145" s="1200"/>
      <c r="U145" s="1682"/>
    </row>
    <row r="146" spans="1:21" ht="31.5" x14ac:dyDescent="0.25">
      <c r="A146" s="1179"/>
      <c r="B146" s="1197" t="s">
        <v>215</v>
      </c>
      <c r="C146" s="1217"/>
      <c r="D146" s="1217" t="s">
        <v>452</v>
      </c>
      <c r="E146" s="1217" t="s">
        <v>539</v>
      </c>
      <c r="F146" s="1217" t="s">
        <v>214</v>
      </c>
      <c r="G146" s="1664"/>
      <c r="H146" s="1682">
        <f>H147+H149+H152</f>
        <v>2793.85</v>
      </c>
      <c r="I146" s="529">
        <f>I147+I149+I152</f>
        <v>0</v>
      </c>
      <c r="J146" s="270">
        <f>J147+J149+J152</f>
        <v>0</v>
      </c>
      <c r="N146" s="1200"/>
      <c r="U146" s="1682"/>
    </row>
    <row r="147" spans="1:21" x14ac:dyDescent="0.25">
      <c r="A147" s="1179"/>
      <c r="B147" s="1197" t="s">
        <v>619</v>
      </c>
      <c r="C147" s="1217"/>
      <c r="D147" s="1217" t="s">
        <v>452</v>
      </c>
      <c r="E147" s="1217" t="s">
        <v>539</v>
      </c>
      <c r="F147" s="1217" t="s">
        <v>213</v>
      </c>
      <c r="G147" s="1662"/>
      <c r="H147" s="1682">
        <f>H148</f>
        <v>2043.85</v>
      </c>
      <c r="I147" s="529">
        <f>I148</f>
        <v>0</v>
      </c>
      <c r="J147" s="270">
        <f>J148</f>
        <v>0</v>
      </c>
      <c r="N147" s="1200"/>
      <c r="U147" s="1682"/>
    </row>
    <row r="148" spans="1:21" ht="21" x14ac:dyDescent="0.25">
      <c r="A148" s="1179"/>
      <c r="B148" s="1182" t="s">
        <v>454</v>
      </c>
      <c r="C148" s="1217"/>
      <c r="D148" s="1217" t="s">
        <v>452</v>
      </c>
      <c r="E148" s="1217" t="s">
        <v>539</v>
      </c>
      <c r="F148" s="1217" t="s">
        <v>213</v>
      </c>
      <c r="G148" s="1662" t="s">
        <v>1</v>
      </c>
      <c r="H148" s="1682">
        <v>2043.85</v>
      </c>
      <c r="I148" s="529"/>
      <c r="J148" s="269"/>
      <c r="K148" s="1">
        <v>2043.85</v>
      </c>
      <c r="N148" s="1200"/>
      <c r="U148" s="1682"/>
    </row>
    <row r="149" spans="1:21" ht="21" x14ac:dyDescent="0.25">
      <c r="A149" s="1179"/>
      <c r="B149" s="1197" t="s">
        <v>212</v>
      </c>
      <c r="C149" s="1217"/>
      <c r="D149" s="1217" t="s">
        <v>452</v>
      </c>
      <c r="E149" s="1217" t="s">
        <v>539</v>
      </c>
      <c r="F149" s="1217" t="s">
        <v>209</v>
      </c>
      <c r="G149" s="1662"/>
      <c r="H149" s="1682">
        <f>H150</f>
        <v>750</v>
      </c>
      <c r="I149" s="529">
        <f>I150</f>
        <v>0</v>
      </c>
      <c r="J149" s="269">
        <f>J150</f>
        <v>0</v>
      </c>
      <c r="N149" s="1200"/>
      <c r="U149" s="1682"/>
    </row>
    <row r="150" spans="1:21" ht="21" x14ac:dyDescent="0.25">
      <c r="A150" s="1179"/>
      <c r="B150" s="1182" t="s">
        <v>454</v>
      </c>
      <c r="C150" s="1217"/>
      <c r="D150" s="1217" t="s">
        <v>452</v>
      </c>
      <c r="E150" s="1217" t="s">
        <v>539</v>
      </c>
      <c r="F150" s="1217" t="s">
        <v>209</v>
      </c>
      <c r="G150" s="1662" t="s">
        <v>1</v>
      </c>
      <c r="H150" s="1682">
        <v>750</v>
      </c>
      <c r="I150" s="529"/>
      <c r="J150" s="269"/>
      <c r="K150" s="1">
        <v>750</v>
      </c>
      <c r="N150" s="1200"/>
      <c r="U150" s="1682"/>
    </row>
    <row r="151" spans="1:21" ht="26" hidden="1" x14ac:dyDescent="0.3">
      <c r="A151" s="1179"/>
      <c r="B151" s="336" t="s">
        <v>206</v>
      </c>
      <c r="C151" s="1217"/>
      <c r="D151" s="1217" t="s">
        <v>452</v>
      </c>
      <c r="E151" s="1217" t="s">
        <v>539</v>
      </c>
      <c r="F151" s="1217" t="s">
        <v>205</v>
      </c>
      <c r="G151" s="1662"/>
      <c r="H151" s="1682">
        <f>H152</f>
        <v>0</v>
      </c>
      <c r="I151" s="529">
        <f>I152</f>
        <v>0</v>
      </c>
      <c r="J151" s="269">
        <f>J152</f>
        <v>0</v>
      </c>
      <c r="N151" s="1200">
        <f>N152</f>
        <v>0</v>
      </c>
      <c r="U151" s="1682">
        <f>U152</f>
        <v>0</v>
      </c>
    </row>
    <row r="152" spans="1:21" ht="21" hidden="1" x14ac:dyDescent="0.25">
      <c r="A152" s="1179"/>
      <c r="B152" s="1182" t="s">
        <v>454</v>
      </c>
      <c r="C152" s="1217"/>
      <c r="D152" s="1217" t="s">
        <v>452</v>
      </c>
      <c r="E152" s="1217" t="s">
        <v>539</v>
      </c>
      <c r="F152" s="1217" t="s">
        <v>205</v>
      </c>
      <c r="G152" s="1662" t="s">
        <v>1</v>
      </c>
      <c r="H152" s="1682"/>
      <c r="I152" s="529"/>
      <c r="J152" s="269"/>
      <c r="N152" s="1200"/>
      <c r="U152" s="1682"/>
    </row>
    <row r="153" spans="1:21" ht="31.5" x14ac:dyDescent="0.25">
      <c r="A153" s="1179"/>
      <c r="B153" s="1205" t="s">
        <v>837</v>
      </c>
      <c r="C153" s="1217"/>
      <c r="D153" s="1217" t="s">
        <v>452</v>
      </c>
      <c r="E153" s="1217" t="s">
        <v>539</v>
      </c>
      <c r="F153" s="409" t="s">
        <v>204</v>
      </c>
      <c r="G153" s="1662"/>
      <c r="H153" s="1682">
        <f>H154</f>
        <v>1718.3139999999999</v>
      </c>
      <c r="I153" s="529">
        <f>I154</f>
        <v>5740</v>
      </c>
      <c r="J153" s="269">
        <f>J154</f>
        <v>5980</v>
      </c>
      <c r="N153" s="1200">
        <f>N154</f>
        <v>3130.5219999999999</v>
      </c>
      <c r="U153" s="1682">
        <f>U154</f>
        <v>2243.5209999999997</v>
      </c>
    </row>
    <row r="154" spans="1:21" x14ac:dyDescent="0.25">
      <c r="A154" s="1179"/>
      <c r="B154" s="1197" t="s">
        <v>203</v>
      </c>
      <c r="C154" s="1217"/>
      <c r="D154" s="1217" t="s">
        <v>452</v>
      </c>
      <c r="E154" s="1217" t="s">
        <v>539</v>
      </c>
      <c r="F154" s="1217" t="s">
        <v>202</v>
      </c>
      <c r="G154" s="1662"/>
      <c r="H154" s="1682">
        <f>H155+H157</f>
        <v>1718.3139999999999</v>
      </c>
      <c r="I154" s="529">
        <f>I155+I157</f>
        <v>5740</v>
      </c>
      <c r="J154" s="269">
        <f>J155+J157</f>
        <v>5980</v>
      </c>
      <c r="N154" s="1200">
        <f>N155+N157</f>
        <v>3130.5219999999999</v>
      </c>
      <c r="U154" s="1682">
        <f>U155+U157</f>
        <v>2243.5209999999997</v>
      </c>
    </row>
    <row r="155" spans="1:21" x14ac:dyDescent="0.25">
      <c r="A155" s="1179"/>
      <c r="B155" s="1197" t="s">
        <v>619</v>
      </c>
      <c r="C155" s="1217"/>
      <c r="D155" s="1217" t="s">
        <v>452</v>
      </c>
      <c r="E155" s="1217" t="s">
        <v>539</v>
      </c>
      <c r="F155" s="1217" t="s">
        <v>200</v>
      </c>
      <c r="G155" s="1662"/>
      <c r="H155" s="1682">
        <f>H156</f>
        <v>1278.3139999999999</v>
      </c>
      <c r="I155" s="529">
        <f>I156</f>
        <v>5240</v>
      </c>
      <c r="J155" s="269">
        <f>J156</f>
        <v>5380</v>
      </c>
      <c r="N155" s="1200">
        <f>N156</f>
        <v>2670.5219999999999</v>
      </c>
      <c r="U155" s="1682">
        <f>U156</f>
        <v>1723.521</v>
      </c>
    </row>
    <row r="156" spans="1:21" ht="21" x14ac:dyDescent="0.25">
      <c r="A156" s="1179"/>
      <c r="B156" s="1182" t="s">
        <v>454</v>
      </c>
      <c r="C156" s="1217"/>
      <c r="D156" s="1217" t="s">
        <v>452</v>
      </c>
      <c r="E156" s="1217" t="s">
        <v>539</v>
      </c>
      <c r="F156" s="1217" t="s">
        <v>200</v>
      </c>
      <c r="G156" s="1662" t="s">
        <v>1</v>
      </c>
      <c r="H156" s="1682">
        <f>1667.214-388.9</f>
        <v>1278.3139999999999</v>
      </c>
      <c r="I156" s="529">
        <v>5240</v>
      </c>
      <c r="J156" s="269">
        <v>5380</v>
      </c>
      <c r="K156" s="1">
        <v>1667.2139999999999</v>
      </c>
      <c r="N156" s="1200">
        <v>2670.5219999999999</v>
      </c>
      <c r="U156" s="1682">
        <v>1723.521</v>
      </c>
    </row>
    <row r="157" spans="1:21" ht="21" x14ac:dyDescent="0.25">
      <c r="A157" s="1179"/>
      <c r="B157" s="1197" t="s">
        <v>199</v>
      </c>
      <c r="C157" s="1217"/>
      <c r="D157" s="1217" t="s">
        <v>452</v>
      </c>
      <c r="E157" s="1217" t="s">
        <v>539</v>
      </c>
      <c r="F157" s="1217" t="s">
        <v>198</v>
      </c>
      <c r="G157" s="1662"/>
      <c r="H157" s="1682">
        <f>H158</f>
        <v>440</v>
      </c>
      <c r="I157" s="529">
        <f>I158</f>
        <v>500</v>
      </c>
      <c r="J157" s="269">
        <f>J158</f>
        <v>600</v>
      </c>
      <c r="N157" s="1200">
        <f>N158</f>
        <v>460</v>
      </c>
      <c r="U157" s="1682">
        <f>U158</f>
        <v>520</v>
      </c>
    </row>
    <row r="158" spans="1:21" ht="21" x14ac:dyDescent="0.25">
      <c r="A158" s="1179"/>
      <c r="B158" s="1182" t="s">
        <v>454</v>
      </c>
      <c r="C158" s="1217"/>
      <c r="D158" s="1217" t="s">
        <v>452</v>
      </c>
      <c r="E158" s="1217" t="s">
        <v>539</v>
      </c>
      <c r="F158" s="1217" t="s">
        <v>198</v>
      </c>
      <c r="G158" s="1662" t="s">
        <v>1</v>
      </c>
      <c r="H158" s="1682">
        <v>440</v>
      </c>
      <c r="I158" s="529">
        <v>500</v>
      </c>
      <c r="J158" s="269">
        <v>600</v>
      </c>
      <c r="K158" s="1">
        <v>440</v>
      </c>
      <c r="N158" s="1200">
        <v>460</v>
      </c>
      <c r="U158" s="1682">
        <v>520</v>
      </c>
    </row>
    <row r="159" spans="1:21" ht="31.5" hidden="1" x14ac:dyDescent="0.25">
      <c r="A159" s="842"/>
      <c r="B159" s="1230" t="s">
        <v>557</v>
      </c>
      <c r="C159" s="408"/>
      <c r="D159" s="408" t="s">
        <v>452</v>
      </c>
      <c r="E159" s="408" t="s">
        <v>539</v>
      </c>
      <c r="F159" s="408" t="s">
        <v>556</v>
      </c>
      <c r="G159" s="1661"/>
      <c r="H159" s="1683">
        <f>H160</f>
        <v>0</v>
      </c>
      <c r="I159" s="841">
        <f>I160</f>
        <v>0</v>
      </c>
      <c r="J159" s="276">
        <f>J160</f>
        <v>0</v>
      </c>
      <c r="N159" s="1208">
        <f>N160</f>
        <v>0</v>
      </c>
      <c r="U159" s="1683">
        <f>U160</f>
        <v>0</v>
      </c>
    </row>
    <row r="160" spans="1:21" ht="21" hidden="1" x14ac:dyDescent="0.25">
      <c r="A160" s="1179"/>
      <c r="B160" s="1219" t="s">
        <v>555</v>
      </c>
      <c r="C160" s="1217"/>
      <c r="D160" s="1217" t="s">
        <v>452</v>
      </c>
      <c r="E160" s="1217" t="s">
        <v>539</v>
      </c>
      <c r="F160" s="1217" t="s">
        <v>554</v>
      </c>
      <c r="G160" s="1664"/>
      <c r="H160" s="1682">
        <f>H161+H164</f>
        <v>0</v>
      </c>
      <c r="I160" s="529">
        <f>I161+I164</f>
        <v>0</v>
      </c>
      <c r="J160" s="269">
        <f>J161+J164</f>
        <v>0</v>
      </c>
      <c r="N160" s="1200">
        <f>N161+N164</f>
        <v>0</v>
      </c>
      <c r="U160" s="1682">
        <f>U161+U164</f>
        <v>0</v>
      </c>
    </row>
    <row r="161" spans="1:21" ht="31.5" hidden="1" x14ac:dyDescent="0.25">
      <c r="A161" s="1179"/>
      <c r="B161" s="1219" t="s">
        <v>553</v>
      </c>
      <c r="C161" s="1217"/>
      <c r="D161" s="1217" t="s">
        <v>452</v>
      </c>
      <c r="E161" s="1217" t="s">
        <v>539</v>
      </c>
      <c r="F161" s="1217" t="s">
        <v>552</v>
      </c>
      <c r="G161" s="1664"/>
      <c r="H161" s="1682">
        <f t="shared" ref="H161:J162" si="20">H162</f>
        <v>0</v>
      </c>
      <c r="I161" s="529">
        <f t="shared" si="20"/>
        <v>0</v>
      </c>
      <c r="J161" s="269">
        <f t="shared" si="20"/>
        <v>0</v>
      </c>
      <c r="N161" s="1200">
        <f t="shared" ref="N161:N162" si="21">N162</f>
        <v>0</v>
      </c>
      <c r="U161" s="1682">
        <f t="shared" ref="U161:U162" si="22">U162</f>
        <v>0</v>
      </c>
    </row>
    <row r="162" spans="1:21" ht="31.5" hidden="1" x14ac:dyDescent="0.25">
      <c r="A162" s="1179"/>
      <c r="B162" s="753" t="s">
        <v>551</v>
      </c>
      <c r="C162" s="1217"/>
      <c r="D162" s="1217" t="s">
        <v>452</v>
      </c>
      <c r="E162" s="1217" t="s">
        <v>539</v>
      </c>
      <c r="F162" s="1217" t="s">
        <v>550</v>
      </c>
      <c r="G162" s="1664"/>
      <c r="H162" s="1682">
        <f t="shared" si="20"/>
        <v>0</v>
      </c>
      <c r="I162" s="529">
        <f t="shared" si="20"/>
        <v>0</v>
      </c>
      <c r="J162" s="269">
        <f t="shared" si="20"/>
        <v>0</v>
      </c>
      <c r="N162" s="1200">
        <f t="shared" si="21"/>
        <v>0</v>
      </c>
      <c r="U162" s="1682">
        <f t="shared" si="22"/>
        <v>0</v>
      </c>
    </row>
    <row r="163" spans="1:21" hidden="1" x14ac:dyDescent="0.25">
      <c r="A163" s="1179"/>
      <c r="B163" s="1182" t="s">
        <v>481</v>
      </c>
      <c r="C163" s="1217"/>
      <c r="D163" s="1217" t="s">
        <v>452</v>
      </c>
      <c r="E163" s="1217" t="s">
        <v>539</v>
      </c>
      <c r="F163" s="1217" t="s">
        <v>550</v>
      </c>
      <c r="G163" s="1662" t="s">
        <v>26</v>
      </c>
      <c r="H163" s="1682">
        <v>0</v>
      </c>
      <c r="I163" s="529">
        <v>0</v>
      </c>
      <c r="J163" s="269">
        <v>0</v>
      </c>
      <c r="N163" s="1200">
        <v>0</v>
      </c>
      <c r="U163" s="1682">
        <v>0</v>
      </c>
    </row>
    <row r="164" spans="1:21" ht="42" hidden="1" x14ac:dyDescent="0.25">
      <c r="A164" s="1179"/>
      <c r="B164" s="1219" t="s">
        <v>549</v>
      </c>
      <c r="C164" s="1217"/>
      <c r="D164" s="1217" t="s">
        <v>548</v>
      </c>
      <c r="E164" s="1217" t="s">
        <v>539</v>
      </c>
      <c r="F164" s="1217" t="s">
        <v>547</v>
      </c>
      <c r="G164" s="1664"/>
      <c r="H164" s="1682">
        <f>H165+H167+H169</f>
        <v>0</v>
      </c>
      <c r="I164" s="529">
        <f>I165+I167+I169</f>
        <v>0</v>
      </c>
      <c r="J164" s="269">
        <f>J165+J167+J169</f>
        <v>0</v>
      </c>
      <c r="N164" s="1200">
        <f>N165+N167+N169</f>
        <v>0</v>
      </c>
      <c r="U164" s="1682">
        <f>U165+U167+U169</f>
        <v>0</v>
      </c>
    </row>
    <row r="165" spans="1:21" ht="21" hidden="1" x14ac:dyDescent="0.25">
      <c r="A165" s="1179"/>
      <c r="B165" s="753" t="s">
        <v>546</v>
      </c>
      <c r="C165" s="1217"/>
      <c r="D165" s="1217" t="s">
        <v>452</v>
      </c>
      <c r="E165" s="1217" t="s">
        <v>539</v>
      </c>
      <c r="F165" s="1217" t="s">
        <v>545</v>
      </c>
      <c r="G165" s="1664"/>
      <c r="H165" s="1682">
        <f>H166</f>
        <v>0</v>
      </c>
      <c r="I165" s="529">
        <f>I166</f>
        <v>0</v>
      </c>
      <c r="J165" s="269">
        <f>J166</f>
        <v>0</v>
      </c>
      <c r="N165" s="1200">
        <f>N166</f>
        <v>0</v>
      </c>
      <c r="U165" s="1682">
        <f>U166</f>
        <v>0</v>
      </c>
    </row>
    <row r="166" spans="1:21" ht="21" hidden="1" x14ac:dyDescent="0.25">
      <c r="A166" s="1179"/>
      <c r="B166" s="1182" t="s">
        <v>454</v>
      </c>
      <c r="C166" s="1217"/>
      <c r="D166" s="1217" t="s">
        <v>452</v>
      </c>
      <c r="E166" s="1217" t="s">
        <v>539</v>
      </c>
      <c r="F166" s="1217" t="s">
        <v>545</v>
      </c>
      <c r="G166" s="1662" t="s">
        <v>1</v>
      </c>
      <c r="H166" s="1682"/>
      <c r="I166" s="529"/>
      <c r="J166" s="269"/>
      <c r="N166" s="1200"/>
      <c r="U166" s="1682"/>
    </row>
    <row r="167" spans="1:21" ht="31.5" hidden="1" x14ac:dyDescent="0.25">
      <c r="A167" s="1229"/>
      <c r="B167" s="753" t="s">
        <v>544</v>
      </c>
      <c r="C167" s="1217"/>
      <c r="D167" s="1217" t="s">
        <v>452</v>
      </c>
      <c r="E167" s="1217" t="s">
        <v>539</v>
      </c>
      <c r="F167" s="1217" t="s">
        <v>543</v>
      </c>
      <c r="G167" s="1664"/>
      <c r="H167" s="1682">
        <f>H168</f>
        <v>0</v>
      </c>
      <c r="I167" s="529">
        <f>I168</f>
        <v>0</v>
      </c>
      <c r="J167" s="269">
        <f>J168</f>
        <v>0</v>
      </c>
      <c r="N167" s="1200">
        <f>N168</f>
        <v>0</v>
      </c>
      <c r="U167" s="1682">
        <f>U168</f>
        <v>0</v>
      </c>
    </row>
    <row r="168" spans="1:21" ht="21" hidden="1" x14ac:dyDescent="0.25">
      <c r="A168" s="1229"/>
      <c r="B168" s="1182" t="s">
        <v>454</v>
      </c>
      <c r="C168" s="1217"/>
      <c r="D168" s="1217" t="s">
        <v>452</v>
      </c>
      <c r="E168" s="1217" t="s">
        <v>539</v>
      </c>
      <c r="F168" s="1217" t="s">
        <v>543</v>
      </c>
      <c r="G168" s="1662" t="s">
        <v>1</v>
      </c>
      <c r="H168" s="1682"/>
      <c r="I168" s="529"/>
      <c r="J168" s="269"/>
      <c r="N168" s="1200"/>
      <c r="U168" s="1682"/>
    </row>
    <row r="169" spans="1:21" ht="31.5" hidden="1" x14ac:dyDescent="0.25">
      <c r="A169" s="1229"/>
      <c r="B169" s="753" t="s">
        <v>542</v>
      </c>
      <c r="C169" s="1217"/>
      <c r="D169" s="1217" t="s">
        <v>452</v>
      </c>
      <c r="E169" s="1217" t="s">
        <v>539</v>
      </c>
      <c r="F169" s="1217" t="s">
        <v>541</v>
      </c>
      <c r="G169" s="1664"/>
      <c r="H169" s="1682">
        <f>H170</f>
        <v>0</v>
      </c>
      <c r="I169" s="529">
        <f>I170</f>
        <v>0</v>
      </c>
      <c r="J169" s="269">
        <f>J170</f>
        <v>0</v>
      </c>
      <c r="N169" s="1200">
        <f>N170</f>
        <v>0</v>
      </c>
      <c r="U169" s="1682">
        <f>U170</f>
        <v>0</v>
      </c>
    </row>
    <row r="170" spans="1:21" ht="21" hidden="1" x14ac:dyDescent="0.25">
      <c r="A170" s="1229"/>
      <c r="B170" s="1182" t="s">
        <v>454</v>
      </c>
      <c r="C170" s="1217"/>
      <c r="D170" s="1217" t="s">
        <v>452</v>
      </c>
      <c r="E170" s="1217" t="s">
        <v>539</v>
      </c>
      <c r="F170" s="1217" t="s">
        <v>541</v>
      </c>
      <c r="G170" s="1662" t="s">
        <v>1</v>
      </c>
      <c r="H170" s="1682"/>
      <c r="I170" s="529"/>
      <c r="J170" s="269"/>
      <c r="N170" s="1200"/>
      <c r="U170" s="1682"/>
    </row>
    <row r="171" spans="1:21" ht="21" x14ac:dyDescent="0.25">
      <c r="A171" s="1211"/>
      <c r="B171" s="753" t="s">
        <v>499</v>
      </c>
      <c r="C171" s="1177"/>
      <c r="D171" s="409" t="s">
        <v>452</v>
      </c>
      <c r="E171" s="409" t="s">
        <v>539</v>
      </c>
      <c r="F171" s="409" t="s">
        <v>89</v>
      </c>
      <c r="G171" s="1662"/>
      <c r="H171" s="1682">
        <f t="shared" ref="H171:J174" si="23">H172</f>
        <v>777.8</v>
      </c>
      <c r="I171" s="841">
        <f t="shared" si="23"/>
        <v>0</v>
      </c>
      <c r="J171" s="276">
        <f t="shared" si="23"/>
        <v>0</v>
      </c>
      <c r="N171" s="1200">
        <f t="shared" ref="N171:N174" si="24">N172</f>
        <v>777.8</v>
      </c>
      <c r="U171" s="1682">
        <f t="shared" ref="U171:U174" si="25">U172</f>
        <v>777.8</v>
      </c>
    </row>
    <row r="172" spans="1:21" x14ac:dyDescent="0.25">
      <c r="A172" s="842"/>
      <c r="B172" s="753" t="s">
        <v>109</v>
      </c>
      <c r="C172" s="1177"/>
      <c r="D172" s="409" t="s">
        <v>452</v>
      </c>
      <c r="E172" s="409" t="s">
        <v>539</v>
      </c>
      <c r="F172" s="409" t="s">
        <v>84</v>
      </c>
      <c r="G172" s="1662"/>
      <c r="H172" s="1682">
        <f t="shared" si="23"/>
        <v>777.8</v>
      </c>
      <c r="I172" s="841">
        <f t="shared" si="23"/>
        <v>0</v>
      </c>
      <c r="J172" s="276">
        <f t="shared" si="23"/>
        <v>0</v>
      </c>
      <c r="N172" s="1200">
        <f t="shared" si="24"/>
        <v>777.8</v>
      </c>
      <c r="U172" s="1682">
        <f t="shared" si="25"/>
        <v>777.8</v>
      </c>
    </row>
    <row r="173" spans="1:21" x14ac:dyDescent="0.25">
      <c r="A173" s="842"/>
      <c r="B173" s="753" t="s">
        <v>109</v>
      </c>
      <c r="C173" s="1177"/>
      <c r="D173" s="409" t="s">
        <v>452</v>
      </c>
      <c r="E173" s="409" t="s">
        <v>539</v>
      </c>
      <c r="F173" s="409" t="s">
        <v>82</v>
      </c>
      <c r="G173" s="1662"/>
      <c r="H173" s="1682">
        <f>H174</f>
        <v>777.8</v>
      </c>
      <c r="I173" s="841">
        <f t="shared" si="23"/>
        <v>0</v>
      </c>
      <c r="J173" s="276">
        <f t="shared" si="23"/>
        <v>0</v>
      </c>
      <c r="K173" s="1">
        <v>388.9</v>
      </c>
      <c r="N173" s="1200">
        <f>N174</f>
        <v>777.8</v>
      </c>
      <c r="U173" s="1682">
        <f>U174</f>
        <v>777.8</v>
      </c>
    </row>
    <row r="174" spans="1:21" ht="21" x14ac:dyDescent="0.25">
      <c r="A174" s="1229"/>
      <c r="B174" s="1481" t="s">
        <v>967</v>
      </c>
      <c r="C174" s="409"/>
      <c r="D174" s="409" t="s">
        <v>452</v>
      </c>
      <c r="E174" s="409" t="s">
        <v>539</v>
      </c>
      <c r="F174" s="1231" t="s">
        <v>965</v>
      </c>
      <c r="G174" s="1662"/>
      <c r="H174" s="1682">
        <f t="shared" si="23"/>
        <v>777.8</v>
      </c>
      <c r="I174" s="529">
        <f t="shared" si="23"/>
        <v>0</v>
      </c>
      <c r="J174" s="269">
        <f t="shared" si="23"/>
        <v>0</v>
      </c>
      <c r="N174" s="1200">
        <f t="shared" si="24"/>
        <v>777.8</v>
      </c>
      <c r="U174" s="1682">
        <f t="shared" si="25"/>
        <v>777.8</v>
      </c>
    </row>
    <row r="175" spans="1:21" ht="21" x14ac:dyDescent="0.25">
      <c r="A175" s="1229"/>
      <c r="B175" s="1182" t="s">
        <v>454</v>
      </c>
      <c r="C175" s="1217"/>
      <c r="D175" s="1217" t="s">
        <v>452</v>
      </c>
      <c r="E175" s="1217" t="s">
        <v>539</v>
      </c>
      <c r="F175" s="1231" t="s">
        <v>965</v>
      </c>
      <c r="G175" s="1662" t="s">
        <v>1</v>
      </c>
      <c r="H175" s="1682">
        <f>388.9+388.9</f>
        <v>777.8</v>
      </c>
      <c r="I175" s="529"/>
      <c r="J175" s="269"/>
      <c r="K175" s="1">
        <v>388.9</v>
      </c>
      <c r="N175" s="1200">
        <v>777.8</v>
      </c>
      <c r="U175" s="1682">
        <v>777.8</v>
      </c>
    </row>
    <row r="176" spans="1:21" x14ac:dyDescent="0.25">
      <c r="A176" s="1229"/>
      <c r="B176" s="1225" t="s">
        <v>51</v>
      </c>
      <c r="C176" s="1227"/>
      <c r="D176" s="1227" t="s">
        <v>452</v>
      </c>
      <c r="E176" s="1227" t="s">
        <v>534</v>
      </c>
      <c r="F176" s="1227"/>
      <c r="G176" s="1665"/>
      <c r="H176" s="1684">
        <f>H177+H181</f>
        <v>1830</v>
      </c>
      <c r="I176" s="853">
        <f>I177+I181</f>
        <v>315</v>
      </c>
      <c r="J176" s="400">
        <f>J177+J181</f>
        <v>320</v>
      </c>
      <c r="N176" s="1228">
        <f>N177+N181</f>
        <v>1888.5</v>
      </c>
      <c r="U176" s="1684">
        <f>U177+U181</f>
        <v>1840.8</v>
      </c>
    </row>
    <row r="177" spans="1:21" ht="31.5" x14ac:dyDescent="0.25">
      <c r="A177" s="1179"/>
      <c r="B177" s="1205" t="s">
        <v>907</v>
      </c>
      <c r="C177" s="409"/>
      <c r="D177" s="409" t="s">
        <v>452</v>
      </c>
      <c r="E177" s="409" t="s">
        <v>534</v>
      </c>
      <c r="F177" s="409" t="s">
        <v>292</v>
      </c>
      <c r="G177" s="1662"/>
      <c r="H177" s="1682">
        <f t="shared" ref="H177:J179" si="26">H178</f>
        <v>330</v>
      </c>
      <c r="I177" s="529">
        <f t="shared" si="26"/>
        <v>315</v>
      </c>
      <c r="J177" s="270">
        <f t="shared" si="26"/>
        <v>320</v>
      </c>
      <c r="K177" s="1439">
        <f>330</f>
        <v>330</v>
      </c>
      <c r="N177" s="1200">
        <f t="shared" ref="N177:N179" si="27">N178</f>
        <v>330</v>
      </c>
      <c r="U177" s="1682">
        <f t="shared" ref="U177:U179" si="28">U178</f>
        <v>350</v>
      </c>
    </row>
    <row r="178" spans="1:21" ht="31.5" x14ac:dyDescent="0.25">
      <c r="A178" s="1179"/>
      <c r="B178" s="1197" t="s">
        <v>289</v>
      </c>
      <c r="C178" s="409"/>
      <c r="D178" s="409" t="s">
        <v>452</v>
      </c>
      <c r="E178" s="409" t="s">
        <v>534</v>
      </c>
      <c r="F178" s="409" t="s">
        <v>286</v>
      </c>
      <c r="G178" s="1662"/>
      <c r="H178" s="1682">
        <f t="shared" si="26"/>
        <v>330</v>
      </c>
      <c r="I178" s="529">
        <f t="shared" si="26"/>
        <v>315</v>
      </c>
      <c r="J178" s="270">
        <f t="shared" si="26"/>
        <v>320</v>
      </c>
      <c r="N178" s="1200">
        <f t="shared" si="27"/>
        <v>330</v>
      </c>
      <c r="U178" s="1682">
        <f t="shared" si="28"/>
        <v>350</v>
      </c>
    </row>
    <row r="179" spans="1:21" ht="21" x14ac:dyDescent="0.25">
      <c r="A179" s="1179"/>
      <c r="B179" s="1232" t="s">
        <v>287</v>
      </c>
      <c r="C179" s="1217"/>
      <c r="D179" s="1217" t="s">
        <v>452</v>
      </c>
      <c r="E179" s="1217" t="s">
        <v>534</v>
      </c>
      <c r="F179" s="1217" t="s">
        <v>275</v>
      </c>
      <c r="G179" s="1664"/>
      <c r="H179" s="1682">
        <f t="shared" si="26"/>
        <v>330</v>
      </c>
      <c r="I179" s="529">
        <f t="shared" si="26"/>
        <v>315</v>
      </c>
      <c r="J179" s="270">
        <f t="shared" si="26"/>
        <v>320</v>
      </c>
      <c r="N179" s="1200">
        <f t="shared" si="27"/>
        <v>330</v>
      </c>
      <c r="U179" s="1682">
        <f t="shared" si="28"/>
        <v>350</v>
      </c>
    </row>
    <row r="180" spans="1:21" ht="21" x14ac:dyDescent="0.25">
      <c r="A180" s="1179"/>
      <c r="B180" s="1182" t="s">
        <v>454</v>
      </c>
      <c r="C180" s="1217"/>
      <c r="D180" s="1217" t="s">
        <v>452</v>
      </c>
      <c r="E180" s="1217" t="s">
        <v>534</v>
      </c>
      <c r="F180" s="1217" t="s">
        <v>275</v>
      </c>
      <c r="G180" s="1662" t="s">
        <v>1</v>
      </c>
      <c r="H180" s="1682">
        <v>330</v>
      </c>
      <c r="I180" s="529">
        <v>315</v>
      </c>
      <c r="J180" s="269">
        <v>320</v>
      </c>
      <c r="K180" s="1">
        <v>330</v>
      </c>
      <c r="N180" s="1200">
        <v>330</v>
      </c>
      <c r="U180" s="1682">
        <v>350</v>
      </c>
    </row>
    <row r="181" spans="1:21" ht="21" x14ac:dyDescent="0.25">
      <c r="A181" s="1233"/>
      <c r="B181" s="753" t="s">
        <v>499</v>
      </c>
      <c r="C181" s="1180"/>
      <c r="D181" s="409" t="s">
        <v>452</v>
      </c>
      <c r="E181" s="409" t="s">
        <v>534</v>
      </c>
      <c r="F181" s="409" t="s">
        <v>89</v>
      </c>
      <c r="G181" s="1662"/>
      <c r="H181" s="1682">
        <f>H182</f>
        <v>1500</v>
      </c>
      <c r="I181" s="529">
        <f t="shared" ref="H181:J182" si="29">I182</f>
        <v>0</v>
      </c>
      <c r="J181" s="270">
        <f t="shared" si="29"/>
        <v>0</v>
      </c>
      <c r="N181" s="1200">
        <f>N182</f>
        <v>1558.5</v>
      </c>
      <c r="U181" s="1682">
        <f>U182</f>
        <v>1490.8</v>
      </c>
    </row>
    <row r="182" spans="1:21" x14ac:dyDescent="0.25">
      <c r="A182" s="1179"/>
      <c r="B182" s="753" t="s">
        <v>109</v>
      </c>
      <c r="C182" s="1180"/>
      <c r="D182" s="409" t="s">
        <v>452</v>
      </c>
      <c r="E182" s="409" t="s">
        <v>534</v>
      </c>
      <c r="F182" s="409" t="s">
        <v>84</v>
      </c>
      <c r="G182" s="1662"/>
      <c r="H182" s="1682">
        <f t="shared" si="29"/>
        <v>1500</v>
      </c>
      <c r="I182" s="529">
        <f t="shared" si="29"/>
        <v>0</v>
      </c>
      <c r="J182" s="270">
        <f t="shared" si="29"/>
        <v>0</v>
      </c>
      <c r="N182" s="1200">
        <f t="shared" ref="N182" si="30">N183</f>
        <v>1558.5</v>
      </c>
      <c r="U182" s="1682">
        <f t="shared" ref="U182" si="31">U183</f>
        <v>1490.8</v>
      </c>
    </row>
    <row r="183" spans="1:21" x14ac:dyDescent="0.25">
      <c r="A183" s="1179"/>
      <c r="B183" s="753" t="s">
        <v>109</v>
      </c>
      <c r="C183" s="1180"/>
      <c r="D183" s="409" t="s">
        <v>452</v>
      </c>
      <c r="E183" s="409" t="s">
        <v>534</v>
      </c>
      <c r="F183" s="409" t="s">
        <v>82</v>
      </c>
      <c r="G183" s="1662"/>
      <c r="H183" s="1682">
        <f>H184+H186+H189+H190</f>
        <v>1500</v>
      </c>
      <c r="I183" s="529">
        <f>I184+I186+I189</f>
        <v>0</v>
      </c>
      <c r="J183" s="270">
        <f>J184+J186+J189</f>
        <v>0</v>
      </c>
      <c r="K183" s="1439">
        <f>K185+K187+K189</f>
        <v>1500</v>
      </c>
      <c r="N183" s="1200">
        <f>N184+N186+N189+N190</f>
        <v>1558.5</v>
      </c>
      <c r="U183" s="1682">
        <f>U184+U186+U189+U190</f>
        <v>1490.8</v>
      </c>
    </row>
    <row r="184" spans="1:21" x14ac:dyDescent="0.25">
      <c r="A184" s="842"/>
      <c r="B184" s="753" t="s">
        <v>537</v>
      </c>
      <c r="C184" s="409"/>
      <c r="D184" s="409" t="s">
        <v>452</v>
      </c>
      <c r="E184" s="409" t="s">
        <v>534</v>
      </c>
      <c r="F184" s="409" t="s">
        <v>536</v>
      </c>
      <c r="G184" s="1662"/>
      <c r="H184" s="1682">
        <f>H185</f>
        <v>500</v>
      </c>
      <c r="I184" s="529">
        <f>I185</f>
        <v>0</v>
      </c>
      <c r="J184" s="270">
        <f>J185</f>
        <v>0</v>
      </c>
      <c r="N184" s="1200">
        <f>N185</f>
        <v>1054.5</v>
      </c>
      <c r="U184" s="1682">
        <f>U185</f>
        <v>586.79999999999995</v>
      </c>
    </row>
    <row r="185" spans="1:21" ht="21" x14ac:dyDescent="0.25">
      <c r="A185" s="1229"/>
      <c r="B185" s="1182" t="s">
        <v>454</v>
      </c>
      <c r="C185" s="1217"/>
      <c r="D185" s="1217" t="s">
        <v>452</v>
      </c>
      <c r="E185" s="1217" t="s">
        <v>534</v>
      </c>
      <c r="F185" s="1217" t="s">
        <v>536</v>
      </c>
      <c r="G185" s="1662" t="s">
        <v>1</v>
      </c>
      <c r="H185" s="1682">
        <v>500</v>
      </c>
      <c r="I185" s="529"/>
      <c r="J185" s="270"/>
      <c r="K185" s="1031">
        <v>500</v>
      </c>
      <c r="N185" s="1200">
        <v>1054.5</v>
      </c>
      <c r="U185" s="1682">
        <v>586.79999999999995</v>
      </c>
    </row>
    <row r="186" spans="1:21" x14ac:dyDescent="0.25">
      <c r="A186" s="842"/>
      <c r="B186" s="753" t="s">
        <v>535</v>
      </c>
      <c r="C186" s="409"/>
      <c r="D186" s="409" t="s">
        <v>452</v>
      </c>
      <c r="E186" s="409" t="s">
        <v>534</v>
      </c>
      <c r="F186" s="409" t="s">
        <v>54</v>
      </c>
      <c r="G186" s="1662"/>
      <c r="H186" s="1682">
        <f>H187</f>
        <v>94.8</v>
      </c>
      <c r="I186" s="529">
        <f>I187</f>
        <v>0</v>
      </c>
      <c r="J186" s="270">
        <f>J187</f>
        <v>0</v>
      </c>
      <c r="N186" s="1200"/>
      <c r="U186" s="1682"/>
    </row>
    <row r="187" spans="1:21" ht="21" x14ac:dyDescent="0.25">
      <c r="A187" s="1234"/>
      <c r="B187" s="1182" t="s">
        <v>454</v>
      </c>
      <c r="C187" s="1217"/>
      <c r="D187" s="1217" t="s">
        <v>452</v>
      </c>
      <c r="E187" s="1217" t="s">
        <v>534</v>
      </c>
      <c r="F187" s="1217" t="s">
        <v>54</v>
      </c>
      <c r="G187" s="1662" t="s">
        <v>1</v>
      </c>
      <c r="H187" s="1682">
        <v>94.8</v>
      </c>
      <c r="I187" s="529"/>
      <c r="J187" s="269"/>
      <c r="K187" s="1">
        <v>94.8</v>
      </c>
      <c r="N187" s="1200"/>
      <c r="U187" s="1682"/>
    </row>
    <row r="188" spans="1:21" x14ac:dyDescent="0.25">
      <c r="A188" s="1234"/>
      <c r="B188" s="753" t="s">
        <v>53</v>
      </c>
      <c r="C188" s="409"/>
      <c r="D188" s="409" t="s">
        <v>452</v>
      </c>
      <c r="E188" s="409" t="s">
        <v>534</v>
      </c>
      <c r="F188" s="409" t="s">
        <v>50</v>
      </c>
      <c r="G188" s="1662"/>
      <c r="H188" s="1682">
        <f>H189+H190</f>
        <v>905.2</v>
      </c>
      <c r="I188" s="529">
        <f>I189</f>
        <v>0</v>
      </c>
      <c r="J188" s="269">
        <f>J189</f>
        <v>0</v>
      </c>
      <c r="N188" s="1200">
        <f>N189+N190</f>
        <v>504</v>
      </c>
      <c r="U188" s="1682">
        <f>U189+U190</f>
        <v>904</v>
      </c>
    </row>
    <row r="189" spans="1:21" ht="21" x14ac:dyDescent="0.25">
      <c r="A189" s="1234"/>
      <c r="B189" s="1182" t="s">
        <v>454</v>
      </c>
      <c r="C189" s="1217"/>
      <c r="D189" s="1217" t="s">
        <v>452</v>
      </c>
      <c r="E189" s="1217" t="s">
        <v>534</v>
      </c>
      <c r="F189" s="1217" t="s">
        <v>50</v>
      </c>
      <c r="G189" s="1662" t="s">
        <v>1</v>
      </c>
      <c r="H189" s="1682">
        <v>905.2</v>
      </c>
      <c r="I189" s="529"/>
      <c r="J189" s="269"/>
      <c r="K189" s="1031">
        <v>905.2</v>
      </c>
      <c r="N189" s="1200">
        <v>504</v>
      </c>
      <c r="U189" s="1682">
        <v>904</v>
      </c>
    </row>
    <row r="190" spans="1:21" hidden="1" x14ac:dyDescent="0.25">
      <c r="A190" s="1234"/>
      <c r="B190" s="1182" t="s">
        <v>622</v>
      </c>
      <c r="C190" s="1217"/>
      <c r="D190" s="1217"/>
      <c r="E190" s="1217"/>
      <c r="F190" s="1217"/>
      <c r="G190" s="1662"/>
      <c r="H190" s="1682"/>
      <c r="I190" s="529"/>
      <c r="J190" s="404"/>
      <c r="N190" s="1200"/>
      <c r="U190" s="1682"/>
    </row>
    <row r="191" spans="1:21" x14ac:dyDescent="0.25">
      <c r="A191" s="1234"/>
      <c r="B191" s="1225" t="s">
        <v>378</v>
      </c>
      <c r="C191" s="1226"/>
      <c r="D191" s="1227" t="s">
        <v>463</v>
      </c>
      <c r="E191" s="1227" t="s">
        <v>459</v>
      </c>
      <c r="F191" s="1227"/>
      <c r="G191" s="1665"/>
      <c r="H191" s="1684">
        <f>H192+H212+H240</f>
        <v>43862.42</v>
      </c>
      <c r="I191" s="853">
        <f>I192+I212+I240</f>
        <v>40536.79</v>
      </c>
      <c r="J191" s="400">
        <f>J192+J212+J240</f>
        <v>40253.18</v>
      </c>
      <c r="N191" s="1228">
        <f>N192+N212+N240</f>
        <v>43860.957999999999</v>
      </c>
      <c r="U191" s="1684">
        <f>U192+U212+U240</f>
        <v>44010.890000000007</v>
      </c>
    </row>
    <row r="192" spans="1:21" x14ac:dyDescent="0.25">
      <c r="A192" s="1229"/>
      <c r="B192" s="1225" t="s">
        <v>11</v>
      </c>
      <c r="C192" s="1227"/>
      <c r="D192" s="1227" t="s">
        <v>463</v>
      </c>
      <c r="E192" s="1227" t="s">
        <v>456</v>
      </c>
      <c r="F192" s="1227"/>
      <c r="G192" s="1665"/>
      <c r="H192" s="1684">
        <f>H202+H193</f>
        <v>1133.2170000000001</v>
      </c>
      <c r="I192" s="853">
        <f>I202</f>
        <v>799.11500000000001</v>
      </c>
      <c r="J192" s="400">
        <f>J202</f>
        <v>895.01</v>
      </c>
      <c r="N192" s="1228">
        <f>N202+N193</f>
        <v>947.01</v>
      </c>
      <c r="U192" s="1684">
        <f>U202+U193</f>
        <v>947.01</v>
      </c>
    </row>
    <row r="193" spans="1:21" ht="31.5" x14ac:dyDescent="0.25">
      <c r="A193" s="1229"/>
      <c r="B193" s="931" t="s">
        <v>861</v>
      </c>
      <c r="C193" s="1177"/>
      <c r="D193" s="408" t="s">
        <v>463</v>
      </c>
      <c r="E193" s="408" t="s">
        <v>456</v>
      </c>
      <c r="F193" s="408" t="s">
        <v>468</v>
      </c>
      <c r="G193" s="1661"/>
      <c r="H193" s="1683">
        <f>H194+H198</f>
        <v>186.20699999999999</v>
      </c>
      <c r="I193" s="853"/>
      <c r="J193" s="400"/>
      <c r="N193" s="1208"/>
      <c r="U193" s="1683"/>
    </row>
    <row r="194" spans="1:21" x14ac:dyDescent="0.25">
      <c r="A194" s="1229"/>
      <c r="B194" s="1203" t="s">
        <v>849</v>
      </c>
      <c r="C194" s="1180"/>
      <c r="D194" s="409" t="s">
        <v>463</v>
      </c>
      <c r="E194" s="409" t="s">
        <v>456</v>
      </c>
      <c r="F194" s="409" t="s">
        <v>854</v>
      </c>
      <c r="G194" s="1662"/>
      <c r="H194" s="1682">
        <f>H195</f>
        <v>130.441</v>
      </c>
      <c r="I194" s="853"/>
      <c r="J194" s="400"/>
      <c r="K194" s="1439">
        <v>186.20699999999999</v>
      </c>
      <c r="N194" s="1200"/>
      <c r="U194" s="1682"/>
    </row>
    <row r="195" spans="1:21" x14ac:dyDescent="0.25">
      <c r="A195" s="1229"/>
      <c r="B195" s="1203" t="s">
        <v>850</v>
      </c>
      <c r="C195" s="1180"/>
      <c r="D195" s="409" t="s">
        <v>463</v>
      </c>
      <c r="E195" s="409" t="s">
        <v>456</v>
      </c>
      <c r="F195" s="409" t="s">
        <v>855</v>
      </c>
      <c r="G195" s="1662"/>
      <c r="H195" s="1682">
        <f>H196</f>
        <v>130.441</v>
      </c>
      <c r="I195" s="853"/>
      <c r="J195" s="400"/>
      <c r="N195" s="1200"/>
      <c r="U195" s="1682"/>
    </row>
    <row r="196" spans="1:21" ht="31.5" x14ac:dyDescent="0.25">
      <c r="A196" s="1229"/>
      <c r="B196" s="1232" t="s">
        <v>851</v>
      </c>
      <c r="C196" s="1180"/>
      <c r="D196" s="409" t="s">
        <v>463</v>
      </c>
      <c r="E196" s="409" t="s">
        <v>456</v>
      </c>
      <c r="F196" s="1235" t="s">
        <v>856</v>
      </c>
      <c r="G196" s="1662"/>
      <c r="H196" s="1682">
        <f>H197</f>
        <v>130.441</v>
      </c>
      <c r="I196" s="853"/>
      <c r="J196" s="400"/>
      <c r="N196" s="1200"/>
      <c r="U196" s="1682"/>
    </row>
    <row r="197" spans="1:21" x14ac:dyDescent="0.25">
      <c r="A197" s="1229"/>
      <c r="B197" s="1236" t="s">
        <v>497</v>
      </c>
      <c r="C197" s="1183"/>
      <c r="D197" s="409" t="s">
        <v>463</v>
      </c>
      <c r="E197" s="409" t="s">
        <v>456</v>
      </c>
      <c r="F197" s="1235" t="s">
        <v>856</v>
      </c>
      <c r="G197" s="1662" t="s">
        <v>77</v>
      </c>
      <c r="H197" s="1685">
        <v>130.441</v>
      </c>
      <c r="I197" s="853"/>
      <c r="J197" s="400"/>
      <c r="K197" s="1">
        <v>130.441</v>
      </c>
      <c r="N197" s="1237"/>
      <c r="U197" s="1685"/>
    </row>
    <row r="198" spans="1:21" ht="21" x14ac:dyDescent="0.25">
      <c r="A198" s="1229"/>
      <c r="B198" s="1203" t="s">
        <v>853</v>
      </c>
      <c r="C198" s="1183"/>
      <c r="D198" s="409" t="s">
        <v>463</v>
      </c>
      <c r="E198" s="409" t="s">
        <v>456</v>
      </c>
      <c r="F198" s="1235" t="s">
        <v>857</v>
      </c>
      <c r="G198" s="1662"/>
      <c r="H198" s="1685">
        <f>H199</f>
        <v>55.765999999999998</v>
      </c>
      <c r="I198" s="853"/>
      <c r="J198" s="400"/>
      <c r="N198" s="1237"/>
      <c r="U198" s="1685"/>
    </row>
    <row r="199" spans="1:21" x14ac:dyDescent="0.25">
      <c r="A199" s="1229"/>
      <c r="B199" s="1203" t="s">
        <v>850</v>
      </c>
      <c r="C199" s="1183"/>
      <c r="D199" s="409" t="s">
        <v>463</v>
      </c>
      <c r="E199" s="409" t="s">
        <v>456</v>
      </c>
      <c r="F199" s="409" t="s">
        <v>858</v>
      </c>
      <c r="G199" s="1662"/>
      <c r="H199" s="1685">
        <f>H200</f>
        <v>55.765999999999998</v>
      </c>
      <c r="I199" s="853"/>
      <c r="J199" s="400"/>
      <c r="N199" s="1237"/>
      <c r="U199" s="1685"/>
    </row>
    <row r="200" spans="1:21" ht="31.5" x14ac:dyDescent="0.25">
      <c r="A200" s="1229"/>
      <c r="B200" s="1203" t="s">
        <v>851</v>
      </c>
      <c r="C200" s="1183"/>
      <c r="D200" s="409" t="s">
        <v>463</v>
      </c>
      <c r="E200" s="409" t="s">
        <v>456</v>
      </c>
      <c r="F200" s="1235" t="s">
        <v>859</v>
      </c>
      <c r="G200" s="1662"/>
      <c r="H200" s="1685">
        <f>H201</f>
        <v>55.765999999999998</v>
      </c>
      <c r="I200" s="853"/>
      <c r="J200" s="400"/>
      <c r="N200" s="1237"/>
      <c r="U200" s="1685"/>
    </row>
    <row r="201" spans="1:21" x14ac:dyDescent="0.25">
      <c r="A201" s="1229"/>
      <c r="B201" s="1236" t="s">
        <v>497</v>
      </c>
      <c r="C201" s="1183"/>
      <c r="D201" s="409" t="s">
        <v>463</v>
      </c>
      <c r="E201" s="409" t="s">
        <v>456</v>
      </c>
      <c r="F201" s="1235" t="s">
        <v>859</v>
      </c>
      <c r="G201" s="1662" t="s">
        <v>77</v>
      </c>
      <c r="H201" s="1685">
        <v>55.765999999999998</v>
      </c>
      <c r="I201" s="853"/>
      <c r="J201" s="400"/>
      <c r="K201" s="1">
        <v>55.765999999999998</v>
      </c>
      <c r="N201" s="1237"/>
      <c r="U201" s="1685"/>
    </row>
    <row r="202" spans="1:21" ht="22.5" customHeight="1" x14ac:dyDescent="0.25">
      <c r="A202" s="1233"/>
      <c r="B202" s="753" t="s">
        <v>499</v>
      </c>
      <c r="C202" s="1180"/>
      <c r="D202" s="409" t="s">
        <v>463</v>
      </c>
      <c r="E202" s="409" t="s">
        <v>456</v>
      </c>
      <c r="F202" s="409" t="s">
        <v>89</v>
      </c>
      <c r="G202" s="1662"/>
      <c r="H202" s="1682">
        <f t="shared" ref="H202:J203" si="32">H203</f>
        <v>947.01</v>
      </c>
      <c r="I202" s="529">
        <f t="shared" si="32"/>
        <v>799.11500000000001</v>
      </c>
      <c r="J202" s="270">
        <f t="shared" si="32"/>
        <v>895.01</v>
      </c>
      <c r="N202" s="1200">
        <f t="shared" ref="N202:N203" si="33">N203</f>
        <v>947.01</v>
      </c>
      <c r="U202" s="1682">
        <f t="shared" ref="U202:U203" si="34">U203</f>
        <v>947.01</v>
      </c>
    </row>
    <row r="203" spans="1:21" x14ac:dyDescent="0.25">
      <c r="A203" s="1179"/>
      <c r="B203" s="753" t="s">
        <v>109</v>
      </c>
      <c r="C203" s="1180"/>
      <c r="D203" s="409" t="s">
        <v>463</v>
      </c>
      <c r="E203" s="409" t="s">
        <v>456</v>
      </c>
      <c r="F203" s="409" t="s">
        <v>84</v>
      </c>
      <c r="G203" s="1662"/>
      <c r="H203" s="1682">
        <f t="shared" si="32"/>
        <v>947.01</v>
      </c>
      <c r="I203" s="529">
        <f t="shared" si="32"/>
        <v>799.11500000000001</v>
      </c>
      <c r="J203" s="270">
        <f t="shared" si="32"/>
        <v>895.01</v>
      </c>
      <c r="N203" s="1200">
        <f t="shared" si="33"/>
        <v>947.01</v>
      </c>
      <c r="U203" s="1682">
        <f t="shared" si="34"/>
        <v>947.01</v>
      </c>
    </row>
    <row r="204" spans="1:21" x14ac:dyDescent="0.25">
      <c r="A204" s="1179"/>
      <c r="B204" s="753" t="s">
        <v>109</v>
      </c>
      <c r="C204" s="1180"/>
      <c r="D204" s="409" t="s">
        <v>463</v>
      </c>
      <c r="E204" s="409" t="s">
        <v>456</v>
      </c>
      <c r="F204" s="409" t="s">
        <v>82</v>
      </c>
      <c r="G204" s="1662"/>
      <c r="H204" s="1682">
        <f>H205+H207+H209</f>
        <v>947.01</v>
      </c>
      <c r="I204" s="529">
        <f>I205+I207+I209</f>
        <v>799.11500000000001</v>
      </c>
      <c r="J204" s="270">
        <f>J205+J207+J209</f>
        <v>895.01</v>
      </c>
      <c r="N204" s="1200">
        <f>N205+N207+N209</f>
        <v>947.01</v>
      </c>
      <c r="U204" s="1682">
        <f>U205+U207+U209</f>
        <v>947.01</v>
      </c>
    </row>
    <row r="205" spans="1:21" hidden="1" x14ac:dyDescent="0.25">
      <c r="A205" s="842"/>
      <c r="B205" s="753" t="s">
        <v>533</v>
      </c>
      <c r="C205" s="409"/>
      <c r="D205" s="409" t="s">
        <v>463</v>
      </c>
      <c r="E205" s="409" t="s">
        <v>456</v>
      </c>
      <c r="F205" s="409" t="s">
        <v>30</v>
      </c>
      <c r="G205" s="1662"/>
      <c r="H205" s="1682">
        <f>H206</f>
        <v>0</v>
      </c>
      <c r="I205" s="529">
        <f>I206</f>
        <v>0</v>
      </c>
      <c r="J205" s="270">
        <f>J206</f>
        <v>0</v>
      </c>
      <c r="N205" s="1200">
        <f>N206</f>
        <v>0</v>
      </c>
      <c r="U205" s="1682">
        <f>U206</f>
        <v>0</v>
      </c>
    </row>
    <row r="206" spans="1:21" ht="21" hidden="1" x14ac:dyDescent="0.25">
      <c r="A206" s="1229"/>
      <c r="B206" s="1182" t="s">
        <v>454</v>
      </c>
      <c r="C206" s="409"/>
      <c r="D206" s="1217" t="s">
        <v>463</v>
      </c>
      <c r="E206" s="1217" t="s">
        <v>456</v>
      </c>
      <c r="F206" s="409" t="s">
        <v>30</v>
      </c>
      <c r="G206" s="1662" t="s">
        <v>1</v>
      </c>
      <c r="H206" s="1682">
        <v>0</v>
      </c>
      <c r="I206" s="529"/>
      <c r="J206" s="269"/>
      <c r="N206" s="1200">
        <v>0</v>
      </c>
      <c r="U206" s="1682">
        <v>0</v>
      </c>
    </row>
    <row r="207" spans="1:21" hidden="1" x14ac:dyDescent="0.25">
      <c r="A207" s="842"/>
      <c r="B207" s="753" t="s">
        <v>532</v>
      </c>
      <c r="C207" s="409"/>
      <c r="D207" s="409" t="s">
        <v>463</v>
      </c>
      <c r="E207" s="409" t="s">
        <v>456</v>
      </c>
      <c r="F207" s="409" t="s">
        <v>531</v>
      </c>
      <c r="G207" s="1662"/>
      <c r="H207" s="1682">
        <f>H208</f>
        <v>0</v>
      </c>
      <c r="I207" s="529">
        <f>I208</f>
        <v>0</v>
      </c>
      <c r="J207" s="269">
        <f>J208</f>
        <v>0</v>
      </c>
      <c r="N207" s="1200">
        <f>N208</f>
        <v>0</v>
      </c>
      <c r="U207" s="1682">
        <f>U208</f>
        <v>0</v>
      </c>
    </row>
    <row r="208" spans="1:21" ht="21" hidden="1" x14ac:dyDescent="0.25">
      <c r="A208" s="1229"/>
      <c r="B208" s="1182" t="s">
        <v>454</v>
      </c>
      <c r="C208" s="409"/>
      <c r="D208" s="1217" t="s">
        <v>463</v>
      </c>
      <c r="E208" s="1217" t="s">
        <v>456</v>
      </c>
      <c r="F208" s="1217" t="s">
        <v>531</v>
      </c>
      <c r="G208" s="1662" t="s">
        <v>1</v>
      </c>
      <c r="H208" s="1682"/>
      <c r="I208" s="529"/>
      <c r="J208" s="269"/>
      <c r="N208" s="1200"/>
      <c r="U208" s="1682"/>
    </row>
    <row r="209" spans="1:21" x14ac:dyDescent="0.25">
      <c r="A209" s="842"/>
      <c r="B209" s="753" t="s">
        <v>12</v>
      </c>
      <c r="C209" s="409"/>
      <c r="D209" s="409" t="s">
        <v>463</v>
      </c>
      <c r="E209" s="409" t="s">
        <v>456</v>
      </c>
      <c r="F209" s="409" t="s">
        <v>10</v>
      </c>
      <c r="G209" s="1662"/>
      <c r="H209" s="1682">
        <f>H210</f>
        <v>947.01</v>
      </c>
      <c r="I209" s="529">
        <f>I210</f>
        <v>799.11500000000001</v>
      </c>
      <c r="J209" s="269">
        <f>J210</f>
        <v>895.01</v>
      </c>
      <c r="N209" s="1200">
        <f>N210</f>
        <v>947.01</v>
      </c>
      <c r="U209" s="1682">
        <f>U210</f>
        <v>947.01</v>
      </c>
    </row>
    <row r="210" spans="1:21" ht="21" x14ac:dyDescent="0.25">
      <c r="A210" s="1229"/>
      <c r="B210" s="1182" t="s">
        <v>454</v>
      </c>
      <c r="C210" s="409"/>
      <c r="D210" s="1217" t="s">
        <v>463</v>
      </c>
      <c r="E210" s="1217" t="s">
        <v>456</v>
      </c>
      <c r="F210" s="1217" t="s">
        <v>10</v>
      </c>
      <c r="G210" s="1662" t="s">
        <v>1</v>
      </c>
      <c r="H210" s="1682">
        <v>947.01</v>
      </c>
      <c r="I210" s="529">
        <v>799.11500000000001</v>
      </c>
      <c r="J210" s="269">
        <v>895.01</v>
      </c>
      <c r="K210" s="1439">
        <v>947.01</v>
      </c>
      <c r="N210" s="1200">
        <v>947.01</v>
      </c>
      <c r="U210" s="1682">
        <v>947.01</v>
      </c>
    </row>
    <row r="211" spans="1:21" hidden="1" x14ac:dyDescent="0.25">
      <c r="A211" s="1179"/>
      <c r="B211" s="1184" t="s">
        <v>45</v>
      </c>
      <c r="C211" s="1177"/>
      <c r="D211" s="408" t="s">
        <v>496</v>
      </c>
      <c r="E211" s="408" t="s">
        <v>495</v>
      </c>
      <c r="F211" s="408"/>
      <c r="G211" s="1661"/>
      <c r="H211" s="1683" t="e">
        <f>#REF!</f>
        <v>#REF!</v>
      </c>
      <c r="I211" s="529"/>
      <c r="J211" s="404"/>
      <c r="N211" s="1208" t="e">
        <f>#REF!</f>
        <v>#REF!</v>
      </c>
      <c r="U211" s="1683" t="e">
        <f>#REF!</f>
        <v>#REF!</v>
      </c>
    </row>
    <row r="212" spans="1:21" x14ac:dyDescent="0.25">
      <c r="A212" s="1234"/>
      <c r="B212" s="1225" t="s">
        <v>530</v>
      </c>
      <c r="C212" s="1227"/>
      <c r="D212" s="1227" t="s">
        <v>463</v>
      </c>
      <c r="E212" s="1227" t="s">
        <v>488</v>
      </c>
      <c r="F212" s="1227"/>
      <c r="G212" s="1665"/>
      <c r="H212" s="1684">
        <f>H213+H217+H225+H230</f>
        <v>10500.703</v>
      </c>
      <c r="I212" s="853">
        <f>I213+I217+I225</f>
        <v>3718.8</v>
      </c>
      <c r="J212" s="400">
        <f>J213+J217+J225</f>
        <v>4854</v>
      </c>
      <c r="N212" s="1228">
        <f>N213+N217+N225+N230</f>
        <v>8590.3080000000009</v>
      </c>
      <c r="U212" s="1684">
        <f>U213+U217+U225+U230</f>
        <v>6975.5</v>
      </c>
    </row>
    <row r="213" spans="1:21" ht="21" x14ac:dyDescent="0.25">
      <c r="A213" s="1234"/>
      <c r="B213" s="1238" t="s">
        <v>884</v>
      </c>
      <c r="C213" s="409"/>
      <c r="D213" s="409" t="s">
        <v>463</v>
      </c>
      <c r="E213" s="409" t="s">
        <v>488</v>
      </c>
      <c r="F213" s="409" t="s">
        <v>196</v>
      </c>
      <c r="G213" s="1662"/>
      <c r="H213" s="1682">
        <f t="shared" ref="H213:J215" si="35">H214</f>
        <v>3500.703</v>
      </c>
      <c r="I213" s="529">
        <f t="shared" si="35"/>
        <v>48</v>
      </c>
      <c r="J213" s="270">
        <f t="shared" si="35"/>
        <v>816.12</v>
      </c>
      <c r="K213" s="1439">
        <f>K216</f>
        <v>3500.703</v>
      </c>
      <c r="N213" s="1200">
        <f t="shared" ref="N213:N215" si="36">N214</f>
        <v>4981.808</v>
      </c>
      <c r="U213" s="1682">
        <f t="shared" ref="U213:U215" si="37">U214</f>
        <v>3700</v>
      </c>
    </row>
    <row r="214" spans="1:21" x14ac:dyDescent="0.25">
      <c r="A214" s="1234"/>
      <c r="B214" s="1203" t="s">
        <v>195</v>
      </c>
      <c r="C214" s="409"/>
      <c r="D214" s="1217" t="s">
        <v>463</v>
      </c>
      <c r="E214" s="1217" t="s">
        <v>488</v>
      </c>
      <c r="F214" s="409" t="s">
        <v>194</v>
      </c>
      <c r="G214" s="1662"/>
      <c r="H214" s="1682">
        <f t="shared" si="35"/>
        <v>3500.703</v>
      </c>
      <c r="I214" s="529">
        <f t="shared" si="35"/>
        <v>48</v>
      </c>
      <c r="J214" s="270">
        <f t="shared" si="35"/>
        <v>816.12</v>
      </c>
      <c r="N214" s="1200">
        <f t="shared" si="36"/>
        <v>4981.808</v>
      </c>
      <c r="U214" s="1682">
        <f t="shared" si="37"/>
        <v>3700</v>
      </c>
    </row>
    <row r="215" spans="1:21" ht="21" x14ac:dyDescent="0.25">
      <c r="A215" s="1234"/>
      <c r="B215" s="1239" t="s">
        <v>193</v>
      </c>
      <c r="C215" s="1217"/>
      <c r="D215" s="1217" t="s">
        <v>463</v>
      </c>
      <c r="E215" s="1217" t="s">
        <v>488</v>
      </c>
      <c r="F215" s="1217" t="s">
        <v>191</v>
      </c>
      <c r="G215" s="1664"/>
      <c r="H215" s="1682">
        <f t="shared" si="35"/>
        <v>3500.703</v>
      </c>
      <c r="I215" s="529">
        <f t="shared" si="35"/>
        <v>48</v>
      </c>
      <c r="J215" s="270">
        <f t="shared" si="35"/>
        <v>816.12</v>
      </c>
      <c r="N215" s="1200">
        <f t="shared" si="36"/>
        <v>4981.808</v>
      </c>
      <c r="U215" s="1682">
        <f t="shared" si="37"/>
        <v>3700</v>
      </c>
    </row>
    <row r="216" spans="1:21" x14ac:dyDescent="0.25">
      <c r="A216" s="1234"/>
      <c r="B216" s="1182" t="s">
        <v>481</v>
      </c>
      <c r="C216" s="409"/>
      <c r="D216" s="1217" t="s">
        <v>463</v>
      </c>
      <c r="E216" s="1217" t="s">
        <v>488</v>
      </c>
      <c r="F216" s="1217" t="s">
        <v>191</v>
      </c>
      <c r="G216" s="1662" t="s">
        <v>26</v>
      </c>
      <c r="H216" s="1682">
        <v>3500.703</v>
      </c>
      <c r="I216" s="529">
        <v>48</v>
      </c>
      <c r="J216" s="269">
        <v>816.12</v>
      </c>
      <c r="K216" s="1">
        <v>3500.703</v>
      </c>
      <c r="N216" s="1200">
        <v>4981.808</v>
      </c>
      <c r="U216" s="1682">
        <v>3700</v>
      </c>
    </row>
    <row r="217" spans="1:21" ht="45.65" customHeight="1" x14ac:dyDescent="0.25">
      <c r="A217" s="1179"/>
      <c r="B217" s="1203" t="s">
        <v>928</v>
      </c>
      <c r="C217" s="409"/>
      <c r="D217" s="409" t="s">
        <v>463</v>
      </c>
      <c r="E217" s="409" t="s">
        <v>488</v>
      </c>
      <c r="F217" s="409" t="s">
        <v>181</v>
      </c>
      <c r="G217" s="1662"/>
      <c r="H217" s="1682">
        <f>H220+H224</f>
        <v>7000</v>
      </c>
      <c r="I217" s="529">
        <f>I218</f>
        <v>3670.8</v>
      </c>
      <c r="J217" s="270">
        <f>J218</f>
        <v>4037.88</v>
      </c>
      <c r="N217" s="1200">
        <f>N220+N224</f>
        <v>3608.5</v>
      </c>
      <c r="U217" s="1682">
        <f>U220+U224</f>
        <v>3275.5</v>
      </c>
    </row>
    <row r="218" spans="1:21" ht="21" x14ac:dyDescent="0.25">
      <c r="A218" s="1240"/>
      <c r="B218" s="1197" t="s">
        <v>180</v>
      </c>
      <c r="C218" s="1217"/>
      <c r="D218" s="1217" t="s">
        <v>463</v>
      </c>
      <c r="E218" s="1217" t="s">
        <v>488</v>
      </c>
      <c r="F218" s="1217" t="s">
        <v>179</v>
      </c>
      <c r="G218" s="1664"/>
      <c r="H218" s="1682">
        <f>H219</f>
        <v>7000</v>
      </c>
      <c r="I218" s="529">
        <f>I219</f>
        <v>3670.8</v>
      </c>
      <c r="J218" s="270">
        <f>J219</f>
        <v>4037.88</v>
      </c>
      <c r="K218" s="1439">
        <f>K220</f>
        <v>7000</v>
      </c>
      <c r="N218" s="1200">
        <f>N219</f>
        <v>3608.5</v>
      </c>
      <c r="U218" s="1682">
        <f>U219</f>
        <v>3275.5</v>
      </c>
    </row>
    <row r="219" spans="1:21" ht="30" customHeight="1" x14ac:dyDescent="0.25">
      <c r="A219" s="1240"/>
      <c r="B219" s="1197" t="s">
        <v>23</v>
      </c>
      <c r="C219" s="1217"/>
      <c r="D219" s="1217" t="s">
        <v>463</v>
      </c>
      <c r="E219" s="1217" t="s">
        <v>488</v>
      </c>
      <c r="F219" s="1217" t="s">
        <v>178</v>
      </c>
      <c r="G219" s="1664"/>
      <c r="H219" s="1682">
        <f>H220+H221</f>
        <v>7000</v>
      </c>
      <c r="I219" s="529">
        <f>I220+I221</f>
        <v>3670.8</v>
      </c>
      <c r="J219" s="270">
        <f>J220+J221</f>
        <v>4037.88</v>
      </c>
      <c r="N219" s="1200">
        <f>N220+N221</f>
        <v>3608.5</v>
      </c>
      <c r="U219" s="1682">
        <f>U220+U221</f>
        <v>3275.5</v>
      </c>
    </row>
    <row r="220" spans="1:21" x14ac:dyDescent="0.25">
      <c r="A220" s="1229"/>
      <c r="B220" s="1182" t="s">
        <v>481</v>
      </c>
      <c r="C220" s="1217"/>
      <c r="D220" s="1217" t="s">
        <v>463</v>
      </c>
      <c r="E220" s="1217" t="s">
        <v>488</v>
      </c>
      <c r="F220" s="1217" t="s">
        <v>178</v>
      </c>
      <c r="G220" s="1662" t="s">
        <v>26</v>
      </c>
      <c r="H220" s="1682">
        <v>7000</v>
      </c>
      <c r="I220" s="529">
        <v>3670.8</v>
      </c>
      <c r="J220" s="269">
        <v>4037.88</v>
      </c>
      <c r="K220" s="1">
        <v>7000</v>
      </c>
      <c r="N220" s="1200">
        <v>3608.5</v>
      </c>
      <c r="U220" s="1682">
        <v>3275.5</v>
      </c>
    </row>
    <row r="221" spans="1:21" hidden="1" x14ac:dyDescent="0.25">
      <c r="A221" s="1229"/>
      <c r="B221" s="753" t="s">
        <v>528</v>
      </c>
      <c r="C221" s="1217"/>
      <c r="D221" s="1217" t="s">
        <v>463</v>
      </c>
      <c r="E221" s="1217" t="s">
        <v>488</v>
      </c>
      <c r="F221" s="1217" t="s">
        <v>527</v>
      </c>
      <c r="G221" s="1664"/>
      <c r="H221" s="1682">
        <f>H222</f>
        <v>0</v>
      </c>
      <c r="I221" s="529">
        <f>I222</f>
        <v>0</v>
      </c>
      <c r="J221" s="269">
        <f>J222</f>
        <v>0</v>
      </c>
      <c r="N221" s="1200">
        <f>N222</f>
        <v>0</v>
      </c>
      <c r="U221" s="1682">
        <f>U222</f>
        <v>0</v>
      </c>
    </row>
    <row r="222" spans="1:21" ht="21" hidden="1" x14ac:dyDescent="0.25">
      <c r="A222" s="1229"/>
      <c r="B222" s="1182" t="s">
        <v>454</v>
      </c>
      <c r="C222" s="409"/>
      <c r="D222" s="1217" t="s">
        <v>463</v>
      </c>
      <c r="E222" s="1217" t="s">
        <v>488</v>
      </c>
      <c r="F222" s="1217" t="s">
        <v>526</v>
      </c>
      <c r="G222" s="1662" t="s">
        <v>1</v>
      </c>
      <c r="H222" s="1682"/>
      <c r="I222" s="529"/>
      <c r="J222" s="269"/>
      <c r="N222" s="1200"/>
      <c r="U222" s="1682"/>
    </row>
    <row r="223" spans="1:21" hidden="1" x14ac:dyDescent="0.25">
      <c r="A223" s="1229"/>
      <c r="B223" s="1241" t="s">
        <v>40</v>
      </c>
      <c r="C223" s="409"/>
      <c r="D223" s="1217" t="s">
        <v>463</v>
      </c>
      <c r="E223" s="1217" t="s">
        <v>488</v>
      </c>
      <c r="F223" s="1217" t="s">
        <v>177</v>
      </c>
      <c r="G223" s="1662"/>
      <c r="H223" s="1682">
        <f>H224</f>
        <v>0</v>
      </c>
      <c r="I223" s="529"/>
      <c r="J223" s="404"/>
      <c r="N223" s="1200"/>
      <c r="U223" s="1682"/>
    </row>
    <row r="224" spans="1:21" ht="21" hidden="1" x14ac:dyDescent="0.25">
      <c r="A224" s="1229"/>
      <c r="B224" s="1182" t="s">
        <v>454</v>
      </c>
      <c r="C224" s="409"/>
      <c r="D224" s="1217" t="s">
        <v>463</v>
      </c>
      <c r="E224" s="1217" t="s">
        <v>488</v>
      </c>
      <c r="F224" s="1217" t="s">
        <v>177</v>
      </c>
      <c r="G224" s="1662" t="s">
        <v>1</v>
      </c>
      <c r="H224" s="1682"/>
      <c r="I224" s="529"/>
      <c r="J224" s="404"/>
      <c r="N224" s="1200"/>
      <c r="U224" s="1682"/>
    </row>
    <row r="225" spans="1:21" ht="27.75" hidden="1" customHeight="1" x14ac:dyDescent="0.25">
      <c r="A225" s="1240"/>
      <c r="B225" s="753" t="s">
        <v>499</v>
      </c>
      <c r="C225" s="1217"/>
      <c r="D225" s="1217" t="s">
        <v>463</v>
      </c>
      <c r="E225" s="1217" t="s">
        <v>488</v>
      </c>
      <c r="F225" s="409" t="s">
        <v>89</v>
      </c>
      <c r="G225" s="1664"/>
      <c r="H225" s="1682">
        <f>H226</f>
        <v>0</v>
      </c>
      <c r="I225" s="529">
        <f>I226</f>
        <v>0</v>
      </c>
      <c r="J225" s="270">
        <f>J226</f>
        <v>0</v>
      </c>
      <c r="N225" s="1200"/>
      <c r="U225" s="1682"/>
    </row>
    <row r="226" spans="1:21" hidden="1" x14ac:dyDescent="0.25">
      <c r="A226" s="1240"/>
      <c r="B226" s="1180" t="s">
        <v>109</v>
      </c>
      <c r="C226" s="1217"/>
      <c r="D226" s="1217" t="s">
        <v>463</v>
      </c>
      <c r="E226" s="1217" t="s">
        <v>488</v>
      </c>
      <c r="F226" s="409" t="s">
        <v>581</v>
      </c>
      <c r="G226" s="1664"/>
      <c r="H226" s="1682">
        <f>H227</f>
        <v>0</v>
      </c>
      <c r="I226" s="529">
        <f t="shared" ref="I226:J228" si="38">I227</f>
        <v>0</v>
      </c>
      <c r="J226" s="270">
        <f t="shared" si="38"/>
        <v>0</v>
      </c>
      <c r="N226" s="1200"/>
      <c r="U226" s="1682"/>
    </row>
    <row r="227" spans="1:21" hidden="1" x14ac:dyDescent="0.25">
      <c r="A227" s="1229"/>
      <c r="B227" s="1180" t="s">
        <v>109</v>
      </c>
      <c r="C227" s="1217"/>
      <c r="D227" s="1217" t="s">
        <v>463</v>
      </c>
      <c r="E227" s="1217" t="s">
        <v>488</v>
      </c>
      <c r="F227" s="409" t="s">
        <v>82</v>
      </c>
      <c r="G227" s="1664"/>
      <c r="H227" s="1682">
        <f>H228</f>
        <v>0</v>
      </c>
      <c r="I227" s="529">
        <f t="shared" si="38"/>
        <v>0</v>
      </c>
      <c r="J227" s="270">
        <f t="shared" si="38"/>
        <v>0</v>
      </c>
      <c r="N227" s="1200"/>
      <c r="U227" s="1682"/>
    </row>
    <row r="228" spans="1:21" ht="21" hidden="1" x14ac:dyDescent="0.25">
      <c r="A228" s="1234"/>
      <c r="B228" s="1218" t="s">
        <v>525</v>
      </c>
      <c r="C228" s="409"/>
      <c r="D228" s="1217" t="s">
        <v>463</v>
      </c>
      <c r="E228" s="1217" t="s">
        <v>488</v>
      </c>
      <c r="F228" s="409" t="s">
        <v>524</v>
      </c>
      <c r="G228" s="1662"/>
      <c r="H228" s="1682">
        <f>H229</f>
        <v>0</v>
      </c>
      <c r="I228" s="529">
        <f t="shared" si="38"/>
        <v>0</v>
      </c>
      <c r="J228" s="270">
        <f t="shared" si="38"/>
        <v>0</v>
      </c>
      <c r="N228" s="1200"/>
      <c r="U228" s="1682"/>
    </row>
    <row r="229" spans="1:21" hidden="1" x14ac:dyDescent="0.25">
      <c r="A229" s="1234"/>
      <c r="B229" s="1182" t="s">
        <v>481</v>
      </c>
      <c r="C229" s="1217"/>
      <c r="D229" s="1217" t="s">
        <v>463</v>
      </c>
      <c r="E229" s="1217" t="s">
        <v>488</v>
      </c>
      <c r="F229" s="409" t="s">
        <v>524</v>
      </c>
      <c r="G229" s="1662" t="s">
        <v>26</v>
      </c>
      <c r="H229" s="1682">
        <f>4900-4900</f>
        <v>0</v>
      </c>
      <c r="I229" s="529"/>
      <c r="J229" s="269"/>
      <c r="N229" s="1200"/>
      <c r="U229" s="1682"/>
    </row>
    <row r="230" spans="1:21" ht="21" hidden="1" x14ac:dyDescent="0.25">
      <c r="A230" s="1234"/>
      <c r="B230" s="1242" t="s">
        <v>929</v>
      </c>
      <c r="C230" s="409"/>
      <c r="D230" s="1217" t="s">
        <v>463</v>
      </c>
      <c r="E230" s="1217" t="s">
        <v>488</v>
      </c>
      <c r="F230" s="1217" t="s">
        <v>89</v>
      </c>
      <c r="G230" s="1662"/>
      <c r="H230" s="1682">
        <f>H231</f>
        <v>0</v>
      </c>
      <c r="I230" s="529"/>
      <c r="J230" s="269"/>
      <c r="N230" s="1200"/>
      <c r="U230" s="1682"/>
    </row>
    <row r="231" spans="1:21" hidden="1" x14ac:dyDescent="0.25">
      <c r="A231" s="1234"/>
      <c r="B231" s="753" t="s">
        <v>109</v>
      </c>
      <c r="C231" s="409"/>
      <c r="D231" s="1217" t="s">
        <v>463</v>
      </c>
      <c r="E231" s="1217" t="s">
        <v>488</v>
      </c>
      <c r="F231" s="1217" t="s">
        <v>84</v>
      </c>
      <c r="G231" s="1662"/>
      <c r="H231" s="1682">
        <f>H232</f>
        <v>0</v>
      </c>
      <c r="I231" s="529"/>
      <c r="J231" s="269"/>
      <c r="N231" s="1200"/>
      <c r="U231" s="1682"/>
    </row>
    <row r="232" spans="1:21" hidden="1" x14ac:dyDescent="0.25">
      <c r="A232" s="1234"/>
      <c r="B232" s="753" t="s">
        <v>109</v>
      </c>
      <c r="C232" s="409"/>
      <c r="D232" s="1217" t="s">
        <v>463</v>
      </c>
      <c r="E232" s="1217" t="s">
        <v>488</v>
      </c>
      <c r="F232" s="1217" t="s">
        <v>82</v>
      </c>
      <c r="G232" s="1662"/>
      <c r="H232" s="1682">
        <f>H234+H239</f>
        <v>0</v>
      </c>
      <c r="I232" s="529"/>
      <c r="J232" s="269"/>
      <c r="N232" s="1200"/>
      <c r="U232" s="1682"/>
    </row>
    <row r="233" spans="1:21" ht="34.5" hidden="1" customHeight="1" x14ac:dyDescent="0.25">
      <c r="A233" s="1234"/>
      <c r="B233" s="753" t="s">
        <v>922</v>
      </c>
      <c r="C233" s="409"/>
      <c r="D233" s="1217" t="s">
        <v>463</v>
      </c>
      <c r="E233" s="1217" t="s">
        <v>488</v>
      </c>
      <c r="F233" s="1217" t="s">
        <v>923</v>
      </c>
      <c r="G233" s="1662"/>
      <c r="H233" s="1682">
        <f>H234</f>
        <v>0</v>
      </c>
      <c r="I233" s="529"/>
      <c r="J233" s="269"/>
      <c r="N233" s="1200"/>
      <c r="U233" s="1682"/>
    </row>
    <row r="234" spans="1:21" ht="21" hidden="1" x14ac:dyDescent="0.25">
      <c r="A234" s="1234"/>
      <c r="B234" s="1182" t="s">
        <v>523</v>
      </c>
      <c r="C234" s="409"/>
      <c r="D234" s="1217" t="s">
        <v>463</v>
      </c>
      <c r="E234" s="1217" t="s">
        <v>488</v>
      </c>
      <c r="F234" s="1217" t="s">
        <v>923</v>
      </c>
      <c r="G234" s="1662" t="s">
        <v>521</v>
      </c>
      <c r="H234" s="1682"/>
      <c r="I234" s="529"/>
      <c r="J234" s="269"/>
      <c r="N234" s="1200"/>
      <c r="U234" s="1682"/>
    </row>
    <row r="235" spans="1:21" ht="24.75" hidden="1" customHeight="1" x14ac:dyDescent="0.25">
      <c r="A235" s="1234"/>
      <c r="B235" s="1242" t="s">
        <v>930</v>
      </c>
      <c r="C235" s="409"/>
      <c r="D235" s="1217" t="s">
        <v>463</v>
      </c>
      <c r="E235" s="1217" t="s">
        <v>488</v>
      </c>
      <c r="F235" s="1217" t="s">
        <v>925</v>
      </c>
      <c r="G235" s="1662"/>
      <c r="H235" s="1682"/>
      <c r="I235" s="529"/>
      <c r="J235" s="404"/>
      <c r="N235" s="1200"/>
      <c r="U235" s="1682"/>
    </row>
    <row r="236" spans="1:21" hidden="1" x14ac:dyDescent="0.25">
      <c r="A236" s="1234"/>
      <c r="B236" s="753" t="s">
        <v>109</v>
      </c>
      <c r="C236" s="409"/>
      <c r="D236" s="1217" t="s">
        <v>463</v>
      </c>
      <c r="E236" s="1217" t="s">
        <v>488</v>
      </c>
      <c r="F236" s="1217" t="s">
        <v>925</v>
      </c>
      <c r="G236" s="1662"/>
      <c r="H236" s="1682"/>
      <c r="I236" s="529"/>
      <c r="J236" s="404"/>
      <c r="N236" s="1200"/>
      <c r="U236" s="1682"/>
    </row>
    <row r="237" spans="1:21" hidden="1" x14ac:dyDescent="0.25">
      <c r="A237" s="1234"/>
      <c r="B237" s="753" t="s">
        <v>109</v>
      </c>
      <c r="C237" s="409"/>
      <c r="D237" s="1217" t="s">
        <v>463</v>
      </c>
      <c r="E237" s="1217" t="s">
        <v>488</v>
      </c>
      <c r="F237" s="1217" t="s">
        <v>925</v>
      </c>
      <c r="G237" s="1662"/>
      <c r="H237" s="1682"/>
      <c r="I237" s="529"/>
      <c r="J237" s="404"/>
      <c r="N237" s="1200"/>
      <c r="U237" s="1682"/>
    </row>
    <row r="238" spans="1:21" ht="21" hidden="1" x14ac:dyDescent="0.25">
      <c r="A238" s="1234"/>
      <c r="B238" s="1242" t="s">
        <v>930</v>
      </c>
      <c r="C238" s="409"/>
      <c r="D238" s="1217" t="s">
        <v>463</v>
      </c>
      <c r="E238" s="1217" t="s">
        <v>488</v>
      </c>
      <c r="F238" s="1217" t="s">
        <v>925</v>
      </c>
      <c r="G238" s="1662"/>
      <c r="H238" s="1682">
        <f>H239</f>
        <v>0</v>
      </c>
      <c r="I238" s="529"/>
      <c r="J238" s="404"/>
      <c r="N238" s="1200">
        <f>N239</f>
        <v>0</v>
      </c>
      <c r="U238" s="1682">
        <f>U239</f>
        <v>0</v>
      </c>
    </row>
    <row r="239" spans="1:21" ht="21" hidden="1" x14ac:dyDescent="0.25">
      <c r="A239" s="1234"/>
      <c r="B239" s="1182" t="s">
        <v>523</v>
      </c>
      <c r="C239" s="409"/>
      <c r="D239" s="1217" t="s">
        <v>463</v>
      </c>
      <c r="E239" s="1217" t="s">
        <v>488</v>
      </c>
      <c r="F239" s="1217" t="s">
        <v>925</v>
      </c>
      <c r="G239" s="1662" t="s">
        <v>521</v>
      </c>
      <c r="H239" s="1682"/>
      <c r="I239" s="529"/>
      <c r="J239" s="404"/>
      <c r="N239" s="1200"/>
      <c r="U239" s="1682"/>
    </row>
    <row r="240" spans="1:21" x14ac:dyDescent="0.25">
      <c r="A240" s="1229"/>
      <c r="B240" s="1225" t="s">
        <v>34</v>
      </c>
      <c r="C240" s="1227"/>
      <c r="D240" s="1227" t="s">
        <v>463</v>
      </c>
      <c r="E240" s="1227" t="s">
        <v>495</v>
      </c>
      <c r="F240" s="1227"/>
      <c r="G240" s="1665"/>
      <c r="H240" s="1684">
        <f>H244+H246+H269+H274</f>
        <v>32228.5</v>
      </c>
      <c r="I240" s="853">
        <f>I241+I247</f>
        <v>36018.875</v>
      </c>
      <c r="J240" s="400">
        <f>J241+J247</f>
        <v>34504.17</v>
      </c>
      <c r="K240" s="1441"/>
      <c r="N240" s="1228">
        <f>N244+N246+N269+N274</f>
        <v>34323.64</v>
      </c>
      <c r="U240" s="1684">
        <f>U244+U246+U269+U274</f>
        <v>36088.380000000005</v>
      </c>
    </row>
    <row r="241" spans="1:21" ht="24" customHeight="1" x14ac:dyDescent="0.25">
      <c r="A241" s="1179"/>
      <c r="B241" s="1243" t="s">
        <v>931</v>
      </c>
      <c r="C241" s="409"/>
      <c r="D241" s="409" t="s">
        <v>463</v>
      </c>
      <c r="E241" s="409" t="s">
        <v>495</v>
      </c>
      <c r="F241" s="409" t="s">
        <v>189</v>
      </c>
      <c r="G241" s="1662"/>
      <c r="H241" s="1682">
        <f>H242</f>
        <v>31428.5</v>
      </c>
      <c r="I241" s="529">
        <f>I242</f>
        <v>32518.875</v>
      </c>
      <c r="J241" s="270">
        <f>J242</f>
        <v>31004.17</v>
      </c>
      <c r="K241" s="1440">
        <f>K244+K246+K269+K274+K276</f>
        <v>32228.5</v>
      </c>
      <c r="N241" s="1200">
        <f>N242</f>
        <v>33058.639999999999</v>
      </c>
      <c r="U241" s="1682">
        <f>U242</f>
        <v>34696.880000000005</v>
      </c>
    </row>
    <row r="242" spans="1:21" ht="31.5" x14ac:dyDescent="0.25">
      <c r="A242" s="842"/>
      <c r="B242" s="1197" t="s">
        <v>188</v>
      </c>
      <c r="C242" s="408"/>
      <c r="D242" s="409" t="s">
        <v>463</v>
      </c>
      <c r="E242" s="409" t="s">
        <v>495</v>
      </c>
      <c r="F242" s="409" t="s">
        <v>187</v>
      </c>
      <c r="G242" s="1661"/>
      <c r="H242" s="1682">
        <f>H243+H245</f>
        <v>31428.5</v>
      </c>
      <c r="I242" s="529">
        <f>I243+I245</f>
        <v>32518.875</v>
      </c>
      <c r="J242" s="270">
        <f>J243+J245</f>
        <v>31004.17</v>
      </c>
      <c r="N242" s="1200">
        <f>N243+N245</f>
        <v>33058.639999999999</v>
      </c>
      <c r="U242" s="1682">
        <f>U243+U245</f>
        <v>34696.880000000005</v>
      </c>
    </row>
    <row r="243" spans="1:21" ht="28.5" customHeight="1" x14ac:dyDescent="0.25">
      <c r="A243" s="1179"/>
      <c r="B243" s="1205" t="s">
        <v>186</v>
      </c>
      <c r="C243" s="1217"/>
      <c r="D243" s="1217" t="s">
        <v>463</v>
      </c>
      <c r="E243" s="1217" t="s">
        <v>495</v>
      </c>
      <c r="F243" s="1217" t="s">
        <v>185</v>
      </c>
      <c r="G243" s="1664"/>
      <c r="H243" s="1682">
        <f>H244</f>
        <v>2300</v>
      </c>
      <c r="I243" s="529">
        <f>I244</f>
        <v>10043.379999999999</v>
      </c>
      <c r="J243" s="270">
        <f>J244</f>
        <v>6288.7259999999997</v>
      </c>
      <c r="N243" s="1200">
        <f>N244</f>
        <v>2500</v>
      </c>
      <c r="U243" s="1682">
        <f>U244</f>
        <v>2800</v>
      </c>
    </row>
    <row r="244" spans="1:21" ht="21" x14ac:dyDescent="0.25">
      <c r="A244" s="1179"/>
      <c r="B244" s="1182" t="s">
        <v>454</v>
      </c>
      <c r="C244" s="409"/>
      <c r="D244" s="1217" t="s">
        <v>463</v>
      </c>
      <c r="E244" s="1217" t="s">
        <v>495</v>
      </c>
      <c r="F244" s="1217" t="s">
        <v>185</v>
      </c>
      <c r="G244" s="1662" t="s">
        <v>1</v>
      </c>
      <c r="H244" s="1682">
        <v>2300</v>
      </c>
      <c r="I244" s="529">
        <v>10043.379999999999</v>
      </c>
      <c r="J244" s="269">
        <v>6288.7259999999997</v>
      </c>
      <c r="K244" s="1">
        <v>2300</v>
      </c>
      <c r="N244" s="1200">
        <v>2500</v>
      </c>
      <c r="U244" s="1682">
        <v>2800</v>
      </c>
    </row>
    <row r="245" spans="1:21" ht="25.5" customHeight="1" x14ac:dyDescent="0.25">
      <c r="A245" s="1179"/>
      <c r="B245" s="1205" t="s">
        <v>184</v>
      </c>
      <c r="C245" s="409"/>
      <c r="D245" s="1217" t="s">
        <v>463</v>
      </c>
      <c r="E245" s="1217" t="s">
        <v>495</v>
      </c>
      <c r="F245" s="1217" t="s">
        <v>183</v>
      </c>
      <c r="G245" s="1662"/>
      <c r="H245" s="1682">
        <f>H246+H264</f>
        <v>29128.5</v>
      </c>
      <c r="I245" s="529">
        <f>I246</f>
        <v>22475.494999999999</v>
      </c>
      <c r="J245" s="269">
        <f>J246</f>
        <v>24715.444</v>
      </c>
      <c r="N245" s="1200">
        <f>N246+N264</f>
        <v>30558.639999999999</v>
      </c>
      <c r="U245" s="1682">
        <f>U246+U264</f>
        <v>31896.880000000001</v>
      </c>
    </row>
    <row r="246" spans="1:21" ht="21.75" customHeight="1" x14ac:dyDescent="0.25">
      <c r="A246" s="1179"/>
      <c r="B246" s="1182" t="s">
        <v>454</v>
      </c>
      <c r="C246" s="409"/>
      <c r="D246" s="1217" t="s">
        <v>463</v>
      </c>
      <c r="E246" s="1217" t="s">
        <v>495</v>
      </c>
      <c r="F246" s="1217" t="s">
        <v>183</v>
      </c>
      <c r="G246" s="1662" t="s">
        <v>1</v>
      </c>
      <c r="H246" s="1682">
        <v>29128.5</v>
      </c>
      <c r="I246" s="529">
        <v>22475.494999999999</v>
      </c>
      <c r="J246" s="269">
        <v>24715.444</v>
      </c>
      <c r="K246" s="1032">
        <f>21590+6438.5+800+300</f>
        <v>29128.5</v>
      </c>
      <c r="N246" s="1200">
        <v>30558.639999999999</v>
      </c>
      <c r="U246" s="1682">
        <v>31896.880000000001</v>
      </c>
    </row>
    <row r="247" spans="1:21" ht="31.5" hidden="1" x14ac:dyDescent="0.25">
      <c r="A247" s="842"/>
      <c r="B247" s="1244" t="s">
        <v>176</v>
      </c>
      <c r="C247" s="408"/>
      <c r="D247" s="408" t="s">
        <v>463</v>
      </c>
      <c r="E247" s="408" t="s">
        <v>495</v>
      </c>
      <c r="F247" s="408" t="s">
        <v>175</v>
      </c>
      <c r="G247" s="1661"/>
      <c r="H247" s="1683">
        <f>H248+H252</f>
        <v>0</v>
      </c>
      <c r="I247" s="841">
        <f>I248+I252</f>
        <v>3500</v>
      </c>
      <c r="J247" s="276">
        <f>J248+J252</f>
        <v>3500</v>
      </c>
      <c r="N247" s="1208">
        <f>N248+N252</f>
        <v>0</v>
      </c>
      <c r="U247" s="1683">
        <f>U248+U252</f>
        <v>0</v>
      </c>
    </row>
    <row r="248" spans="1:21" ht="31.5" hidden="1" x14ac:dyDescent="0.25">
      <c r="A248" s="1245"/>
      <c r="B248" s="1197" t="s">
        <v>174</v>
      </c>
      <c r="C248" s="1217"/>
      <c r="D248" s="1217" t="s">
        <v>463</v>
      </c>
      <c r="E248" s="1217" t="s">
        <v>495</v>
      </c>
      <c r="F248" s="1217" t="s">
        <v>173</v>
      </c>
      <c r="G248" s="1664"/>
      <c r="H248" s="1682">
        <f>H250</f>
        <v>0</v>
      </c>
      <c r="I248" s="529">
        <f t="shared" ref="H248:J250" si="39">I249</f>
        <v>3500</v>
      </c>
      <c r="J248" s="269">
        <f t="shared" si="39"/>
        <v>3500</v>
      </c>
      <c r="N248" s="1200">
        <f>N250</f>
        <v>0</v>
      </c>
      <c r="U248" s="1682">
        <f>U250</f>
        <v>0</v>
      </c>
    </row>
    <row r="249" spans="1:21" hidden="1" x14ac:dyDescent="0.25">
      <c r="A249" s="842"/>
      <c r="B249" s="1219" t="s">
        <v>520</v>
      </c>
      <c r="C249" s="408"/>
      <c r="D249" s="409" t="s">
        <v>463</v>
      </c>
      <c r="E249" s="409" t="s">
        <v>495</v>
      </c>
      <c r="F249" s="1217" t="s">
        <v>173</v>
      </c>
      <c r="G249" s="1661"/>
      <c r="H249" s="1682">
        <f t="shared" si="39"/>
        <v>0</v>
      </c>
      <c r="I249" s="529">
        <f t="shared" si="39"/>
        <v>3500</v>
      </c>
      <c r="J249" s="269">
        <f t="shared" si="39"/>
        <v>3500</v>
      </c>
      <c r="N249" s="1200">
        <f t="shared" ref="N249:N250" si="40">N250</f>
        <v>0</v>
      </c>
      <c r="U249" s="1682">
        <f t="shared" ref="U249:U250" si="41">U250</f>
        <v>0</v>
      </c>
    </row>
    <row r="250" spans="1:21" hidden="1" x14ac:dyDescent="0.25">
      <c r="A250" s="1245"/>
      <c r="B250" s="1246" t="s">
        <v>172</v>
      </c>
      <c r="C250" s="1217"/>
      <c r="D250" s="1217" t="s">
        <v>463</v>
      </c>
      <c r="E250" s="1217" t="s">
        <v>495</v>
      </c>
      <c r="F250" s="1217" t="s">
        <v>159</v>
      </c>
      <c r="G250" s="1664"/>
      <c r="H250" s="1682">
        <f t="shared" si="39"/>
        <v>0</v>
      </c>
      <c r="I250" s="529">
        <f t="shared" si="39"/>
        <v>3500</v>
      </c>
      <c r="J250" s="269">
        <f t="shared" si="39"/>
        <v>3500</v>
      </c>
      <c r="N250" s="1200">
        <f t="shared" si="40"/>
        <v>0</v>
      </c>
      <c r="U250" s="1682">
        <f t="shared" si="41"/>
        <v>0</v>
      </c>
    </row>
    <row r="251" spans="1:21" ht="21" hidden="1" x14ac:dyDescent="0.25">
      <c r="A251" s="1229"/>
      <c r="B251" s="1182" t="s">
        <v>454</v>
      </c>
      <c r="C251" s="409"/>
      <c r="D251" s="1217" t="s">
        <v>463</v>
      </c>
      <c r="E251" s="1217" t="s">
        <v>495</v>
      </c>
      <c r="F251" s="1217" t="s">
        <v>159</v>
      </c>
      <c r="G251" s="1662" t="s">
        <v>1</v>
      </c>
      <c r="H251" s="1682">
        <v>0</v>
      </c>
      <c r="I251" s="529">
        <v>3500</v>
      </c>
      <c r="J251" s="269">
        <v>3500</v>
      </c>
      <c r="N251" s="1200">
        <v>0</v>
      </c>
      <c r="U251" s="1682">
        <v>0</v>
      </c>
    </row>
    <row r="252" spans="1:21" ht="21" hidden="1" x14ac:dyDescent="0.25">
      <c r="A252" s="1240"/>
      <c r="B252" s="1219" t="s">
        <v>519</v>
      </c>
      <c r="C252" s="1217"/>
      <c r="D252" s="1217" t="s">
        <v>463</v>
      </c>
      <c r="E252" s="1217" t="s">
        <v>495</v>
      </c>
      <c r="F252" s="1217" t="s">
        <v>518</v>
      </c>
      <c r="G252" s="1664"/>
      <c r="H252" s="1682">
        <f>H253+H258</f>
        <v>0</v>
      </c>
      <c r="I252" s="529">
        <f>I253+I258</f>
        <v>0</v>
      </c>
      <c r="J252" s="269">
        <f>J253+J258</f>
        <v>0</v>
      </c>
      <c r="N252" s="1200">
        <f>N253+N258</f>
        <v>0</v>
      </c>
      <c r="U252" s="1682">
        <f>U253+U258</f>
        <v>0</v>
      </c>
    </row>
    <row r="253" spans="1:21" ht="31.5" hidden="1" x14ac:dyDescent="0.25">
      <c r="A253" s="1240"/>
      <c r="B253" s="1219" t="s">
        <v>517</v>
      </c>
      <c r="C253" s="1217"/>
      <c r="D253" s="1217" t="s">
        <v>463</v>
      </c>
      <c r="E253" s="1217" t="s">
        <v>495</v>
      </c>
      <c r="F253" s="1217" t="s">
        <v>516</v>
      </c>
      <c r="G253" s="1664"/>
      <c r="H253" s="1682">
        <f>H254+H256</f>
        <v>0</v>
      </c>
      <c r="I253" s="529">
        <f>I254+I256</f>
        <v>0</v>
      </c>
      <c r="J253" s="269">
        <f>J254+J256</f>
        <v>0</v>
      </c>
      <c r="N253" s="1200">
        <f>N254+N256</f>
        <v>0</v>
      </c>
      <c r="U253" s="1682">
        <f>U254+U256</f>
        <v>0</v>
      </c>
    </row>
    <row r="254" spans="1:21" hidden="1" x14ac:dyDescent="0.25">
      <c r="A254" s="1229"/>
      <c r="B254" s="753" t="s">
        <v>515</v>
      </c>
      <c r="C254" s="1217"/>
      <c r="D254" s="1217" t="s">
        <v>463</v>
      </c>
      <c r="E254" s="1217" t="s">
        <v>495</v>
      </c>
      <c r="F254" s="1217" t="s">
        <v>514</v>
      </c>
      <c r="G254" s="1664"/>
      <c r="H254" s="1682">
        <f>H255</f>
        <v>0</v>
      </c>
      <c r="I254" s="529">
        <f>I255</f>
        <v>0</v>
      </c>
      <c r="J254" s="269">
        <f>J255</f>
        <v>0</v>
      </c>
      <c r="N254" s="1200">
        <f>N255</f>
        <v>0</v>
      </c>
      <c r="U254" s="1682">
        <f>U255</f>
        <v>0</v>
      </c>
    </row>
    <row r="255" spans="1:21" ht="21" hidden="1" x14ac:dyDescent="0.25">
      <c r="A255" s="1229"/>
      <c r="B255" s="1182" t="s">
        <v>454</v>
      </c>
      <c r="C255" s="409"/>
      <c r="D255" s="1217" t="s">
        <v>463</v>
      </c>
      <c r="E255" s="1217" t="s">
        <v>495</v>
      </c>
      <c r="F255" s="1217" t="s">
        <v>514</v>
      </c>
      <c r="G255" s="1662" t="s">
        <v>1</v>
      </c>
      <c r="H255" s="1682"/>
      <c r="I255" s="529"/>
      <c r="J255" s="269"/>
      <c r="N255" s="1200"/>
      <c r="U255" s="1682"/>
    </row>
    <row r="256" spans="1:21" hidden="1" x14ac:dyDescent="0.25">
      <c r="A256" s="1229"/>
      <c r="B256" s="753" t="s">
        <v>513</v>
      </c>
      <c r="C256" s="1217"/>
      <c r="D256" s="1217" t="s">
        <v>463</v>
      </c>
      <c r="E256" s="1217" t="s">
        <v>495</v>
      </c>
      <c r="F256" s="1217" t="s">
        <v>512</v>
      </c>
      <c r="G256" s="1664"/>
      <c r="H256" s="1682">
        <f>H257</f>
        <v>0</v>
      </c>
      <c r="I256" s="529">
        <f>I257</f>
        <v>0</v>
      </c>
      <c r="J256" s="269">
        <f>J257</f>
        <v>0</v>
      </c>
      <c r="N256" s="1200">
        <f>N257</f>
        <v>0</v>
      </c>
      <c r="U256" s="1682">
        <f>U257</f>
        <v>0</v>
      </c>
    </row>
    <row r="257" spans="1:21" ht="21" hidden="1" x14ac:dyDescent="0.25">
      <c r="A257" s="1229"/>
      <c r="B257" s="1182" t="s">
        <v>454</v>
      </c>
      <c r="C257" s="409"/>
      <c r="D257" s="1217" t="s">
        <v>463</v>
      </c>
      <c r="E257" s="1217" t="s">
        <v>495</v>
      </c>
      <c r="F257" s="1217" t="s">
        <v>512</v>
      </c>
      <c r="G257" s="1662" t="s">
        <v>1</v>
      </c>
      <c r="H257" s="1682"/>
      <c r="I257" s="529"/>
      <c r="J257" s="269"/>
      <c r="N257" s="1200"/>
      <c r="U257" s="1682"/>
    </row>
    <row r="258" spans="1:21" ht="21" hidden="1" x14ac:dyDescent="0.25">
      <c r="A258" s="1179"/>
      <c r="B258" s="1247" t="s">
        <v>511</v>
      </c>
      <c r="C258" s="1227"/>
      <c r="D258" s="1248" t="s">
        <v>463</v>
      </c>
      <c r="E258" s="1248" t="s">
        <v>495</v>
      </c>
      <c r="F258" s="1248" t="s">
        <v>510</v>
      </c>
      <c r="G258" s="1666"/>
      <c r="H258" s="1686">
        <f>H259+H263</f>
        <v>0</v>
      </c>
      <c r="I258" s="854">
        <f>I259+I263</f>
        <v>0</v>
      </c>
      <c r="J258" s="406">
        <f>J259+J263</f>
        <v>0</v>
      </c>
      <c r="N258" s="1249">
        <f>N259+N263</f>
        <v>0</v>
      </c>
      <c r="U258" s="1686">
        <f>U259+U263</f>
        <v>0</v>
      </c>
    </row>
    <row r="259" spans="1:21" hidden="1" x14ac:dyDescent="0.25">
      <c r="A259" s="842"/>
      <c r="B259" s="1224" t="s">
        <v>351</v>
      </c>
      <c r="C259" s="1217"/>
      <c r="D259" s="1217" t="s">
        <v>463</v>
      </c>
      <c r="E259" s="1217" t="s">
        <v>495</v>
      </c>
      <c r="F259" s="1217" t="s">
        <v>508</v>
      </c>
      <c r="G259" s="1664"/>
      <c r="H259" s="1682">
        <f>H260+H261+H262</f>
        <v>0</v>
      </c>
      <c r="I259" s="529">
        <f>I260+I261+I262</f>
        <v>0</v>
      </c>
      <c r="J259" s="269">
        <f>J260+J261+J262</f>
        <v>0</v>
      </c>
      <c r="N259" s="1200">
        <f>N260+N261+N262</f>
        <v>0</v>
      </c>
      <c r="U259" s="1682">
        <f>U260+U261+U262</f>
        <v>0</v>
      </c>
    </row>
    <row r="260" spans="1:21" hidden="1" x14ac:dyDescent="0.25">
      <c r="A260" s="1179"/>
      <c r="B260" s="1182" t="s">
        <v>458</v>
      </c>
      <c r="C260" s="409"/>
      <c r="D260" s="1217" t="s">
        <v>463</v>
      </c>
      <c r="E260" s="1217" t="s">
        <v>495</v>
      </c>
      <c r="F260" s="1217" t="s">
        <v>508</v>
      </c>
      <c r="G260" s="1662" t="s">
        <v>255</v>
      </c>
      <c r="H260" s="1682"/>
      <c r="I260" s="529"/>
      <c r="J260" s="269"/>
      <c r="N260" s="1200"/>
      <c r="U260" s="1682"/>
    </row>
    <row r="261" spans="1:21" ht="21" hidden="1" x14ac:dyDescent="0.25">
      <c r="A261" s="1179"/>
      <c r="B261" s="1182" t="s">
        <v>454</v>
      </c>
      <c r="C261" s="409"/>
      <c r="D261" s="1217" t="s">
        <v>463</v>
      </c>
      <c r="E261" s="1217" t="s">
        <v>495</v>
      </c>
      <c r="F261" s="1217" t="s">
        <v>508</v>
      </c>
      <c r="G261" s="1662" t="s">
        <v>1</v>
      </c>
      <c r="H261" s="1682"/>
      <c r="I261" s="529"/>
      <c r="J261" s="269"/>
      <c r="N261" s="1200"/>
      <c r="U261" s="1682"/>
    </row>
    <row r="262" spans="1:21" hidden="1" x14ac:dyDescent="0.25">
      <c r="A262" s="1179"/>
      <c r="B262" s="1182" t="s">
        <v>457</v>
      </c>
      <c r="C262" s="409"/>
      <c r="D262" s="1217" t="s">
        <v>463</v>
      </c>
      <c r="E262" s="1217" t="s">
        <v>495</v>
      </c>
      <c r="F262" s="1217" t="s">
        <v>508</v>
      </c>
      <c r="G262" s="1662" t="s">
        <v>91</v>
      </c>
      <c r="H262" s="1682"/>
      <c r="I262" s="529"/>
      <c r="J262" s="269"/>
      <c r="N262" s="1200"/>
      <c r="U262" s="1682"/>
    </row>
    <row r="263" spans="1:21" ht="15" hidden="1" customHeight="1" x14ac:dyDescent="0.25">
      <c r="A263" s="842"/>
      <c r="B263" s="1180"/>
      <c r="C263" s="1217"/>
      <c r="D263" s="1217" t="s">
        <v>463</v>
      </c>
      <c r="E263" s="1217" t="s">
        <v>495</v>
      </c>
      <c r="F263" s="1217" t="s">
        <v>183</v>
      </c>
      <c r="G263" s="1664"/>
      <c r="H263" s="1682">
        <f>H264</f>
        <v>0</v>
      </c>
      <c r="I263" s="529">
        <f>I264</f>
        <v>0</v>
      </c>
      <c r="J263" s="269">
        <f>J264</f>
        <v>0</v>
      </c>
      <c r="N263" s="1200">
        <f>N264</f>
        <v>0</v>
      </c>
      <c r="U263" s="1682">
        <f>U264</f>
        <v>0</v>
      </c>
    </row>
    <row r="264" spans="1:21" ht="30.75" hidden="1" customHeight="1" thickBot="1" x14ac:dyDescent="0.3">
      <c r="A264" s="1179"/>
      <c r="B264" s="1191" t="s">
        <v>916</v>
      </c>
      <c r="C264" s="1193"/>
      <c r="D264" s="1531" t="s">
        <v>463</v>
      </c>
      <c r="E264" s="1531" t="s">
        <v>495</v>
      </c>
      <c r="F264" s="1531" t="s">
        <v>183</v>
      </c>
      <c r="G264" s="1663" t="s">
        <v>521</v>
      </c>
      <c r="H264" s="1682">
        <f>722.93+5324.558+935-6982.488</f>
        <v>0</v>
      </c>
      <c r="I264" s="529"/>
      <c r="J264" s="269"/>
      <c r="N264" s="1200">
        <f>722.93+5324.558+935-6982.488</f>
        <v>0</v>
      </c>
      <c r="U264" s="1682">
        <f>722.93+5324.558+935-6982.488</f>
        <v>0</v>
      </c>
    </row>
    <row r="265" spans="1:21" ht="30.75" customHeight="1" x14ac:dyDescent="0.25">
      <c r="A265" s="732"/>
      <c r="B265" s="1532" t="s">
        <v>949</v>
      </c>
      <c r="C265" s="409"/>
      <c r="D265" s="1227" t="s">
        <v>463</v>
      </c>
      <c r="E265" s="1227" t="s">
        <v>495</v>
      </c>
      <c r="F265" s="409" t="s">
        <v>952</v>
      </c>
      <c r="G265" s="1667"/>
      <c r="H265" s="1682">
        <f>H269+H271</f>
        <v>800</v>
      </c>
      <c r="I265" s="529"/>
      <c r="J265" s="269"/>
      <c r="N265" s="1530">
        <f>N269+N271</f>
        <v>1265</v>
      </c>
      <c r="U265" s="1682">
        <f>U269+U271</f>
        <v>1391.5</v>
      </c>
    </row>
    <row r="266" spans="1:21" ht="30.75" customHeight="1" x14ac:dyDescent="0.25">
      <c r="A266" s="732"/>
      <c r="B266" s="1533" t="s">
        <v>947</v>
      </c>
      <c r="C266" s="409"/>
      <c r="D266" s="409" t="s">
        <v>463</v>
      </c>
      <c r="E266" s="409" t="s">
        <v>495</v>
      </c>
      <c r="F266" s="1534" t="s">
        <v>953</v>
      </c>
      <c r="G266" s="1668"/>
      <c r="H266" s="1682">
        <f>H267</f>
        <v>450</v>
      </c>
      <c r="I266" s="529"/>
      <c r="J266" s="269"/>
      <c r="N266" s="1530">
        <f>N267</f>
        <v>880</v>
      </c>
      <c r="U266" s="1682">
        <f>U267</f>
        <v>968</v>
      </c>
    </row>
    <row r="267" spans="1:21" ht="30.75" customHeight="1" x14ac:dyDescent="0.25">
      <c r="A267" s="732"/>
      <c r="B267" s="1535" t="s">
        <v>950</v>
      </c>
      <c r="C267" s="409"/>
      <c r="D267" s="409" t="s">
        <v>463</v>
      </c>
      <c r="E267" s="409" t="s">
        <v>495</v>
      </c>
      <c r="F267" s="1235" t="s">
        <v>954</v>
      </c>
      <c r="G267" s="1669"/>
      <c r="H267" s="1682">
        <f>H269</f>
        <v>450</v>
      </c>
      <c r="I267" s="529"/>
      <c r="J267" s="269"/>
      <c r="N267" s="1530">
        <f>N269</f>
        <v>880</v>
      </c>
      <c r="U267" s="1682">
        <f>U269</f>
        <v>968</v>
      </c>
    </row>
    <row r="268" spans="1:21" ht="30.75" hidden="1" customHeight="1" x14ac:dyDescent="0.25">
      <c r="A268" s="732"/>
      <c r="B268" s="753" t="s">
        <v>948</v>
      </c>
      <c r="C268" s="409"/>
      <c r="D268" s="1217" t="s">
        <v>463</v>
      </c>
      <c r="E268" s="1217" t="s">
        <v>495</v>
      </c>
      <c r="F268" s="1235" t="s">
        <v>954</v>
      </c>
      <c r="G268" s="1670" t="s">
        <v>955</v>
      </c>
      <c r="H268" s="1682"/>
      <c r="I268" s="529"/>
      <c r="J268" s="269"/>
      <c r="N268" s="1530"/>
      <c r="U268" s="1682"/>
    </row>
    <row r="269" spans="1:21" ht="30.75" customHeight="1" x14ac:dyDescent="0.25">
      <c r="A269" s="732"/>
      <c r="B269" s="1182" t="s">
        <v>454</v>
      </c>
      <c r="C269" s="409"/>
      <c r="D269" s="1217" t="s">
        <v>463</v>
      </c>
      <c r="E269" s="1217" t="s">
        <v>495</v>
      </c>
      <c r="F269" s="1235" t="s">
        <v>954</v>
      </c>
      <c r="G269" s="1662" t="s">
        <v>1</v>
      </c>
      <c r="H269" s="1682">
        <v>450</v>
      </c>
      <c r="I269" s="529"/>
      <c r="J269" s="269"/>
      <c r="K269" s="1">
        <v>450</v>
      </c>
      <c r="N269" s="1530">
        <v>880</v>
      </c>
      <c r="U269" s="1682">
        <v>968</v>
      </c>
    </row>
    <row r="270" spans="1:21" ht="30.75" hidden="1" customHeight="1" x14ac:dyDescent="0.25">
      <c r="A270" s="732"/>
      <c r="B270" s="1182" t="s">
        <v>34</v>
      </c>
      <c r="C270" s="409"/>
      <c r="D270" s="1217" t="s">
        <v>463</v>
      </c>
      <c r="E270" s="1217" t="s">
        <v>495</v>
      </c>
      <c r="F270" s="1235" t="s">
        <v>954</v>
      </c>
      <c r="G270" s="1662" t="s">
        <v>1</v>
      </c>
      <c r="H270" s="1682"/>
      <c r="I270" s="529"/>
      <c r="J270" s="269"/>
      <c r="N270" s="1530"/>
      <c r="U270" s="1682"/>
    </row>
    <row r="271" spans="1:21" ht="30.75" customHeight="1" x14ac:dyDescent="0.25">
      <c r="A271" s="732"/>
      <c r="B271" s="1533" t="s">
        <v>951</v>
      </c>
      <c r="C271" s="409"/>
      <c r="D271" s="1217" t="s">
        <v>463</v>
      </c>
      <c r="E271" s="1217" t="s">
        <v>495</v>
      </c>
      <c r="F271" s="1534" t="s">
        <v>956</v>
      </c>
      <c r="G271" s="1668"/>
      <c r="H271" s="1682">
        <f>H272</f>
        <v>350</v>
      </c>
      <c r="I271" s="529"/>
      <c r="J271" s="269"/>
      <c r="N271" s="1530">
        <f>N272</f>
        <v>385</v>
      </c>
      <c r="U271" s="1682">
        <f>U272</f>
        <v>423.5</v>
      </c>
    </row>
    <row r="272" spans="1:21" ht="30.75" customHeight="1" x14ac:dyDescent="0.25">
      <c r="A272" s="732"/>
      <c r="B272" s="753" t="s">
        <v>950</v>
      </c>
      <c r="C272" s="409"/>
      <c r="D272" s="408" t="s">
        <v>463</v>
      </c>
      <c r="E272" s="408" t="s">
        <v>495</v>
      </c>
      <c r="F272" s="1235" t="s">
        <v>957</v>
      </c>
      <c r="G272" s="1669"/>
      <c r="H272" s="1682">
        <f>H274</f>
        <v>350</v>
      </c>
      <c r="I272" s="529"/>
      <c r="J272" s="269"/>
      <c r="N272" s="1530">
        <f>N274</f>
        <v>385</v>
      </c>
      <c r="U272" s="1682">
        <f>U274</f>
        <v>423.5</v>
      </c>
    </row>
    <row r="273" spans="1:21" ht="30.75" hidden="1" customHeight="1" x14ac:dyDescent="0.25">
      <c r="A273" s="732"/>
      <c r="B273" s="753" t="s">
        <v>948</v>
      </c>
      <c r="C273" s="409"/>
      <c r="D273" s="1217" t="s">
        <v>463</v>
      </c>
      <c r="E273" s="1217" t="s">
        <v>495</v>
      </c>
      <c r="F273" s="1235" t="s">
        <v>957</v>
      </c>
      <c r="G273" s="1670" t="s">
        <v>955</v>
      </c>
      <c r="H273" s="1682"/>
      <c r="I273" s="529"/>
      <c r="J273" s="269"/>
      <c r="N273" s="1530"/>
      <c r="U273" s="1682"/>
    </row>
    <row r="274" spans="1:21" ht="30.75" customHeight="1" x14ac:dyDescent="0.25">
      <c r="A274" s="732"/>
      <c r="B274" s="1182" t="s">
        <v>454</v>
      </c>
      <c r="C274" s="409"/>
      <c r="D274" s="409" t="s">
        <v>463</v>
      </c>
      <c r="E274" s="409" t="s">
        <v>495</v>
      </c>
      <c r="F274" s="1235" t="s">
        <v>957</v>
      </c>
      <c r="G274" s="1662" t="s">
        <v>1</v>
      </c>
      <c r="H274" s="1682">
        <v>350</v>
      </c>
      <c r="I274" s="529"/>
      <c r="J274" s="269"/>
      <c r="K274" s="1">
        <v>350</v>
      </c>
      <c r="N274" s="1530">
        <v>385</v>
      </c>
      <c r="U274" s="1682">
        <v>423.5</v>
      </c>
    </row>
    <row r="275" spans="1:21" ht="30.75" hidden="1" customHeight="1" thickBot="1" x14ac:dyDescent="0.3">
      <c r="A275" s="1179"/>
      <c r="B275" s="1498" t="s">
        <v>34</v>
      </c>
      <c r="C275" s="409"/>
      <c r="D275" s="1217" t="s">
        <v>463</v>
      </c>
      <c r="E275" s="1217" t="s">
        <v>495</v>
      </c>
      <c r="F275" s="1499" t="s">
        <v>957</v>
      </c>
      <c r="G275" s="1671" t="s">
        <v>1</v>
      </c>
      <c r="H275" s="1682"/>
      <c r="I275" s="529"/>
      <c r="J275" s="269"/>
      <c r="N275" s="1200"/>
      <c r="U275" s="1682"/>
    </row>
    <row r="276" spans="1:21" x14ac:dyDescent="0.25">
      <c r="A276" s="1179"/>
      <c r="B276" s="1184" t="s">
        <v>348</v>
      </c>
      <c r="C276" s="1177"/>
      <c r="D276" s="408" t="s">
        <v>506</v>
      </c>
      <c r="E276" s="408" t="s">
        <v>459</v>
      </c>
      <c r="F276" s="408"/>
      <c r="G276" s="1661"/>
      <c r="H276" s="1683">
        <f t="shared" ref="H276:J278" si="42">H277</f>
        <v>348</v>
      </c>
      <c r="I276" s="841">
        <f t="shared" si="42"/>
        <v>302</v>
      </c>
      <c r="J276" s="276">
        <f t="shared" si="42"/>
        <v>337</v>
      </c>
      <c r="N276" s="1208">
        <f t="shared" ref="N276:N278" si="43">N277</f>
        <v>362</v>
      </c>
      <c r="U276" s="1683">
        <f t="shared" ref="U276:U278" si="44">U277</f>
        <v>377</v>
      </c>
    </row>
    <row r="277" spans="1:21" x14ac:dyDescent="0.25">
      <c r="A277" s="842"/>
      <c r="B277" s="1184" t="s">
        <v>964</v>
      </c>
      <c r="C277" s="1177"/>
      <c r="D277" s="408" t="s">
        <v>506</v>
      </c>
      <c r="E277" s="408" t="s">
        <v>506</v>
      </c>
      <c r="F277" s="408"/>
      <c r="G277" s="1661"/>
      <c r="H277" s="1683">
        <f t="shared" si="42"/>
        <v>348</v>
      </c>
      <c r="I277" s="841">
        <f t="shared" si="42"/>
        <v>302</v>
      </c>
      <c r="J277" s="276">
        <f t="shared" si="42"/>
        <v>337</v>
      </c>
      <c r="N277" s="1208">
        <f t="shared" si="43"/>
        <v>362</v>
      </c>
      <c r="U277" s="1683">
        <f t="shared" si="44"/>
        <v>377</v>
      </c>
    </row>
    <row r="278" spans="1:21" ht="21" x14ac:dyDescent="0.25">
      <c r="A278" s="1179"/>
      <c r="B278" s="1205" t="s">
        <v>932</v>
      </c>
      <c r="C278" s="1180"/>
      <c r="D278" s="409" t="s">
        <v>506</v>
      </c>
      <c r="E278" s="409" t="s">
        <v>506</v>
      </c>
      <c r="F278" s="409" t="s">
        <v>273</v>
      </c>
      <c r="G278" s="1662"/>
      <c r="H278" s="1682">
        <f t="shared" si="42"/>
        <v>348</v>
      </c>
      <c r="I278" s="529">
        <f t="shared" si="42"/>
        <v>302</v>
      </c>
      <c r="J278" s="269">
        <f t="shared" si="42"/>
        <v>337</v>
      </c>
      <c r="N278" s="1200">
        <f t="shared" si="43"/>
        <v>362</v>
      </c>
      <c r="U278" s="1682">
        <f t="shared" si="44"/>
        <v>377</v>
      </c>
    </row>
    <row r="279" spans="1:21" ht="21" x14ac:dyDescent="0.25">
      <c r="A279" s="1179"/>
      <c r="B279" s="1205" t="s">
        <v>909</v>
      </c>
      <c r="C279" s="1180"/>
      <c r="D279" s="409" t="s">
        <v>506</v>
      </c>
      <c r="E279" s="409" t="s">
        <v>506</v>
      </c>
      <c r="F279" s="409" t="s">
        <v>271</v>
      </c>
      <c r="G279" s="1662"/>
      <c r="H279" s="1682">
        <f>H280+H283</f>
        <v>348</v>
      </c>
      <c r="I279" s="529">
        <f>I280+I283</f>
        <v>302</v>
      </c>
      <c r="J279" s="269">
        <f>J280+J283</f>
        <v>337</v>
      </c>
      <c r="K279" s="1439">
        <v>348</v>
      </c>
      <c r="N279" s="1200">
        <f>N280+N283</f>
        <v>362</v>
      </c>
      <c r="U279" s="1682">
        <f>U280+U283</f>
        <v>377</v>
      </c>
    </row>
    <row r="280" spans="1:21" ht="31.5" hidden="1" x14ac:dyDescent="0.25">
      <c r="A280" s="1179"/>
      <c r="B280" s="1205" t="s">
        <v>270</v>
      </c>
      <c r="C280" s="1180"/>
      <c r="D280" s="409" t="s">
        <v>506</v>
      </c>
      <c r="E280" s="409" t="s">
        <v>506</v>
      </c>
      <c r="F280" s="409" t="s">
        <v>267</v>
      </c>
      <c r="G280" s="1662"/>
      <c r="H280" s="1682">
        <f t="shared" ref="H280:J281" si="45">H281</f>
        <v>0</v>
      </c>
      <c r="I280" s="529">
        <f t="shared" si="45"/>
        <v>0</v>
      </c>
      <c r="J280" s="269">
        <f t="shared" si="45"/>
        <v>0</v>
      </c>
      <c r="N280" s="1200">
        <f t="shared" ref="N280:N281" si="46">N281</f>
        <v>0</v>
      </c>
      <c r="U280" s="1682">
        <f t="shared" ref="U280:U281" si="47">U281</f>
        <v>0</v>
      </c>
    </row>
    <row r="281" spans="1:21" hidden="1" x14ac:dyDescent="0.25">
      <c r="A281" s="1233"/>
      <c r="B281" s="1250" t="s">
        <v>4</v>
      </c>
      <c r="C281" s="1180"/>
      <c r="D281" s="409" t="s">
        <v>506</v>
      </c>
      <c r="E281" s="409" t="s">
        <v>506</v>
      </c>
      <c r="F281" s="409" t="s">
        <v>507</v>
      </c>
      <c r="G281" s="1662"/>
      <c r="H281" s="1682">
        <f t="shared" si="45"/>
        <v>0</v>
      </c>
      <c r="I281" s="529">
        <f t="shared" si="45"/>
        <v>0</v>
      </c>
      <c r="J281" s="269">
        <f t="shared" si="45"/>
        <v>0</v>
      </c>
      <c r="N281" s="1200">
        <f t="shared" si="46"/>
        <v>0</v>
      </c>
      <c r="U281" s="1682">
        <f t="shared" si="47"/>
        <v>0</v>
      </c>
    </row>
    <row r="282" spans="1:21" ht="21" hidden="1" x14ac:dyDescent="0.25">
      <c r="A282" s="1233"/>
      <c r="B282" s="1197" t="s">
        <v>268</v>
      </c>
      <c r="C282" s="1183"/>
      <c r="D282" s="409" t="s">
        <v>506</v>
      </c>
      <c r="E282" s="409" t="s">
        <v>506</v>
      </c>
      <c r="F282" s="409" t="s">
        <v>507</v>
      </c>
      <c r="G282" s="1662" t="s">
        <v>1</v>
      </c>
      <c r="H282" s="1682"/>
      <c r="I282" s="529"/>
      <c r="J282" s="269"/>
      <c r="N282" s="1200"/>
      <c r="U282" s="1682"/>
    </row>
    <row r="283" spans="1:21" ht="21" x14ac:dyDescent="0.25">
      <c r="A283" s="1233"/>
      <c r="B283" s="753" t="s">
        <v>268</v>
      </c>
      <c r="C283" s="1183"/>
      <c r="D283" s="409" t="s">
        <v>506</v>
      </c>
      <c r="E283" s="409" t="s">
        <v>506</v>
      </c>
      <c r="F283" s="409" t="s">
        <v>267</v>
      </c>
      <c r="G283" s="1662"/>
      <c r="H283" s="1682">
        <f t="shared" ref="H283:J284" si="48">H284</f>
        <v>348</v>
      </c>
      <c r="I283" s="529">
        <f t="shared" si="48"/>
        <v>302</v>
      </c>
      <c r="J283" s="269">
        <f t="shared" si="48"/>
        <v>337</v>
      </c>
      <c r="N283" s="1200">
        <f t="shared" ref="N283:N284" si="49">N284</f>
        <v>362</v>
      </c>
      <c r="U283" s="1682">
        <f t="shared" ref="U283:U284" si="50">U284</f>
        <v>377</v>
      </c>
    </row>
    <row r="284" spans="1:21" x14ac:dyDescent="0.25">
      <c r="A284" s="1179"/>
      <c r="B284" s="1205" t="s">
        <v>266</v>
      </c>
      <c r="C284" s="1180"/>
      <c r="D284" s="409" t="s">
        <v>506</v>
      </c>
      <c r="E284" s="409" t="s">
        <v>506</v>
      </c>
      <c r="F284" s="409" t="s">
        <v>263</v>
      </c>
      <c r="G284" s="1662"/>
      <c r="H284" s="1682">
        <f t="shared" si="48"/>
        <v>348</v>
      </c>
      <c r="I284" s="529">
        <f t="shared" si="48"/>
        <v>302</v>
      </c>
      <c r="J284" s="269">
        <f t="shared" si="48"/>
        <v>337</v>
      </c>
      <c r="N284" s="1200">
        <f t="shared" si="49"/>
        <v>362</v>
      </c>
      <c r="U284" s="1682">
        <f t="shared" si="50"/>
        <v>377</v>
      </c>
    </row>
    <row r="285" spans="1:21" ht="21" x14ac:dyDescent="0.25">
      <c r="A285" s="1179"/>
      <c r="B285" s="1191" t="s">
        <v>454</v>
      </c>
      <c r="C285" s="1183"/>
      <c r="D285" s="409" t="s">
        <v>506</v>
      </c>
      <c r="E285" s="409" t="s">
        <v>506</v>
      </c>
      <c r="F285" s="409" t="s">
        <v>263</v>
      </c>
      <c r="G285" s="1662" t="s">
        <v>1</v>
      </c>
      <c r="H285" s="1682">
        <v>348</v>
      </c>
      <c r="I285" s="529">
        <v>302</v>
      </c>
      <c r="J285" s="269">
        <v>337</v>
      </c>
      <c r="K285" s="1">
        <v>348</v>
      </c>
      <c r="N285" s="1200">
        <v>362</v>
      </c>
      <c r="U285" s="1682">
        <v>377</v>
      </c>
    </row>
    <row r="286" spans="1:21" s="760" customFormat="1" ht="13" x14ac:dyDescent="0.3">
      <c r="A286" s="842"/>
      <c r="B286" s="1251" t="s">
        <v>460</v>
      </c>
      <c r="C286" s="408"/>
      <c r="D286" s="1221" t="s">
        <v>453</v>
      </c>
      <c r="E286" s="1221" t="s">
        <v>459</v>
      </c>
      <c r="F286" s="408"/>
      <c r="G286" s="1661"/>
      <c r="H286" s="1683">
        <f>H287+H302</f>
        <v>14898.363000000001</v>
      </c>
      <c r="I286" s="841"/>
      <c r="J286" s="276"/>
      <c r="N286" s="1208">
        <f>N287+N302</f>
        <v>14478.74</v>
      </c>
      <c r="U286" s="1683">
        <f>U287+U302</f>
        <v>15056.970000000001</v>
      </c>
    </row>
    <row r="287" spans="1:21" x14ac:dyDescent="0.25">
      <c r="A287" s="1179"/>
      <c r="B287" s="1173" t="s">
        <v>87</v>
      </c>
      <c r="C287" s="1177"/>
      <c r="D287" s="408" t="s">
        <v>453</v>
      </c>
      <c r="E287" s="408" t="s">
        <v>456</v>
      </c>
      <c r="F287" s="408"/>
      <c r="G287" s="1661"/>
      <c r="H287" s="1683">
        <f>H288+H295</f>
        <v>11864.659000000001</v>
      </c>
      <c r="I287" s="841">
        <f>I288+I296</f>
        <v>0</v>
      </c>
      <c r="J287" s="276">
        <f>J288+J296</f>
        <v>0</v>
      </c>
      <c r="N287" s="1208">
        <f>N288+N295</f>
        <v>11461.34</v>
      </c>
      <c r="U287" s="1683">
        <f>U288+U295</f>
        <v>11718.970000000001</v>
      </c>
    </row>
    <row r="288" spans="1:21" ht="24.75" customHeight="1" x14ac:dyDescent="0.25">
      <c r="A288" s="1179"/>
      <c r="B288" s="753" t="s">
        <v>932</v>
      </c>
      <c r="C288" s="1177"/>
      <c r="D288" s="408" t="s">
        <v>453</v>
      </c>
      <c r="E288" s="408" t="s">
        <v>456</v>
      </c>
      <c r="F288" s="408" t="s">
        <v>273</v>
      </c>
      <c r="G288" s="1661"/>
      <c r="H288" s="1683">
        <f>H289</f>
        <v>11864.659000000001</v>
      </c>
      <c r="I288" s="841">
        <f t="shared" ref="I288:J291" si="51">I289</f>
        <v>0</v>
      </c>
      <c r="J288" s="276">
        <f t="shared" si="51"/>
        <v>0</v>
      </c>
      <c r="K288" s="1439">
        <f>K292+K293+K294+K299+K307+K301</f>
        <v>14898.362999999999</v>
      </c>
      <c r="M288" s="237"/>
      <c r="N288" s="1208">
        <f>N289</f>
        <v>11461.34</v>
      </c>
      <c r="U288" s="1683">
        <f>U289</f>
        <v>11718.970000000001</v>
      </c>
    </row>
    <row r="289" spans="1:25" ht="27.75" customHeight="1" x14ac:dyDescent="0.25">
      <c r="A289" s="1179"/>
      <c r="B289" s="1205" t="s">
        <v>911</v>
      </c>
      <c r="C289" s="1180"/>
      <c r="D289" s="409" t="s">
        <v>453</v>
      </c>
      <c r="E289" s="409" t="s">
        <v>456</v>
      </c>
      <c r="F289" s="409" t="s">
        <v>260</v>
      </c>
      <c r="G289" s="1662"/>
      <c r="H289" s="1682">
        <f>H290</f>
        <v>11864.659000000001</v>
      </c>
      <c r="I289" s="529">
        <f t="shared" si="51"/>
        <v>0</v>
      </c>
      <c r="J289" s="269">
        <f t="shared" si="51"/>
        <v>0</v>
      </c>
      <c r="N289" s="1200">
        <f>N290</f>
        <v>11461.34</v>
      </c>
      <c r="U289" s="1682">
        <f>U290</f>
        <v>11718.970000000001</v>
      </c>
    </row>
    <row r="290" spans="1:25" x14ac:dyDescent="0.25">
      <c r="A290" s="842"/>
      <c r="B290" s="1205" t="s">
        <v>259</v>
      </c>
      <c r="C290" s="1180"/>
      <c r="D290" s="409" t="s">
        <v>453</v>
      </c>
      <c r="E290" s="409" t="s">
        <v>456</v>
      </c>
      <c r="F290" s="409" t="s">
        <v>258</v>
      </c>
      <c r="G290" s="1662"/>
      <c r="H290" s="1687">
        <f>H292+H293+H294+H301</f>
        <v>11864.659000000001</v>
      </c>
      <c r="I290" s="1655">
        <f t="shared" si="51"/>
        <v>0</v>
      </c>
      <c r="J290" s="1656">
        <f t="shared" si="51"/>
        <v>0</v>
      </c>
      <c r="K290" s="1657"/>
      <c r="L290" s="1657"/>
      <c r="M290" s="1657"/>
      <c r="N290" s="1654">
        <f>N292+N293+N294+N301</f>
        <v>11461.34</v>
      </c>
      <c r="O290" s="1657"/>
      <c r="P290" s="1657"/>
      <c r="Q290" s="1657"/>
      <c r="R290" s="1657"/>
      <c r="S290" s="1657"/>
      <c r="T290" s="1657"/>
      <c r="U290" s="1687">
        <f>U292+U293+U294+U301</f>
        <v>11718.970000000001</v>
      </c>
    </row>
    <row r="291" spans="1:25" x14ac:dyDescent="0.25">
      <c r="A291" s="842"/>
      <c r="B291" s="1197" t="s">
        <v>351</v>
      </c>
      <c r="C291" s="1180"/>
      <c r="D291" s="409" t="s">
        <v>453</v>
      </c>
      <c r="E291" s="409" t="s">
        <v>456</v>
      </c>
      <c r="F291" s="409" t="s">
        <v>254</v>
      </c>
      <c r="G291" s="1662"/>
      <c r="H291" s="1687">
        <f>H292+H293+H294</f>
        <v>9911.0590000000011</v>
      </c>
      <c r="I291" s="1655">
        <f t="shared" si="51"/>
        <v>0</v>
      </c>
      <c r="J291" s="1656">
        <f t="shared" si="51"/>
        <v>0</v>
      </c>
      <c r="K291" s="1657"/>
      <c r="L291" s="1657"/>
      <c r="M291" s="1657"/>
      <c r="N291" s="1654">
        <f>N292+N293+N294</f>
        <v>9507.74</v>
      </c>
      <c r="O291" s="1657"/>
      <c r="P291" s="1657"/>
      <c r="Q291" s="1657"/>
      <c r="R291" s="1657"/>
      <c r="S291" s="1657"/>
      <c r="T291" s="1657"/>
      <c r="U291" s="1687">
        <f>U292+U293+U294</f>
        <v>9765.3700000000008</v>
      </c>
    </row>
    <row r="292" spans="1:25" x14ac:dyDescent="0.25">
      <c r="A292" s="842"/>
      <c r="B292" s="753" t="s">
        <v>840</v>
      </c>
      <c r="C292" s="1180"/>
      <c r="D292" s="409" t="s">
        <v>453</v>
      </c>
      <c r="E292" s="409" t="s">
        <v>456</v>
      </c>
      <c r="F292" s="409" t="s">
        <v>254</v>
      </c>
      <c r="G292" s="1662" t="s">
        <v>255</v>
      </c>
      <c r="H292" s="1682">
        <v>7092.058</v>
      </c>
      <c r="I292" s="529">
        <f>I293+I294+I295</f>
        <v>0</v>
      </c>
      <c r="J292" s="269">
        <f>J293+J294+J295</f>
        <v>0</v>
      </c>
      <c r="K292" s="1">
        <v>7092.058</v>
      </c>
      <c r="N292" s="1200">
        <v>7375.74</v>
      </c>
      <c r="U292" s="1682">
        <v>7670.77</v>
      </c>
    </row>
    <row r="293" spans="1:25" ht="21" x14ac:dyDescent="0.25">
      <c r="A293" s="1179"/>
      <c r="B293" s="1182" t="s">
        <v>454</v>
      </c>
      <c r="C293" s="1183"/>
      <c r="D293" s="409" t="s">
        <v>453</v>
      </c>
      <c r="E293" s="409" t="s">
        <v>456</v>
      </c>
      <c r="F293" s="409" t="s">
        <v>254</v>
      </c>
      <c r="G293" s="1662" t="s">
        <v>1</v>
      </c>
      <c r="H293" s="1682">
        <v>2809.0010000000002</v>
      </c>
      <c r="I293" s="529"/>
      <c r="J293" s="269"/>
      <c r="K293" s="1031">
        <v>2809.0010000000002</v>
      </c>
      <c r="N293" s="1200">
        <v>2122</v>
      </c>
      <c r="U293" s="1682">
        <v>2084.6</v>
      </c>
    </row>
    <row r="294" spans="1:25" x14ac:dyDescent="0.25">
      <c r="A294" s="1179"/>
      <c r="B294" s="1182" t="s">
        <v>457</v>
      </c>
      <c r="C294" s="1183"/>
      <c r="D294" s="409" t="s">
        <v>453</v>
      </c>
      <c r="E294" s="409" t="s">
        <v>456</v>
      </c>
      <c r="F294" s="409" t="s">
        <v>254</v>
      </c>
      <c r="G294" s="1662" t="s">
        <v>91</v>
      </c>
      <c r="H294" s="1682">
        <v>10</v>
      </c>
      <c r="I294" s="529"/>
      <c r="J294" s="269"/>
      <c r="K294" s="1">
        <v>10</v>
      </c>
      <c r="N294" s="1200">
        <v>10</v>
      </c>
      <c r="U294" s="1682">
        <v>10</v>
      </c>
    </row>
    <row r="295" spans="1:25" s="760" customFormat="1" ht="21" hidden="1" x14ac:dyDescent="0.3">
      <c r="A295" s="842"/>
      <c r="B295" s="1242" t="s">
        <v>499</v>
      </c>
      <c r="C295" s="1207"/>
      <c r="D295" s="408" t="s">
        <v>453</v>
      </c>
      <c r="E295" s="408" t="s">
        <v>456</v>
      </c>
      <c r="F295" s="408" t="s">
        <v>273</v>
      </c>
      <c r="G295" s="1661"/>
      <c r="H295" s="1683">
        <f>H296</f>
        <v>0</v>
      </c>
      <c r="I295" s="841"/>
      <c r="J295" s="276"/>
      <c r="K295" s="1"/>
      <c r="N295" s="1208">
        <f>N296</f>
        <v>0</v>
      </c>
      <c r="U295" s="1683">
        <f>U296</f>
        <v>0</v>
      </c>
    </row>
    <row r="296" spans="1:25" hidden="1" x14ac:dyDescent="0.25">
      <c r="A296" s="1179"/>
      <c r="B296" s="753" t="s">
        <v>109</v>
      </c>
      <c r="C296" s="1180"/>
      <c r="D296" s="409" t="s">
        <v>453</v>
      </c>
      <c r="E296" s="409" t="s">
        <v>456</v>
      </c>
      <c r="F296" s="409" t="s">
        <v>260</v>
      </c>
      <c r="G296" s="1662"/>
      <c r="H296" s="1682">
        <f>H297</f>
        <v>0</v>
      </c>
      <c r="I296" s="529">
        <f>I297</f>
        <v>0</v>
      </c>
      <c r="J296" s="269">
        <f>J297</f>
        <v>0</v>
      </c>
      <c r="N296" s="1200">
        <f>N297</f>
        <v>0</v>
      </c>
      <c r="U296" s="1682">
        <f>U297</f>
        <v>0</v>
      </c>
    </row>
    <row r="297" spans="1:25" hidden="1" x14ac:dyDescent="0.25">
      <c r="A297" s="1179"/>
      <c r="B297" s="1205" t="s">
        <v>109</v>
      </c>
      <c r="C297" s="1180"/>
      <c r="D297" s="409" t="s">
        <v>453</v>
      </c>
      <c r="E297" s="409" t="s">
        <v>456</v>
      </c>
      <c r="F297" s="409" t="s">
        <v>258</v>
      </c>
      <c r="G297" s="1662"/>
      <c r="H297" s="1682"/>
      <c r="I297" s="529"/>
      <c r="J297" s="269"/>
      <c r="N297" s="1200"/>
      <c r="U297" s="1682"/>
    </row>
    <row r="298" spans="1:25" hidden="1" x14ac:dyDescent="0.25">
      <c r="A298" s="1179"/>
      <c r="B298" s="1205" t="s">
        <v>830</v>
      </c>
      <c r="C298" s="1180"/>
      <c r="D298" s="409" t="s">
        <v>453</v>
      </c>
      <c r="E298" s="409" t="s">
        <v>456</v>
      </c>
      <c r="F298" s="409" t="s">
        <v>831</v>
      </c>
      <c r="G298" s="1662"/>
      <c r="H298" s="1682">
        <f>H299</f>
        <v>0</v>
      </c>
      <c r="I298" s="529">
        <f>I299+I304</f>
        <v>0</v>
      </c>
      <c r="J298" s="269">
        <f>J299+J304</f>
        <v>0</v>
      </c>
      <c r="N298" s="1200">
        <f>N299</f>
        <v>0</v>
      </c>
      <c r="U298" s="1682">
        <f>U299</f>
        <v>0</v>
      </c>
    </row>
    <row r="299" spans="1:25" hidden="1" x14ac:dyDescent="0.25">
      <c r="A299" s="1179"/>
      <c r="B299" s="1197" t="s">
        <v>841</v>
      </c>
      <c r="C299" s="1180"/>
      <c r="D299" s="409" t="s">
        <v>453</v>
      </c>
      <c r="E299" s="409" t="s">
        <v>456</v>
      </c>
      <c r="F299" s="409" t="s">
        <v>831</v>
      </c>
      <c r="G299" s="1662" t="s">
        <v>255</v>
      </c>
      <c r="H299" s="1682"/>
      <c r="I299" s="529">
        <f>I302</f>
        <v>0</v>
      </c>
      <c r="J299" s="269">
        <f>J302</f>
        <v>0</v>
      </c>
      <c r="K299" s="1">
        <v>976.8</v>
      </c>
      <c r="N299" s="1200"/>
      <c r="U299" s="1682"/>
    </row>
    <row r="300" spans="1:25" x14ac:dyDescent="0.25">
      <c r="A300" s="1179"/>
      <c r="B300" s="1205" t="s">
        <v>830</v>
      </c>
      <c r="C300" s="1180"/>
      <c r="D300" s="1706" t="s">
        <v>453</v>
      </c>
      <c r="E300" s="1706" t="s">
        <v>456</v>
      </c>
      <c r="F300" s="1706" t="s">
        <v>970</v>
      </c>
      <c r="G300" s="1707"/>
      <c r="H300" s="1714">
        <f>H301</f>
        <v>1953.6</v>
      </c>
      <c r="I300" s="1715"/>
      <c r="J300" s="1716"/>
      <c r="K300" s="1711"/>
      <c r="L300" s="1711"/>
      <c r="M300" s="1711"/>
      <c r="N300" s="1717">
        <f>N301</f>
        <v>1953.6</v>
      </c>
      <c r="O300" s="1711"/>
      <c r="P300" s="1711"/>
      <c r="Q300" s="1711"/>
      <c r="R300" s="1711"/>
      <c r="S300" s="1711"/>
      <c r="T300" s="1711"/>
      <c r="U300" s="1714">
        <f>U301</f>
        <v>1953.6</v>
      </c>
      <c r="V300" s="1723">
        <v>2666.2</v>
      </c>
      <c r="W300" s="1723">
        <v>2666.2</v>
      </c>
      <c r="X300" s="1723">
        <v>2666.2</v>
      </c>
      <c r="Y300" s="239" t="s">
        <v>444</v>
      </c>
    </row>
    <row r="301" spans="1:25" x14ac:dyDescent="0.25">
      <c r="A301" s="1179"/>
      <c r="B301" s="1197" t="s">
        <v>841</v>
      </c>
      <c r="C301" s="1180"/>
      <c r="D301" s="1706" t="s">
        <v>453</v>
      </c>
      <c r="E301" s="1706" t="s">
        <v>456</v>
      </c>
      <c r="F301" s="1706" t="s">
        <v>970</v>
      </c>
      <c r="G301" s="1707" t="s">
        <v>255</v>
      </c>
      <c r="H301" s="1714">
        <f>976.8+976.8</f>
        <v>1953.6</v>
      </c>
      <c r="I301" s="1715"/>
      <c r="J301" s="1716"/>
      <c r="K301" s="1711">
        <v>976.8</v>
      </c>
      <c r="L301" s="1711"/>
      <c r="M301" s="1711"/>
      <c r="N301" s="1717">
        <f>976.8+976.8</f>
        <v>1953.6</v>
      </c>
      <c r="O301" s="1711"/>
      <c r="P301" s="1711"/>
      <c r="Q301" s="1711"/>
      <c r="R301" s="1711"/>
      <c r="S301" s="1711"/>
      <c r="T301" s="1711"/>
      <c r="U301" s="1714">
        <f>976.8+976.8</f>
        <v>1953.6</v>
      </c>
      <c r="V301" s="1722">
        <v>2666.2</v>
      </c>
      <c r="W301" s="1722">
        <v>2666.2</v>
      </c>
      <c r="X301" s="1722">
        <v>2666.2</v>
      </c>
    </row>
    <row r="302" spans="1:25" s="760" customFormat="1" ht="13" x14ac:dyDescent="0.3">
      <c r="A302" s="842"/>
      <c r="B302" s="1252" t="s">
        <v>244</v>
      </c>
      <c r="C302" s="1177"/>
      <c r="D302" s="408" t="s">
        <v>453</v>
      </c>
      <c r="E302" s="408" t="s">
        <v>452</v>
      </c>
      <c r="F302" s="408"/>
      <c r="G302" s="1661"/>
      <c r="H302" s="1683">
        <f>H303</f>
        <v>3033.7040000000002</v>
      </c>
      <c r="I302" s="841">
        <f>I303</f>
        <v>0</v>
      </c>
      <c r="J302" s="276">
        <f>J303</f>
        <v>0</v>
      </c>
      <c r="N302" s="1208">
        <f>N303</f>
        <v>3017.4</v>
      </c>
      <c r="U302" s="1683">
        <f>U303</f>
        <v>3338</v>
      </c>
    </row>
    <row r="303" spans="1:25" ht="21" x14ac:dyDescent="0.25">
      <c r="A303" s="1179"/>
      <c r="B303" s="1242" t="s">
        <v>933</v>
      </c>
      <c r="C303" s="1183"/>
      <c r="D303" s="409" t="s">
        <v>453</v>
      </c>
      <c r="E303" s="409" t="s">
        <v>452</v>
      </c>
      <c r="F303" s="409" t="s">
        <v>273</v>
      </c>
      <c r="G303" s="1662"/>
      <c r="H303" s="1682">
        <f>H304</f>
        <v>3033.7040000000002</v>
      </c>
      <c r="I303" s="529"/>
      <c r="J303" s="269"/>
      <c r="N303" s="1200">
        <f>N304</f>
        <v>3017.4</v>
      </c>
      <c r="U303" s="1682">
        <f>U304</f>
        <v>3338</v>
      </c>
    </row>
    <row r="304" spans="1:25" x14ac:dyDescent="0.25">
      <c r="A304" s="1179"/>
      <c r="B304" s="753" t="s">
        <v>836</v>
      </c>
      <c r="C304" s="1183"/>
      <c r="D304" s="409" t="s">
        <v>453</v>
      </c>
      <c r="E304" s="409" t="s">
        <v>452</v>
      </c>
      <c r="F304" s="409" t="s">
        <v>251</v>
      </c>
      <c r="G304" s="1662"/>
      <c r="H304" s="1682">
        <f>H305</f>
        <v>3033.7040000000002</v>
      </c>
      <c r="I304" s="529">
        <f>I305+I307</f>
        <v>0</v>
      </c>
      <c r="J304" s="269">
        <f>J305+J307</f>
        <v>0</v>
      </c>
      <c r="N304" s="1200">
        <f>N305</f>
        <v>3017.4</v>
      </c>
      <c r="U304" s="1682">
        <f>U305</f>
        <v>3338</v>
      </c>
    </row>
    <row r="305" spans="1:21" x14ac:dyDescent="0.25">
      <c r="A305" s="1179"/>
      <c r="B305" s="753" t="s">
        <v>250</v>
      </c>
      <c r="C305" s="1180"/>
      <c r="D305" s="409" t="s">
        <v>453</v>
      </c>
      <c r="E305" s="409" t="s">
        <v>452</v>
      </c>
      <c r="F305" s="409" t="s">
        <v>249</v>
      </c>
      <c r="G305" s="1662"/>
      <c r="H305" s="1682">
        <f>H306</f>
        <v>3033.7040000000002</v>
      </c>
      <c r="I305" s="529">
        <f>I306</f>
        <v>0</v>
      </c>
      <c r="J305" s="269">
        <f>J306</f>
        <v>0</v>
      </c>
      <c r="N305" s="1200">
        <f>N306</f>
        <v>3017.4</v>
      </c>
      <c r="U305" s="1682">
        <f>U306</f>
        <v>3338</v>
      </c>
    </row>
    <row r="306" spans="1:21" x14ac:dyDescent="0.25">
      <c r="A306" s="1179"/>
      <c r="B306" s="1242" t="s">
        <v>248</v>
      </c>
      <c r="C306" s="1183"/>
      <c r="D306" s="409" t="s">
        <v>453</v>
      </c>
      <c r="E306" s="409" t="s">
        <v>452</v>
      </c>
      <c r="F306" s="409" t="s">
        <v>243</v>
      </c>
      <c r="G306" s="1662"/>
      <c r="H306" s="1682">
        <f>H307</f>
        <v>3033.7040000000002</v>
      </c>
      <c r="I306" s="529">
        <v>0</v>
      </c>
      <c r="J306" s="269">
        <v>0</v>
      </c>
      <c r="N306" s="1200">
        <f>N307</f>
        <v>3017.4</v>
      </c>
      <c r="U306" s="1682">
        <f>U307</f>
        <v>3338</v>
      </c>
    </row>
    <row r="307" spans="1:21" x14ac:dyDescent="0.25">
      <c r="A307" s="1179"/>
      <c r="B307" s="753" t="s">
        <v>454</v>
      </c>
      <c r="C307" s="1180"/>
      <c r="D307" s="409" t="s">
        <v>453</v>
      </c>
      <c r="E307" s="409" t="s">
        <v>452</v>
      </c>
      <c r="F307" s="409" t="s">
        <v>243</v>
      </c>
      <c r="G307" s="1662" t="s">
        <v>1</v>
      </c>
      <c r="H307" s="1682">
        <v>3033.7040000000002</v>
      </c>
      <c r="I307" s="529">
        <f>I308</f>
        <v>0</v>
      </c>
      <c r="J307" s="269">
        <f>J308</f>
        <v>0</v>
      </c>
      <c r="K307" s="1">
        <f>4010.504-976.8</f>
        <v>3033.7039999999997</v>
      </c>
      <c r="N307" s="1200">
        <v>3017.4</v>
      </c>
      <c r="U307" s="1682">
        <v>3338</v>
      </c>
    </row>
    <row r="308" spans="1:21" ht="21" hidden="1" x14ac:dyDescent="0.25">
      <c r="A308" s="1179"/>
      <c r="B308" s="1182" t="s">
        <v>454</v>
      </c>
      <c r="C308" s="1183"/>
      <c r="D308" s="409" t="s">
        <v>453</v>
      </c>
      <c r="E308" s="409" t="s">
        <v>452</v>
      </c>
      <c r="F308" s="409" t="s">
        <v>500</v>
      </c>
      <c r="G308" s="1662" t="s">
        <v>26</v>
      </c>
      <c r="H308" s="1682"/>
      <c r="I308" s="529"/>
      <c r="J308" s="269"/>
      <c r="N308" s="1200"/>
      <c r="U308" s="1682"/>
    </row>
    <row r="309" spans="1:21" x14ac:dyDescent="0.25">
      <c r="A309" s="1179"/>
      <c r="B309" s="1184" t="s">
        <v>334</v>
      </c>
      <c r="C309" s="1177"/>
      <c r="D309" s="408" t="s">
        <v>496</v>
      </c>
      <c r="E309" s="408" t="s">
        <v>459</v>
      </c>
      <c r="F309" s="408"/>
      <c r="G309" s="1661"/>
      <c r="H309" s="1683">
        <f>H310+H316</f>
        <v>615.01599999999996</v>
      </c>
      <c r="I309" s="841">
        <f>I310+I316</f>
        <v>1117.1999999999998</v>
      </c>
      <c r="J309" s="277">
        <f>J310+J316</f>
        <v>1195.4000000000001</v>
      </c>
      <c r="N309" s="1208">
        <f>N310+N316</f>
        <v>639.61699999999996</v>
      </c>
      <c r="U309" s="1683">
        <f>U310+U316</f>
        <v>665.20100000000002</v>
      </c>
    </row>
    <row r="310" spans="1:21" x14ac:dyDescent="0.25">
      <c r="A310" s="1179"/>
      <c r="B310" s="1184" t="s">
        <v>79</v>
      </c>
      <c r="C310" s="1177"/>
      <c r="D310" s="408" t="s">
        <v>496</v>
      </c>
      <c r="E310" s="408" t="s">
        <v>456</v>
      </c>
      <c r="F310" s="408"/>
      <c r="G310" s="1661"/>
      <c r="H310" s="1683">
        <f t="shared" ref="H310:J314" si="52">H311</f>
        <v>615.01599999999996</v>
      </c>
      <c r="I310" s="841">
        <f t="shared" si="52"/>
        <v>531.38</v>
      </c>
      <c r="J310" s="277">
        <f t="shared" si="52"/>
        <v>584.51300000000003</v>
      </c>
      <c r="K310" s="1439">
        <v>615.01599999999996</v>
      </c>
      <c r="N310" s="1208">
        <f t="shared" ref="N310:N314" si="53">N311</f>
        <v>639.61699999999996</v>
      </c>
      <c r="U310" s="1683">
        <f t="shared" ref="U310:U314" si="54">U311</f>
        <v>665.20100000000002</v>
      </c>
    </row>
    <row r="311" spans="1:21" ht="21" x14ac:dyDescent="0.25">
      <c r="A311" s="1179"/>
      <c r="B311" s="753" t="s">
        <v>499</v>
      </c>
      <c r="C311" s="1177"/>
      <c r="D311" s="408" t="s">
        <v>496</v>
      </c>
      <c r="E311" s="408" t="s">
        <v>456</v>
      </c>
      <c r="F311" s="408" t="s">
        <v>89</v>
      </c>
      <c r="G311" s="1661"/>
      <c r="H311" s="1683">
        <f t="shared" si="52"/>
        <v>615.01599999999996</v>
      </c>
      <c r="I311" s="841">
        <f t="shared" si="52"/>
        <v>531.38</v>
      </c>
      <c r="J311" s="277">
        <f t="shared" si="52"/>
        <v>584.51300000000003</v>
      </c>
      <c r="N311" s="1208">
        <f t="shared" si="53"/>
        <v>639.61699999999996</v>
      </c>
      <c r="U311" s="1683">
        <f t="shared" si="54"/>
        <v>665.20100000000002</v>
      </c>
    </row>
    <row r="312" spans="1:21" x14ac:dyDescent="0.25">
      <c r="A312" s="1179"/>
      <c r="B312" s="753" t="s">
        <v>109</v>
      </c>
      <c r="C312" s="1180"/>
      <c r="D312" s="409" t="s">
        <v>496</v>
      </c>
      <c r="E312" s="409" t="s">
        <v>456</v>
      </c>
      <c r="F312" s="409" t="s">
        <v>84</v>
      </c>
      <c r="G312" s="1662"/>
      <c r="H312" s="1682">
        <f t="shared" si="52"/>
        <v>615.01599999999996</v>
      </c>
      <c r="I312" s="529">
        <f t="shared" si="52"/>
        <v>531.38</v>
      </c>
      <c r="J312" s="270">
        <f t="shared" si="52"/>
        <v>584.51300000000003</v>
      </c>
      <c r="N312" s="1200">
        <f t="shared" si="53"/>
        <v>639.61699999999996</v>
      </c>
      <c r="U312" s="1682">
        <f t="shared" si="54"/>
        <v>665.20100000000002</v>
      </c>
    </row>
    <row r="313" spans="1:21" x14ac:dyDescent="0.25">
      <c r="A313" s="1179"/>
      <c r="B313" s="753" t="s">
        <v>109</v>
      </c>
      <c r="C313" s="1180"/>
      <c r="D313" s="409" t="s">
        <v>496</v>
      </c>
      <c r="E313" s="409" t="s">
        <v>456</v>
      </c>
      <c r="F313" s="409" t="s">
        <v>82</v>
      </c>
      <c r="G313" s="1662"/>
      <c r="H313" s="1682">
        <f t="shared" si="52"/>
        <v>615.01599999999996</v>
      </c>
      <c r="I313" s="529">
        <f t="shared" si="52"/>
        <v>531.38</v>
      </c>
      <c r="J313" s="270">
        <f t="shared" si="52"/>
        <v>584.51300000000003</v>
      </c>
      <c r="N313" s="1200">
        <f t="shared" si="53"/>
        <v>639.61699999999996</v>
      </c>
      <c r="U313" s="1682">
        <f t="shared" si="54"/>
        <v>665.20100000000002</v>
      </c>
    </row>
    <row r="314" spans="1:21" x14ac:dyDescent="0.25">
      <c r="A314" s="1179"/>
      <c r="B314" s="753" t="s">
        <v>81</v>
      </c>
      <c r="C314" s="1180"/>
      <c r="D314" s="409" t="s">
        <v>496</v>
      </c>
      <c r="E314" s="409" t="s">
        <v>456</v>
      </c>
      <c r="F314" s="409" t="s">
        <v>78</v>
      </c>
      <c r="G314" s="1662"/>
      <c r="H314" s="1682">
        <f t="shared" si="52"/>
        <v>615.01599999999996</v>
      </c>
      <c r="I314" s="529">
        <f t="shared" si="52"/>
        <v>531.38</v>
      </c>
      <c r="J314" s="270">
        <f t="shared" si="52"/>
        <v>584.51300000000003</v>
      </c>
      <c r="N314" s="1200">
        <f t="shared" si="53"/>
        <v>639.61699999999996</v>
      </c>
      <c r="U314" s="1682">
        <f t="shared" si="54"/>
        <v>665.20100000000002</v>
      </c>
    </row>
    <row r="315" spans="1:21" x14ac:dyDescent="0.25">
      <c r="A315" s="1179"/>
      <c r="B315" s="1236" t="s">
        <v>497</v>
      </c>
      <c r="C315" s="1183"/>
      <c r="D315" s="409" t="s">
        <v>496</v>
      </c>
      <c r="E315" s="409" t="s">
        <v>456</v>
      </c>
      <c r="F315" s="409" t="s">
        <v>78</v>
      </c>
      <c r="G315" s="1662" t="s">
        <v>77</v>
      </c>
      <c r="H315" s="1682">
        <v>615.01599999999996</v>
      </c>
      <c r="I315" s="529">
        <v>531.38</v>
      </c>
      <c r="J315" s="269">
        <v>584.51300000000003</v>
      </c>
      <c r="N315" s="1200">
        <v>639.61699999999996</v>
      </c>
      <c r="U315" s="1682">
        <v>665.20100000000002</v>
      </c>
    </row>
    <row r="316" spans="1:21" hidden="1" x14ac:dyDescent="0.25">
      <c r="A316" s="1179"/>
      <c r="B316" s="1184" t="s">
        <v>45</v>
      </c>
      <c r="C316" s="1177"/>
      <c r="D316" s="408" t="s">
        <v>496</v>
      </c>
      <c r="E316" s="408" t="s">
        <v>495</v>
      </c>
      <c r="F316" s="408"/>
      <c r="G316" s="1661"/>
      <c r="H316" s="1683">
        <f t="shared" ref="H316:J319" si="55">H317</f>
        <v>0</v>
      </c>
      <c r="I316" s="841">
        <f t="shared" si="55"/>
        <v>585.81999999999994</v>
      </c>
      <c r="J316" s="277">
        <f t="shared" si="55"/>
        <v>610.88699999999994</v>
      </c>
      <c r="N316" s="1208">
        <f t="shared" ref="N316:N319" si="56">N317</f>
        <v>0</v>
      </c>
      <c r="U316" s="1683">
        <f t="shared" ref="U316:U319" si="57">U317</f>
        <v>0</v>
      </c>
    </row>
    <row r="317" spans="1:21" ht="31.5" hidden="1" x14ac:dyDescent="0.25">
      <c r="A317" s="1179"/>
      <c r="B317" s="931" t="s">
        <v>861</v>
      </c>
      <c r="C317" s="1177"/>
      <c r="D317" s="408" t="s">
        <v>496</v>
      </c>
      <c r="E317" s="408" t="s">
        <v>495</v>
      </c>
      <c r="F317" s="408" t="s">
        <v>468</v>
      </c>
      <c r="G317" s="1661"/>
      <c r="H317" s="1683">
        <f>H318+H322</f>
        <v>0</v>
      </c>
      <c r="I317" s="841">
        <f t="shared" si="55"/>
        <v>585.81999999999994</v>
      </c>
      <c r="J317" s="277">
        <f t="shared" si="55"/>
        <v>610.88699999999994</v>
      </c>
      <c r="N317" s="1208">
        <f>N318+N322</f>
        <v>0</v>
      </c>
      <c r="U317" s="1683">
        <f>U318+U322</f>
        <v>0</v>
      </c>
    </row>
    <row r="318" spans="1:21" hidden="1" x14ac:dyDescent="0.25">
      <c r="A318" s="1179"/>
      <c r="B318" s="1203" t="s">
        <v>849</v>
      </c>
      <c r="C318" s="1180"/>
      <c r="D318" s="409" t="s">
        <v>496</v>
      </c>
      <c r="E318" s="409" t="s">
        <v>495</v>
      </c>
      <c r="F318" s="409" t="s">
        <v>854</v>
      </c>
      <c r="G318" s="1662"/>
      <c r="H318" s="1682">
        <f t="shared" si="55"/>
        <v>0</v>
      </c>
      <c r="I318" s="529">
        <f t="shared" si="55"/>
        <v>585.81999999999994</v>
      </c>
      <c r="J318" s="270">
        <f t="shared" si="55"/>
        <v>610.88699999999994</v>
      </c>
      <c r="N318" s="1200">
        <f t="shared" si="56"/>
        <v>0</v>
      </c>
      <c r="U318" s="1682">
        <f t="shared" si="57"/>
        <v>0</v>
      </c>
    </row>
    <row r="319" spans="1:21" hidden="1" x14ac:dyDescent="0.25">
      <c r="A319" s="1179"/>
      <c r="B319" s="1203" t="s">
        <v>850</v>
      </c>
      <c r="C319" s="1180"/>
      <c r="D319" s="409" t="s">
        <v>496</v>
      </c>
      <c r="E319" s="409" t="s">
        <v>495</v>
      </c>
      <c r="F319" s="409" t="s">
        <v>855</v>
      </c>
      <c r="G319" s="1662"/>
      <c r="H319" s="1682">
        <f t="shared" si="55"/>
        <v>0</v>
      </c>
      <c r="I319" s="529">
        <f t="shared" si="55"/>
        <v>585.81999999999994</v>
      </c>
      <c r="J319" s="270">
        <f t="shared" si="55"/>
        <v>610.88699999999994</v>
      </c>
      <c r="N319" s="1200">
        <f t="shared" si="56"/>
        <v>0</v>
      </c>
      <c r="U319" s="1682">
        <f t="shared" si="57"/>
        <v>0</v>
      </c>
    </row>
    <row r="320" spans="1:21" ht="35.25" hidden="1" customHeight="1" x14ac:dyDescent="0.25">
      <c r="A320" s="1179"/>
      <c r="B320" s="1232" t="s">
        <v>851</v>
      </c>
      <c r="C320" s="1180"/>
      <c r="D320" s="409" t="s">
        <v>496</v>
      </c>
      <c r="E320" s="409" t="s">
        <v>495</v>
      </c>
      <c r="F320" s="1235" t="s">
        <v>856</v>
      </c>
      <c r="G320" s="1662"/>
      <c r="H320" s="1682">
        <f>H321</f>
        <v>0</v>
      </c>
      <c r="I320" s="529">
        <f>I321+I325+I326</f>
        <v>585.81999999999994</v>
      </c>
      <c r="J320" s="270">
        <f>J321+J325+J326</f>
        <v>610.88699999999994</v>
      </c>
      <c r="N320" s="1200">
        <f>N321</f>
        <v>0</v>
      </c>
      <c r="U320" s="1682">
        <f>U321</f>
        <v>0</v>
      </c>
    </row>
    <row r="321" spans="1:21" hidden="1" x14ac:dyDescent="0.25">
      <c r="A321" s="1179"/>
      <c r="B321" s="1236" t="s">
        <v>497</v>
      </c>
      <c r="C321" s="1183"/>
      <c r="D321" s="409" t="s">
        <v>496</v>
      </c>
      <c r="E321" s="409" t="s">
        <v>495</v>
      </c>
      <c r="F321" s="1235" t="s">
        <v>856</v>
      </c>
      <c r="G321" s="1662" t="s">
        <v>77</v>
      </c>
      <c r="H321" s="1685">
        <v>0</v>
      </c>
      <c r="I321" s="529">
        <v>31.3</v>
      </c>
      <c r="J321" s="269">
        <v>34.43</v>
      </c>
      <c r="N321" s="1237">
        <v>0</v>
      </c>
      <c r="U321" s="1685">
        <v>0</v>
      </c>
    </row>
    <row r="322" spans="1:21" ht="21" hidden="1" x14ac:dyDescent="0.25">
      <c r="A322" s="1179"/>
      <c r="B322" s="1203" t="s">
        <v>853</v>
      </c>
      <c r="C322" s="1183"/>
      <c r="D322" s="409" t="s">
        <v>496</v>
      </c>
      <c r="E322" s="409" t="s">
        <v>495</v>
      </c>
      <c r="F322" s="1235" t="s">
        <v>857</v>
      </c>
      <c r="G322" s="1662"/>
      <c r="H322" s="1685">
        <f>H323</f>
        <v>0</v>
      </c>
      <c r="I322" s="529"/>
      <c r="J322" s="269"/>
      <c r="N322" s="1237">
        <f>N323</f>
        <v>0</v>
      </c>
      <c r="U322" s="1685">
        <f>U323</f>
        <v>0</v>
      </c>
    </row>
    <row r="323" spans="1:21" hidden="1" x14ac:dyDescent="0.25">
      <c r="A323" s="1179"/>
      <c r="B323" s="1203" t="s">
        <v>850</v>
      </c>
      <c r="C323" s="1183"/>
      <c r="D323" s="409" t="s">
        <v>496</v>
      </c>
      <c r="E323" s="409" t="s">
        <v>495</v>
      </c>
      <c r="F323" s="409" t="s">
        <v>858</v>
      </c>
      <c r="G323" s="1662"/>
      <c r="H323" s="1685">
        <f>H324</f>
        <v>0</v>
      </c>
      <c r="I323" s="529"/>
      <c r="J323" s="269"/>
      <c r="N323" s="1237">
        <f>N324</f>
        <v>0</v>
      </c>
      <c r="U323" s="1685">
        <f>U324</f>
        <v>0</v>
      </c>
    </row>
    <row r="324" spans="1:21" ht="31.5" hidden="1" x14ac:dyDescent="0.25">
      <c r="A324" s="1179"/>
      <c r="B324" s="1203" t="s">
        <v>851</v>
      </c>
      <c r="C324" s="1183"/>
      <c r="D324" s="409" t="s">
        <v>496</v>
      </c>
      <c r="E324" s="409" t="s">
        <v>495</v>
      </c>
      <c r="F324" s="1235" t="s">
        <v>859</v>
      </c>
      <c r="G324" s="1662"/>
      <c r="H324" s="1685">
        <f>H325</f>
        <v>0</v>
      </c>
      <c r="I324" s="529"/>
      <c r="J324" s="269"/>
      <c r="N324" s="1237">
        <f>N325</f>
        <v>0</v>
      </c>
      <c r="U324" s="1685">
        <f>U325</f>
        <v>0</v>
      </c>
    </row>
    <row r="325" spans="1:21" hidden="1" x14ac:dyDescent="0.25">
      <c r="A325" s="1179"/>
      <c r="B325" s="1236" t="s">
        <v>497</v>
      </c>
      <c r="C325" s="1183"/>
      <c r="D325" s="409" t="s">
        <v>496</v>
      </c>
      <c r="E325" s="409" t="s">
        <v>495</v>
      </c>
      <c r="F325" s="1235" t="s">
        <v>859</v>
      </c>
      <c r="G325" s="1662" t="s">
        <v>77</v>
      </c>
      <c r="H325" s="1685">
        <v>0</v>
      </c>
      <c r="I325" s="529">
        <v>554.52</v>
      </c>
      <c r="J325" s="269">
        <v>576.45699999999999</v>
      </c>
      <c r="N325" s="1237">
        <v>0</v>
      </c>
      <c r="U325" s="1685">
        <v>0</v>
      </c>
    </row>
    <row r="326" spans="1:21" hidden="1" x14ac:dyDescent="0.25">
      <c r="A326" s="1179"/>
      <c r="B326" s="1182" t="s">
        <v>497</v>
      </c>
      <c r="C326" s="1183"/>
      <c r="D326" s="409" t="s">
        <v>496</v>
      </c>
      <c r="E326" s="409" t="s">
        <v>495</v>
      </c>
      <c r="F326" s="409" t="s">
        <v>43</v>
      </c>
      <c r="G326" s="1662" t="s">
        <v>77</v>
      </c>
      <c r="H326" s="1682"/>
      <c r="I326" s="529"/>
      <c r="J326" s="269"/>
      <c r="N326" s="1200"/>
      <c r="U326" s="1682"/>
    </row>
    <row r="327" spans="1:21" x14ac:dyDescent="0.25">
      <c r="A327" s="1179"/>
      <c r="B327" s="1184" t="s">
        <v>331</v>
      </c>
      <c r="C327" s="1177"/>
      <c r="D327" s="408" t="s">
        <v>464</v>
      </c>
      <c r="E327" s="408" t="s">
        <v>459</v>
      </c>
      <c r="F327" s="408"/>
      <c r="G327" s="1661"/>
      <c r="H327" s="1683">
        <f>H328+H336</f>
        <v>600</v>
      </c>
      <c r="I327" s="841">
        <f>I328+I336</f>
        <v>450</v>
      </c>
      <c r="J327" s="277">
        <f>J328+J336</f>
        <v>500</v>
      </c>
      <c r="K327" s="1439">
        <v>600</v>
      </c>
      <c r="N327" s="1208">
        <f>N328+N336</f>
        <v>650</v>
      </c>
      <c r="U327" s="1683">
        <f>U328+U336</f>
        <v>700</v>
      </c>
    </row>
    <row r="328" spans="1:21" hidden="1" x14ac:dyDescent="0.25">
      <c r="A328" s="1179"/>
      <c r="B328" s="1184" t="s">
        <v>494</v>
      </c>
      <c r="C328" s="1177"/>
      <c r="D328" s="408" t="s">
        <v>464</v>
      </c>
      <c r="E328" s="408" t="s">
        <v>488</v>
      </c>
      <c r="F328" s="408" t="s">
        <v>106</v>
      </c>
      <c r="G328" s="1661" t="s">
        <v>106</v>
      </c>
      <c r="H328" s="1683">
        <f t="shared" ref="H328:J331" si="58">H329</f>
        <v>0</v>
      </c>
      <c r="I328" s="841">
        <f t="shared" si="58"/>
        <v>0</v>
      </c>
      <c r="J328" s="277">
        <f t="shared" si="58"/>
        <v>0</v>
      </c>
      <c r="N328" s="1208">
        <f t="shared" ref="N328:N331" si="59">N329</f>
        <v>0</v>
      </c>
      <c r="U328" s="1683">
        <f t="shared" ref="U328:U331" si="60">U329</f>
        <v>0</v>
      </c>
    </row>
    <row r="329" spans="1:21" ht="34.5" hidden="1" x14ac:dyDescent="0.25">
      <c r="A329" s="1179"/>
      <c r="B329" s="1184" t="s">
        <v>493</v>
      </c>
      <c r="C329" s="1177"/>
      <c r="D329" s="408" t="s">
        <v>464</v>
      </c>
      <c r="E329" s="408" t="s">
        <v>488</v>
      </c>
      <c r="F329" s="408" t="s">
        <v>311</v>
      </c>
      <c r="G329" s="1661"/>
      <c r="H329" s="1683">
        <f t="shared" si="58"/>
        <v>0</v>
      </c>
      <c r="I329" s="841">
        <f t="shared" si="58"/>
        <v>0</v>
      </c>
      <c r="J329" s="277">
        <f t="shared" si="58"/>
        <v>0</v>
      </c>
      <c r="N329" s="1208">
        <f t="shared" si="59"/>
        <v>0</v>
      </c>
      <c r="U329" s="1683">
        <f t="shared" si="60"/>
        <v>0</v>
      </c>
    </row>
    <row r="330" spans="1:21" ht="34.5" hidden="1" x14ac:dyDescent="0.25">
      <c r="A330" s="1233"/>
      <c r="B330" s="1253" t="s">
        <v>492</v>
      </c>
      <c r="C330" s="1180"/>
      <c r="D330" s="409" t="s">
        <v>464</v>
      </c>
      <c r="E330" s="409" t="s">
        <v>488</v>
      </c>
      <c r="F330" s="409" t="s">
        <v>491</v>
      </c>
      <c r="G330" s="1662"/>
      <c r="H330" s="1682">
        <f t="shared" si="58"/>
        <v>0</v>
      </c>
      <c r="I330" s="529">
        <f t="shared" si="58"/>
        <v>0</v>
      </c>
      <c r="J330" s="270">
        <f t="shared" si="58"/>
        <v>0</v>
      </c>
      <c r="N330" s="1200">
        <f t="shared" si="59"/>
        <v>0</v>
      </c>
      <c r="U330" s="1682">
        <f t="shared" si="60"/>
        <v>0</v>
      </c>
    </row>
    <row r="331" spans="1:21" hidden="1" x14ac:dyDescent="0.25">
      <c r="A331" s="1233"/>
      <c r="B331" s="1253" t="s">
        <v>490</v>
      </c>
      <c r="C331" s="1180"/>
      <c r="D331" s="409" t="s">
        <v>464</v>
      </c>
      <c r="E331" s="409" t="s">
        <v>488</v>
      </c>
      <c r="F331" s="409" t="s">
        <v>489</v>
      </c>
      <c r="G331" s="1662"/>
      <c r="H331" s="1682">
        <f t="shared" si="58"/>
        <v>0</v>
      </c>
      <c r="I331" s="529">
        <f t="shared" si="58"/>
        <v>0</v>
      </c>
      <c r="J331" s="270">
        <f t="shared" si="58"/>
        <v>0</v>
      </c>
      <c r="N331" s="1200">
        <f t="shared" si="59"/>
        <v>0</v>
      </c>
      <c r="U331" s="1682">
        <f t="shared" si="60"/>
        <v>0</v>
      </c>
    </row>
    <row r="332" spans="1:21" hidden="1" x14ac:dyDescent="0.25">
      <c r="A332" s="1233"/>
      <c r="B332" s="1253" t="s">
        <v>351</v>
      </c>
      <c r="C332" s="1180"/>
      <c r="D332" s="409" t="s">
        <v>464</v>
      </c>
      <c r="E332" s="409" t="s">
        <v>488</v>
      </c>
      <c r="F332" s="409" t="s">
        <v>487</v>
      </c>
      <c r="G332" s="1662"/>
      <c r="H332" s="1682">
        <f>H333+H334+H335</f>
        <v>0</v>
      </c>
      <c r="I332" s="529">
        <f>I333+I334+I335</f>
        <v>0</v>
      </c>
      <c r="J332" s="270">
        <f>J333+J334+J335</f>
        <v>0</v>
      </c>
      <c r="N332" s="1200">
        <f>N333+N334+N335</f>
        <v>0</v>
      </c>
      <c r="U332" s="1682">
        <f>U333+U334+U335</f>
        <v>0</v>
      </c>
    </row>
    <row r="333" spans="1:21" hidden="1" x14ac:dyDescent="0.25">
      <c r="A333" s="1179"/>
      <c r="B333" s="1254" t="s">
        <v>458</v>
      </c>
      <c r="C333" s="1183"/>
      <c r="D333" s="409" t="s">
        <v>464</v>
      </c>
      <c r="E333" s="409" t="s">
        <v>488</v>
      </c>
      <c r="F333" s="409" t="s">
        <v>487</v>
      </c>
      <c r="G333" s="1662" t="s">
        <v>255</v>
      </c>
      <c r="H333" s="1682"/>
      <c r="I333" s="529"/>
      <c r="J333" s="270"/>
      <c r="N333" s="1200"/>
      <c r="U333" s="1682"/>
    </row>
    <row r="334" spans="1:21" ht="23" hidden="1" x14ac:dyDescent="0.25">
      <c r="A334" s="1179"/>
      <c r="B334" s="1254" t="s">
        <v>454</v>
      </c>
      <c r="C334" s="1183"/>
      <c r="D334" s="409" t="s">
        <v>464</v>
      </c>
      <c r="E334" s="409" t="s">
        <v>488</v>
      </c>
      <c r="F334" s="409" t="s">
        <v>487</v>
      </c>
      <c r="G334" s="1662" t="s">
        <v>1</v>
      </c>
      <c r="H334" s="1682"/>
      <c r="I334" s="529"/>
      <c r="J334" s="270"/>
      <c r="N334" s="1200"/>
      <c r="U334" s="1682"/>
    </row>
    <row r="335" spans="1:21" hidden="1" x14ac:dyDescent="0.25">
      <c r="A335" s="1179"/>
      <c r="B335" s="1254" t="s">
        <v>457</v>
      </c>
      <c r="C335" s="1183"/>
      <c r="D335" s="409" t="s">
        <v>464</v>
      </c>
      <c r="E335" s="409" t="s">
        <v>488</v>
      </c>
      <c r="F335" s="409" t="s">
        <v>487</v>
      </c>
      <c r="G335" s="1662" t="s">
        <v>91</v>
      </c>
      <c r="H335" s="1682"/>
      <c r="I335" s="529"/>
      <c r="J335" s="270"/>
      <c r="N335" s="1200"/>
      <c r="U335" s="1682"/>
    </row>
    <row r="336" spans="1:21" x14ac:dyDescent="0.25">
      <c r="A336" s="1179"/>
      <c r="B336" s="1184" t="s">
        <v>64</v>
      </c>
      <c r="C336" s="1177"/>
      <c r="D336" s="408" t="s">
        <v>464</v>
      </c>
      <c r="E336" s="408" t="s">
        <v>463</v>
      </c>
      <c r="F336" s="408" t="s">
        <v>106</v>
      </c>
      <c r="G336" s="1661" t="s">
        <v>106</v>
      </c>
      <c r="H336" s="1683">
        <f>H337+H358</f>
        <v>600</v>
      </c>
      <c r="I336" s="841">
        <f>I337+I358</f>
        <v>450</v>
      </c>
      <c r="J336" s="277">
        <f>J337+J358</f>
        <v>500</v>
      </c>
      <c r="N336" s="1208">
        <f>N337+N358</f>
        <v>650</v>
      </c>
      <c r="U336" s="1683">
        <f>U337+U358</f>
        <v>700</v>
      </c>
    </row>
    <row r="337" spans="1:21" ht="30" customHeight="1" x14ac:dyDescent="0.25">
      <c r="A337" s="1179"/>
      <c r="B337" s="1205" t="s">
        <v>906</v>
      </c>
      <c r="C337" s="1177"/>
      <c r="D337" s="408" t="s">
        <v>464</v>
      </c>
      <c r="E337" s="408" t="s">
        <v>463</v>
      </c>
      <c r="F337" s="408" t="s">
        <v>311</v>
      </c>
      <c r="G337" s="1661"/>
      <c r="H337" s="1683">
        <f>H338+H347</f>
        <v>600</v>
      </c>
      <c r="I337" s="841">
        <f>I338+I347</f>
        <v>450</v>
      </c>
      <c r="J337" s="277">
        <f>J338+J347</f>
        <v>500</v>
      </c>
      <c r="N337" s="1208">
        <f>N338+N347</f>
        <v>650</v>
      </c>
      <c r="U337" s="1683">
        <f>U338+U347</f>
        <v>700</v>
      </c>
    </row>
    <row r="338" spans="1:21" ht="21" hidden="1" x14ac:dyDescent="0.25">
      <c r="A338" s="1179"/>
      <c r="B338" s="753" t="s">
        <v>486</v>
      </c>
      <c r="C338" s="1180"/>
      <c r="D338" s="409" t="s">
        <v>464</v>
      </c>
      <c r="E338" s="409" t="s">
        <v>463</v>
      </c>
      <c r="F338" s="409" t="s">
        <v>485</v>
      </c>
      <c r="G338" s="1661"/>
      <c r="H338" s="1682">
        <f>H339+H342</f>
        <v>0</v>
      </c>
      <c r="I338" s="529">
        <f>I339+I342</f>
        <v>0</v>
      </c>
      <c r="J338" s="270">
        <f>J339+J342</f>
        <v>0</v>
      </c>
      <c r="N338" s="1200">
        <f>N339+N342</f>
        <v>0</v>
      </c>
      <c r="U338" s="1682">
        <f>U339+U342</f>
        <v>0</v>
      </c>
    </row>
    <row r="339" spans="1:21" hidden="1" x14ac:dyDescent="0.25">
      <c r="A339" s="1179"/>
      <c r="B339" s="753" t="s">
        <v>484</v>
      </c>
      <c r="C339" s="1180"/>
      <c r="D339" s="409" t="s">
        <v>464</v>
      </c>
      <c r="E339" s="409" t="s">
        <v>463</v>
      </c>
      <c r="F339" s="409" t="s">
        <v>483</v>
      </c>
      <c r="G339" s="1661"/>
      <c r="H339" s="1682">
        <f t="shared" ref="H339:J340" si="61">H340</f>
        <v>0</v>
      </c>
      <c r="I339" s="529">
        <f t="shared" si="61"/>
        <v>0</v>
      </c>
      <c r="J339" s="270">
        <f t="shared" si="61"/>
        <v>0</v>
      </c>
      <c r="N339" s="1200">
        <f t="shared" ref="N339:N340" si="62">N340</f>
        <v>0</v>
      </c>
      <c r="U339" s="1682">
        <f t="shared" ref="U339:U340" si="63">U340</f>
        <v>0</v>
      </c>
    </row>
    <row r="340" spans="1:21" ht="21" hidden="1" x14ac:dyDescent="0.25">
      <c r="A340" s="1179"/>
      <c r="B340" s="753" t="s">
        <v>482</v>
      </c>
      <c r="C340" s="1180"/>
      <c r="D340" s="409" t="s">
        <v>464</v>
      </c>
      <c r="E340" s="409" t="s">
        <v>463</v>
      </c>
      <c r="F340" s="409" t="s">
        <v>480</v>
      </c>
      <c r="G340" s="1662"/>
      <c r="H340" s="1682">
        <f t="shared" si="61"/>
        <v>0</v>
      </c>
      <c r="I340" s="529">
        <f t="shared" si="61"/>
        <v>0</v>
      </c>
      <c r="J340" s="270">
        <f t="shared" si="61"/>
        <v>0</v>
      </c>
      <c r="N340" s="1200">
        <f t="shared" si="62"/>
        <v>0</v>
      </c>
      <c r="U340" s="1682">
        <f t="shared" si="63"/>
        <v>0</v>
      </c>
    </row>
    <row r="341" spans="1:21" hidden="1" x14ac:dyDescent="0.25">
      <c r="A341" s="1179"/>
      <c r="B341" s="1182" t="s">
        <v>481</v>
      </c>
      <c r="C341" s="1183"/>
      <c r="D341" s="409" t="s">
        <v>464</v>
      </c>
      <c r="E341" s="409" t="s">
        <v>463</v>
      </c>
      <c r="F341" s="409" t="s">
        <v>480</v>
      </c>
      <c r="G341" s="1662" t="s">
        <v>26</v>
      </c>
      <c r="H341" s="1682">
        <v>0</v>
      </c>
      <c r="I341" s="529">
        <v>0</v>
      </c>
      <c r="J341" s="270">
        <v>0</v>
      </c>
      <c r="N341" s="1200">
        <v>0</v>
      </c>
      <c r="U341" s="1682">
        <v>0</v>
      </c>
    </row>
    <row r="342" spans="1:21" hidden="1" x14ac:dyDescent="0.25">
      <c r="A342" s="1179"/>
      <c r="B342" s="753" t="s">
        <v>479</v>
      </c>
      <c r="C342" s="1180"/>
      <c r="D342" s="409" t="s">
        <v>464</v>
      </c>
      <c r="E342" s="409" t="s">
        <v>463</v>
      </c>
      <c r="F342" s="409" t="s">
        <v>478</v>
      </c>
      <c r="G342" s="1661"/>
      <c r="H342" s="1682">
        <f>H343+H345</f>
        <v>0</v>
      </c>
      <c r="I342" s="529">
        <f>I343+I345</f>
        <v>0</v>
      </c>
      <c r="J342" s="270">
        <f>J343+J345</f>
        <v>0</v>
      </c>
      <c r="N342" s="1200">
        <f>N343+N345</f>
        <v>0</v>
      </c>
      <c r="U342" s="1682">
        <f>U343+U345</f>
        <v>0</v>
      </c>
    </row>
    <row r="343" spans="1:21" hidden="1" x14ac:dyDescent="0.25">
      <c r="A343" s="1179"/>
      <c r="B343" s="753" t="s">
        <v>477</v>
      </c>
      <c r="C343" s="1180"/>
      <c r="D343" s="409" t="s">
        <v>464</v>
      </c>
      <c r="E343" s="409" t="s">
        <v>463</v>
      </c>
      <c r="F343" s="409" t="s">
        <v>476</v>
      </c>
      <c r="G343" s="1662"/>
      <c r="H343" s="1682">
        <f>H344</f>
        <v>0</v>
      </c>
      <c r="I343" s="529">
        <f>I344</f>
        <v>0</v>
      </c>
      <c r="J343" s="270">
        <f>J344</f>
        <v>0</v>
      </c>
      <c r="N343" s="1200">
        <f>N344</f>
        <v>0</v>
      </c>
      <c r="U343" s="1682">
        <f>U344</f>
        <v>0</v>
      </c>
    </row>
    <row r="344" spans="1:21" ht="21" hidden="1" x14ac:dyDescent="0.25">
      <c r="A344" s="1179"/>
      <c r="B344" s="1182" t="s">
        <v>454</v>
      </c>
      <c r="C344" s="1183"/>
      <c r="D344" s="409" t="s">
        <v>464</v>
      </c>
      <c r="E344" s="409" t="s">
        <v>463</v>
      </c>
      <c r="F344" s="409" t="s">
        <v>476</v>
      </c>
      <c r="G344" s="1662" t="s">
        <v>1</v>
      </c>
      <c r="H344" s="1682"/>
      <c r="I344" s="529"/>
      <c r="J344" s="270"/>
      <c r="N344" s="1200"/>
      <c r="U344" s="1682"/>
    </row>
    <row r="345" spans="1:21" hidden="1" x14ac:dyDescent="0.25">
      <c r="A345" s="1179"/>
      <c r="B345" s="753" t="s">
        <v>475</v>
      </c>
      <c r="C345" s="1180"/>
      <c r="D345" s="409" t="s">
        <v>464</v>
      </c>
      <c r="E345" s="409" t="s">
        <v>463</v>
      </c>
      <c r="F345" s="409" t="s">
        <v>474</v>
      </c>
      <c r="G345" s="1662"/>
      <c r="H345" s="1682">
        <f>H346</f>
        <v>0</v>
      </c>
      <c r="I345" s="529">
        <f>I346</f>
        <v>0</v>
      </c>
      <c r="J345" s="270">
        <f>J346</f>
        <v>0</v>
      </c>
      <c r="N345" s="1200">
        <f>N346</f>
        <v>0</v>
      </c>
      <c r="U345" s="1682">
        <f>U346</f>
        <v>0</v>
      </c>
    </row>
    <row r="346" spans="1:21" ht="21" hidden="1" x14ac:dyDescent="0.25">
      <c r="A346" s="1179"/>
      <c r="B346" s="1182" t="s">
        <v>454</v>
      </c>
      <c r="C346" s="1183"/>
      <c r="D346" s="409" t="s">
        <v>464</v>
      </c>
      <c r="E346" s="409" t="s">
        <v>463</v>
      </c>
      <c r="F346" s="409" t="s">
        <v>474</v>
      </c>
      <c r="G346" s="1662" t="s">
        <v>1</v>
      </c>
      <c r="H346" s="1682">
        <v>0</v>
      </c>
      <c r="I346" s="529">
        <v>0</v>
      </c>
      <c r="J346" s="270">
        <v>0</v>
      </c>
      <c r="N346" s="1200">
        <v>0</v>
      </c>
      <c r="U346" s="1682">
        <v>0</v>
      </c>
    </row>
    <row r="347" spans="1:21" ht="27.75" customHeight="1" x14ac:dyDescent="0.25">
      <c r="A347" s="1179"/>
      <c r="B347" s="1205" t="s">
        <v>300</v>
      </c>
      <c r="C347" s="1180"/>
      <c r="D347" s="409" t="s">
        <v>464</v>
      </c>
      <c r="E347" s="409" t="s">
        <v>463</v>
      </c>
      <c r="F347" s="409" t="s">
        <v>299</v>
      </c>
      <c r="G347" s="1662"/>
      <c r="H347" s="1682">
        <f>H348</f>
        <v>600</v>
      </c>
      <c r="I347" s="529">
        <f>I348+I354</f>
        <v>450</v>
      </c>
      <c r="J347" s="270">
        <f>J348+J354</f>
        <v>500</v>
      </c>
      <c r="N347" s="1200">
        <f>N348</f>
        <v>650</v>
      </c>
      <c r="U347" s="1682">
        <f>U348</f>
        <v>700</v>
      </c>
    </row>
    <row r="348" spans="1:21" ht="21" x14ac:dyDescent="0.25">
      <c r="A348" s="1179"/>
      <c r="B348" s="1203" t="s">
        <v>298</v>
      </c>
      <c r="C348" s="1180"/>
      <c r="D348" s="409" t="s">
        <v>464</v>
      </c>
      <c r="E348" s="409" t="s">
        <v>463</v>
      </c>
      <c r="F348" s="409" t="s">
        <v>297</v>
      </c>
      <c r="G348" s="1662"/>
      <c r="H348" s="1682">
        <f t="shared" ref="H348:J349" si="64">H349</f>
        <v>600</v>
      </c>
      <c r="I348" s="529">
        <f t="shared" si="64"/>
        <v>450</v>
      </c>
      <c r="J348" s="270">
        <f t="shared" si="64"/>
        <v>500</v>
      </c>
      <c r="N348" s="1200">
        <f t="shared" ref="N348:N349" si="65">N349</f>
        <v>650</v>
      </c>
      <c r="U348" s="1682">
        <f t="shared" ref="U348:U349" si="66">U349</f>
        <v>700</v>
      </c>
    </row>
    <row r="349" spans="1:21" x14ac:dyDescent="0.25">
      <c r="A349" s="1233"/>
      <c r="B349" s="1205" t="s">
        <v>296</v>
      </c>
      <c r="C349" s="1180"/>
      <c r="D349" s="409" t="s">
        <v>464</v>
      </c>
      <c r="E349" s="409" t="s">
        <v>463</v>
      </c>
      <c r="F349" s="409" t="s">
        <v>294</v>
      </c>
      <c r="G349" s="1662"/>
      <c r="H349" s="1682">
        <f t="shared" si="64"/>
        <v>600</v>
      </c>
      <c r="I349" s="529">
        <f t="shared" si="64"/>
        <v>450</v>
      </c>
      <c r="J349" s="270">
        <f t="shared" si="64"/>
        <v>500</v>
      </c>
      <c r="N349" s="1200">
        <f t="shared" si="65"/>
        <v>650</v>
      </c>
      <c r="U349" s="1682">
        <f t="shared" si="66"/>
        <v>700</v>
      </c>
    </row>
    <row r="350" spans="1:21" ht="21" x14ac:dyDescent="0.25">
      <c r="A350" s="1233"/>
      <c r="B350" s="1182" t="s">
        <v>454</v>
      </c>
      <c r="C350" s="1183"/>
      <c r="D350" s="409" t="s">
        <v>464</v>
      </c>
      <c r="E350" s="409" t="s">
        <v>463</v>
      </c>
      <c r="F350" s="409" t="s">
        <v>294</v>
      </c>
      <c r="G350" s="1662" t="s">
        <v>1</v>
      </c>
      <c r="H350" s="1682">
        <v>600</v>
      </c>
      <c r="I350" s="529">
        <v>450</v>
      </c>
      <c r="J350" s="269">
        <v>500</v>
      </c>
      <c r="N350" s="1200">
        <v>650</v>
      </c>
      <c r="U350" s="1682">
        <v>700</v>
      </c>
    </row>
    <row r="351" spans="1:21" x14ac:dyDescent="0.25">
      <c r="A351" s="1233"/>
      <c r="B351" s="1255" t="s">
        <v>934</v>
      </c>
      <c r="C351" s="1183"/>
      <c r="D351" s="408" t="s">
        <v>534</v>
      </c>
      <c r="E351" s="409"/>
      <c r="F351" s="409"/>
      <c r="G351" s="1662"/>
      <c r="H351" s="1683">
        <f>H352</f>
        <v>1200</v>
      </c>
      <c r="I351" s="529"/>
      <c r="J351" s="269"/>
      <c r="K351" s="1439">
        <v>1200</v>
      </c>
      <c r="N351" s="1208">
        <f>N352</f>
        <v>1200</v>
      </c>
      <c r="U351" s="1683">
        <f>U352</f>
        <v>1200</v>
      </c>
    </row>
    <row r="352" spans="1:21" x14ac:dyDescent="0.25">
      <c r="A352" s="1233"/>
      <c r="B352" s="752" t="s">
        <v>920</v>
      </c>
      <c r="C352" s="1183"/>
      <c r="D352" s="408" t="s">
        <v>534</v>
      </c>
      <c r="E352" s="408" t="s">
        <v>488</v>
      </c>
      <c r="F352" s="408"/>
      <c r="G352" s="1662"/>
      <c r="H352" s="1683">
        <f>H353</f>
        <v>1200</v>
      </c>
      <c r="I352" s="529"/>
      <c r="J352" s="269"/>
      <c r="N352" s="1208">
        <f>N353</f>
        <v>1200</v>
      </c>
      <c r="U352" s="1683">
        <f>U353</f>
        <v>1200</v>
      </c>
    </row>
    <row r="353" spans="1:21" x14ac:dyDescent="0.25">
      <c r="A353" s="305"/>
      <c r="B353" s="753" t="s">
        <v>109</v>
      </c>
      <c r="C353" s="1183"/>
      <c r="D353" s="409" t="s">
        <v>534</v>
      </c>
      <c r="E353" s="409" t="s">
        <v>488</v>
      </c>
      <c r="F353" s="409" t="s">
        <v>84</v>
      </c>
      <c r="G353" s="1662"/>
      <c r="H353" s="1682">
        <f>H354</f>
        <v>1200</v>
      </c>
      <c r="I353" s="529"/>
      <c r="J353" s="269"/>
      <c r="N353" s="1200">
        <f>N354</f>
        <v>1200</v>
      </c>
      <c r="U353" s="1682">
        <f>U354</f>
        <v>1200</v>
      </c>
    </row>
    <row r="354" spans="1:21" x14ac:dyDescent="0.25">
      <c r="A354" s="273"/>
      <c r="B354" s="753" t="s">
        <v>109</v>
      </c>
      <c r="C354" s="1180"/>
      <c r="D354" s="409" t="s">
        <v>534</v>
      </c>
      <c r="E354" s="409" t="s">
        <v>488</v>
      </c>
      <c r="F354" s="409" t="s">
        <v>82</v>
      </c>
      <c r="G354" s="1662"/>
      <c r="H354" s="1682">
        <f>H355</f>
        <v>1200</v>
      </c>
      <c r="I354" s="529">
        <f>I355</f>
        <v>0</v>
      </c>
      <c r="J354" s="269">
        <f>J355</f>
        <v>0</v>
      </c>
      <c r="N354" s="1200">
        <f>N355</f>
        <v>1200</v>
      </c>
      <c r="U354" s="1682">
        <f>U355</f>
        <v>1200</v>
      </c>
    </row>
    <row r="355" spans="1:21" ht="21" x14ac:dyDescent="0.25">
      <c r="A355" s="305"/>
      <c r="B355" s="1205" t="s">
        <v>935</v>
      </c>
      <c r="C355" s="1180"/>
      <c r="D355" s="409" t="s">
        <v>534</v>
      </c>
      <c r="E355" s="409" t="s">
        <v>488</v>
      </c>
      <c r="F355" s="409" t="s">
        <v>919</v>
      </c>
      <c r="G355" s="1662"/>
      <c r="H355" s="1682">
        <f>H357</f>
        <v>1200</v>
      </c>
      <c r="I355" s="529">
        <f>I357</f>
        <v>0</v>
      </c>
      <c r="J355" s="269">
        <f>J357</f>
        <v>0</v>
      </c>
      <c r="N355" s="1200">
        <f>N357</f>
        <v>1200</v>
      </c>
      <c r="U355" s="1682">
        <f>U357</f>
        <v>1200</v>
      </c>
    </row>
    <row r="356" spans="1:21" hidden="1" x14ac:dyDescent="0.25">
      <c r="A356" s="304"/>
      <c r="B356" s="1256" t="s">
        <v>921</v>
      </c>
      <c r="C356" s="1257"/>
      <c r="D356" s="1193"/>
      <c r="E356" s="1193"/>
      <c r="F356" s="1193"/>
      <c r="G356" s="1663"/>
      <c r="H356" s="1688"/>
      <c r="I356" s="529"/>
      <c r="J356" s="269"/>
      <c r="N356" s="1258"/>
      <c r="U356" s="1688"/>
    </row>
    <row r="357" spans="1:21" ht="21.5" thickBot="1" x14ac:dyDescent="0.3">
      <c r="A357" s="778"/>
      <c r="B357" s="1259" t="s">
        <v>454</v>
      </c>
      <c r="C357" s="1260"/>
      <c r="D357" s="1261" t="s">
        <v>534</v>
      </c>
      <c r="E357" s="1261" t="s">
        <v>488</v>
      </c>
      <c r="F357" s="1261" t="s">
        <v>919</v>
      </c>
      <c r="G357" s="1672" t="s">
        <v>1</v>
      </c>
      <c r="H357" s="1689">
        <v>1200</v>
      </c>
      <c r="I357" s="529"/>
      <c r="J357" s="269"/>
      <c r="N357" s="1262">
        <v>1200</v>
      </c>
      <c r="U357" s="1689">
        <v>1200</v>
      </c>
    </row>
    <row r="358" spans="1:21" ht="21" hidden="1" x14ac:dyDescent="0.25">
      <c r="A358" s="291"/>
      <c r="B358" s="290" t="s">
        <v>469</v>
      </c>
      <c r="C358" s="289"/>
      <c r="D358" s="288" t="s">
        <v>464</v>
      </c>
      <c r="E358" s="288" t="s">
        <v>463</v>
      </c>
      <c r="F358" s="288" t="s">
        <v>468</v>
      </c>
      <c r="G358" s="288"/>
      <c r="H358" s="1263">
        <f t="shared" ref="H358:J360" si="67">H359</f>
        <v>0</v>
      </c>
      <c r="I358" s="277">
        <f t="shared" si="67"/>
        <v>0</v>
      </c>
      <c r="J358" s="276">
        <f t="shared" si="67"/>
        <v>0</v>
      </c>
      <c r="N358" s="1263">
        <f t="shared" ref="N358:N360" si="68">N359</f>
        <v>0</v>
      </c>
      <c r="U358" s="1263">
        <f t="shared" ref="U358:U360" si="69">U359</f>
        <v>0</v>
      </c>
    </row>
    <row r="359" spans="1:21" hidden="1" x14ac:dyDescent="0.25">
      <c r="A359" s="273"/>
      <c r="B359" s="285" t="s">
        <v>467</v>
      </c>
      <c r="C359" s="272"/>
      <c r="D359" s="271" t="s">
        <v>464</v>
      </c>
      <c r="E359" s="271" t="s">
        <v>463</v>
      </c>
      <c r="F359" s="271" t="s">
        <v>466</v>
      </c>
      <c r="G359" s="271"/>
      <c r="H359" s="1264">
        <f t="shared" si="67"/>
        <v>0</v>
      </c>
      <c r="I359" s="270">
        <f t="shared" si="67"/>
        <v>0</v>
      </c>
      <c r="J359" s="269">
        <f t="shared" si="67"/>
        <v>0</v>
      </c>
      <c r="N359" s="1264">
        <f t="shared" si="68"/>
        <v>0</v>
      </c>
      <c r="U359" s="1264">
        <f t="shared" si="69"/>
        <v>0</v>
      </c>
    </row>
    <row r="360" spans="1:21" hidden="1" x14ac:dyDescent="0.25">
      <c r="A360" s="305"/>
      <c r="B360" s="285" t="s">
        <v>465</v>
      </c>
      <c r="C360" s="272"/>
      <c r="D360" s="271" t="s">
        <v>464</v>
      </c>
      <c r="E360" s="271" t="s">
        <v>463</v>
      </c>
      <c r="F360" s="271" t="s">
        <v>462</v>
      </c>
      <c r="G360" s="271"/>
      <c r="H360" s="1264">
        <f t="shared" si="67"/>
        <v>0</v>
      </c>
      <c r="I360" s="270">
        <f t="shared" si="67"/>
        <v>0</v>
      </c>
      <c r="J360" s="269">
        <f t="shared" si="67"/>
        <v>0</v>
      </c>
      <c r="N360" s="1264">
        <f t="shared" si="68"/>
        <v>0</v>
      </c>
      <c r="U360" s="1264">
        <f t="shared" si="69"/>
        <v>0</v>
      </c>
    </row>
    <row r="361" spans="1:21" ht="20" hidden="1" x14ac:dyDescent="0.25">
      <c r="A361" s="304"/>
      <c r="B361" s="303" t="s">
        <v>454</v>
      </c>
      <c r="C361" s="302"/>
      <c r="D361" s="301" t="s">
        <v>464</v>
      </c>
      <c r="E361" s="301" t="s">
        <v>463</v>
      </c>
      <c r="F361" s="301" t="s">
        <v>462</v>
      </c>
      <c r="G361" s="301" t="s">
        <v>1</v>
      </c>
      <c r="H361" s="1265"/>
      <c r="I361" s="300"/>
      <c r="J361" s="299"/>
      <c r="N361" s="1265"/>
      <c r="U361" s="1265"/>
    </row>
    <row r="362" spans="1:21" hidden="1" x14ac:dyDescent="0.25">
      <c r="A362" s="437"/>
      <c r="B362" s="438"/>
      <c r="C362" s="439"/>
      <c r="D362" s="440"/>
      <c r="E362" s="440"/>
      <c r="F362" s="440"/>
      <c r="G362" s="440"/>
      <c r="H362" s="1266"/>
      <c r="I362" s="441"/>
      <c r="J362" s="442"/>
      <c r="N362" s="1266"/>
      <c r="U362" s="1266"/>
    </row>
    <row r="363" spans="1:21" ht="13" hidden="1" thickBot="1" x14ac:dyDescent="0.3">
      <c r="A363" s="298">
        <v>3</v>
      </c>
      <c r="B363" s="297" t="s">
        <v>461</v>
      </c>
      <c r="C363" s="296" t="s">
        <v>430</v>
      </c>
      <c r="D363" s="295"/>
      <c r="E363" s="295"/>
      <c r="F363" s="295"/>
      <c r="G363" s="295"/>
      <c r="H363" s="1267">
        <f>H364</f>
        <v>9607.1400000000012</v>
      </c>
      <c r="I363" s="293">
        <f>I364</f>
        <v>8212.5999999999985</v>
      </c>
      <c r="J363" s="292">
        <f>J364</f>
        <v>8263</v>
      </c>
      <c r="N363" s="1267">
        <f>N364</f>
        <v>9607.1400000000012</v>
      </c>
      <c r="U363" s="1267">
        <f>U364</f>
        <v>9607.1400000000012</v>
      </c>
    </row>
    <row r="364" spans="1:21" hidden="1" x14ac:dyDescent="0.25">
      <c r="A364" s="291"/>
      <c r="B364" s="290" t="s">
        <v>460</v>
      </c>
      <c r="C364" s="289"/>
      <c r="D364" s="288" t="s">
        <v>453</v>
      </c>
      <c r="E364" s="288" t="s">
        <v>459</v>
      </c>
      <c r="F364" s="288"/>
      <c r="G364" s="288"/>
      <c r="H364" s="1263">
        <f>H365+H378+H373</f>
        <v>9607.1400000000012</v>
      </c>
      <c r="I364" s="287">
        <f>I365+I378</f>
        <v>8212.5999999999985</v>
      </c>
      <c r="J364" s="286">
        <f>J365+J378</f>
        <v>8263</v>
      </c>
      <c r="N364" s="1263">
        <f>N365+N378+N373</f>
        <v>9607.1400000000012</v>
      </c>
      <c r="U364" s="1263">
        <f>U365+U378+U373</f>
        <v>9607.1400000000012</v>
      </c>
    </row>
    <row r="365" spans="1:21" hidden="1" x14ac:dyDescent="0.25">
      <c r="A365" s="273"/>
      <c r="B365" s="282" t="s">
        <v>87</v>
      </c>
      <c r="C365" s="279"/>
      <c r="D365" s="278" t="s">
        <v>453</v>
      </c>
      <c r="E365" s="278" t="s">
        <v>456</v>
      </c>
      <c r="F365" s="278"/>
      <c r="G365" s="278"/>
      <c r="H365" s="1268">
        <f t="shared" ref="H365:J368" si="70">H366</f>
        <v>7296.08</v>
      </c>
      <c r="I365" s="277">
        <f t="shared" si="70"/>
        <v>6962.0999999999995</v>
      </c>
      <c r="J365" s="276">
        <f t="shared" si="70"/>
        <v>6915</v>
      </c>
      <c r="N365" s="1268">
        <f t="shared" ref="N365:N368" si="71">N366</f>
        <v>7296.08</v>
      </c>
      <c r="U365" s="1268">
        <f t="shared" ref="U365:U368" si="72">U366</f>
        <v>7296.08</v>
      </c>
    </row>
    <row r="366" spans="1:21" ht="31.5" hidden="1" x14ac:dyDescent="0.25">
      <c r="A366" s="281"/>
      <c r="B366" s="307" t="s">
        <v>621</v>
      </c>
      <c r="C366" s="279"/>
      <c r="D366" s="278" t="s">
        <v>453</v>
      </c>
      <c r="E366" s="278" t="s">
        <v>456</v>
      </c>
      <c r="F366" s="278" t="s">
        <v>273</v>
      </c>
      <c r="G366" s="278"/>
      <c r="H366" s="1268">
        <f t="shared" si="70"/>
        <v>7296.08</v>
      </c>
      <c r="I366" s="277">
        <f t="shared" si="70"/>
        <v>6962.0999999999995</v>
      </c>
      <c r="J366" s="276">
        <f t="shared" si="70"/>
        <v>6915</v>
      </c>
      <c r="N366" s="1268">
        <f t="shared" si="71"/>
        <v>7296.08</v>
      </c>
      <c r="U366" s="1268">
        <f t="shared" si="72"/>
        <v>7296.08</v>
      </c>
    </row>
    <row r="367" spans="1:21" ht="30" hidden="1" x14ac:dyDescent="0.25">
      <c r="A367" s="281"/>
      <c r="B367" s="310" t="s">
        <v>261</v>
      </c>
      <c r="C367" s="272"/>
      <c r="D367" s="271" t="s">
        <v>453</v>
      </c>
      <c r="E367" s="271" t="s">
        <v>456</v>
      </c>
      <c r="F367" s="271" t="s">
        <v>260</v>
      </c>
      <c r="G367" s="271"/>
      <c r="H367" s="1264">
        <f t="shared" si="70"/>
        <v>7296.08</v>
      </c>
      <c r="I367" s="270">
        <f t="shared" si="70"/>
        <v>6962.0999999999995</v>
      </c>
      <c r="J367" s="269">
        <f t="shared" si="70"/>
        <v>6915</v>
      </c>
      <c r="N367" s="1264">
        <f t="shared" si="71"/>
        <v>7296.08</v>
      </c>
      <c r="U367" s="1264">
        <f t="shared" si="72"/>
        <v>7296.08</v>
      </c>
    </row>
    <row r="368" spans="1:21" hidden="1" x14ac:dyDescent="0.25">
      <c r="A368" s="281"/>
      <c r="B368" s="274" t="s">
        <v>259</v>
      </c>
      <c r="C368" s="272"/>
      <c r="D368" s="271" t="s">
        <v>453</v>
      </c>
      <c r="E368" s="271" t="s">
        <v>456</v>
      </c>
      <c r="F368" s="271" t="s">
        <v>258</v>
      </c>
      <c r="G368" s="271"/>
      <c r="H368" s="1264">
        <f t="shared" si="70"/>
        <v>7296.08</v>
      </c>
      <c r="I368" s="270">
        <f t="shared" si="70"/>
        <v>6962.0999999999995</v>
      </c>
      <c r="J368" s="269">
        <f t="shared" si="70"/>
        <v>6915</v>
      </c>
      <c r="N368" s="1264">
        <f t="shared" si="71"/>
        <v>7296.08</v>
      </c>
      <c r="U368" s="1264">
        <f t="shared" si="72"/>
        <v>7296.08</v>
      </c>
    </row>
    <row r="369" spans="1:21" hidden="1" x14ac:dyDescent="0.25">
      <c r="A369" s="281"/>
      <c r="B369" s="285" t="s">
        <v>351</v>
      </c>
      <c r="C369" s="272"/>
      <c r="D369" s="271" t="s">
        <v>453</v>
      </c>
      <c r="E369" s="271" t="s">
        <v>456</v>
      </c>
      <c r="F369" s="271" t="s">
        <v>254</v>
      </c>
      <c r="G369" s="271"/>
      <c r="H369" s="1264">
        <f>H370+H371+H372</f>
        <v>7296.08</v>
      </c>
      <c r="I369" s="270">
        <f>I370+I371+I372</f>
        <v>6962.0999999999995</v>
      </c>
      <c r="J369" s="269">
        <f>J370+J371+J372</f>
        <v>6915</v>
      </c>
      <c r="N369" s="1264">
        <f>N370+N371+N372</f>
        <v>7296.08</v>
      </c>
      <c r="U369" s="1264">
        <f>U370+U371+U372</f>
        <v>7296.08</v>
      </c>
    </row>
    <row r="370" spans="1:21" hidden="1" x14ac:dyDescent="0.25">
      <c r="A370" s="273"/>
      <c r="B370" s="284" t="s">
        <v>458</v>
      </c>
      <c r="C370" s="283"/>
      <c r="D370" s="271" t="s">
        <v>453</v>
      </c>
      <c r="E370" s="271" t="s">
        <v>456</v>
      </c>
      <c r="F370" s="271" t="s">
        <v>254</v>
      </c>
      <c r="G370" s="271" t="s">
        <v>255</v>
      </c>
      <c r="H370" s="1264">
        <f>4510.863-660.6</f>
        <v>3850.2630000000004</v>
      </c>
      <c r="I370" s="270">
        <v>4886.9669999999996</v>
      </c>
      <c r="J370" s="269">
        <v>5375.0079999999998</v>
      </c>
      <c r="N370" s="1264">
        <f>4510.863-660.6</f>
        <v>3850.2630000000004</v>
      </c>
      <c r="U370" s="1264">
        <f>4510.863-660.6</f>
        <v>3850.2630000000004</v>
      </c>
    </row>
    <row r="371" spans="1:21" ht="20" hidden="1" x14ac:dyDescent="0.25">
      <c r="A371" s="273"/>
      <c r="B371" s="284" t="s">
        <v>454</v>
      </c>
      <c r="C371" s="283"/>
      <c r="D371" s="271" t="s">
        <v>453</v>
      </c>
      <c r="E371" s="271" t="s">
        <v>456</v>
      </c>
      <c r="F371" s="271" t="s">
        <v>254</v>
      </c>
      <c r="G371" s="271" t="s">
        <v>1</v>
      </c>
      <c r="H371" s="1264">
        <f>1564.263+1880.841</f>
        <v>3445.1039999999998</v>
      </c>
      <c r="I371" s="270">
        <v>2074.1329999999998</v>
      </c>
      <c r="J371" s="269">
        <v>1538.992</v>
      </c>
      <c r="N371" s="1264">
        <f>1564.263+1880.841</f>
        <v>3445.1039999999998</v>
      </c>
      <c r="U371" s="1264">
        <f>1564.263+1880.841</f>
        <v>3445.1039999999998</v>
      </c>
    </row>
    <row r="372" spans="1:21" hidden="1" x14ac:dyDescent="0.25">
      <c r="A372" s="273"/>
      <c r="B372" s="284" t="s">
        <v>457</v>
      </c>
      <c r="C372" s="283"/>
      <c r="D372" s="271" t="s">
        <v>453</v>
      </c>
      <c r="E372" s="271" t="s">
        <v>456</v>
      </c>
      <c r="F372" s="271" t="s">
        <v>254</v>
      </c>
      <c r="G372" s="271" t="s">
        <v>91</v>
      </c>
      <c r="H372" s="1264">
        <v>0.71299999999999997</v>
      </c>
      <c r="I372" s="270">
        <v>1</v>
      </c>
      <c r="J372" s="269">
        <v>1</v>
      </c>
      <c r="N372" s="1264">
        <v>0.71299999999999997</v>
      </c>
      <c r="U372" s="1264">
        <v>0.71299999999999997</v>
      </c>
    </row>
    <row r="373" spans="1:21" ht="21" hidden="1" x14ac:dyDescent="0.25">
      <c r="A373" s="732"/>
      <c r="B373" s="752" t="s">
        <v>499</v>
      </c>
      <c r="C373" s="408"/>
      <c r="D373" s="408" t="s">
        <v>453</v>
      </c>
      <c r="E373" s="408" t="s">
        <v>456</v>
      </c>
      <c r="F373" s="408" t="s">
        <v>89</v>
      </c>
      <c r="G373" s="409"/>
      <c r="H373" s="1269">
        <f>H374</f>
        <v>660.6</v>
      </c>
      <c r="I373" s="529"/>
      <c r="J373" s="269"/>
      <c r="K373" s="530"/>
      <c r="N373" s="1269">
        <f>N374</f>
        <v>660.6</v>
      </c>
      <c r="U373" s="1269">
        <f>U374</f>
        <v>660.6</v>
      </c>
    </row>
    <row r="374" spans="1:21" hidden="1" x14ac:dyDescent="0.25">
      <c r="A374" s="732"/>
      <c r="B374" s="753" t="s">
        <v>109</v>
      </c>
      <c r="C374" s="409"/>
      <c r="D374" s="409" t="s">
        <v>453</v>
      </c>
      <c r="E374" s="409" t="s">
        <v>456</v>
      </c>
      <c r="F374" s="409" t="s">
        <v>84</v>
      </c>
      <c r="G374" s="409"/>
      <c r="H374" s="1270">
        <f>H375</f>
        <v>660.6</v>
      </c>
      <c r="I374" s="529"/>
      <c r="J374" s="269"/>
      <c r="K374" s="530"/>
      <c r="N374" s="1270">
        <f>N375</f>
        <v>660.6</v>
      </c>
      <c r="U374" s="1270">
        <f>U375</f>
        <v>660.6</v>
      </c>
    </row>
    <row r="375" spans="1:21" hidden="1" x14ac:dyDescent="0.25">
      <c r="A375" s="732"/>
      <c r="B375" s="753" t="s">
        <v>109</v>
      </c>
      <c r="C375" s="409"/>
      <c r="D375" s="409" t="s">
        <v>453</v>
      </c>
      <c r="E375" s="409" t="s">
        <v>456</v>
      </c>
      <c r="F375" s="409" t="s">
        <v>82</v>
      </c>
      <c r="G375" s="409"/>
      <c r="H375" s="1270">
        <f>H376</f>
        <v>660.6</v>
      </c>
      <c r="I375" s="529"/>
      <c r="J375" s="269"/>
      <c r="K375" s="530"/>
      <c r="N375" s="1270">
        <f>N376</f>
        <v>660.6</v>
      </c>
      <c r="U375" s="1270">
        <f>U376</f>
        <v>660.6</v>
      </c>
    </row>
    <row r="376" spans="1:21" hidden="1" x14ac:dyDescent="0.25">
      <c r="A376" s="732"/>
      <c r="B376" s="1152" t="s">
        <v>830</v>
      </c>
      <c r="C376" s="409"/>
      <c r="D376" s="409" t="s">
        <v>453</v>
      </c>
      <c r="E376" s="409" t="s">
        <v>456</v>
      </c>
      <c r="F376" s="409" t="s">
        <v>831</v>
      </c>
      <c r="G376" s="409"/>
      <c r="H376" s="1270">
        <f>H377</f>
        <v>660.6</v>
      </c>
      <c r="I376" s="529"/>
      <c r="J376" s="269"/>
      <c r="K376" s="530"/>
      <c r="N376" s="1270">
        <f>N377</f>
        <v>660.6</v>
      </c>
      <c r="U376" s="1270">
        <f>U377</f>
        <v>660.6</v>
      </c>
    </row>
    <row r="377" spans="1:21" ht="13" hidden="1" x14ac:dyDescent="0.25">
      <c r="A377" s="732"/>
      <c r="B377" s="754" t="s">
        <v>256</v>
      </c>
      <c r="C377" s="409"/>
      <c r="D377" s="409" t="s">
        <v>453</v>
      </c>
      <c r="E377" s="409" t="s">
        <v>456</v>
      </c>
      <c r="F377" s="409" t="s">
        <v>831</v>
      </c>
      <c r="G377" s="409" t="s">
        <v>255</v>
      </c>
      <c r="H377" s="1270">
        <v>660.6</v>
      </c>
      <c r="I377" s="529"/>
      <c r="J377" s="269"/>
      <c r="K377" s="530"/>
      <c r="N377" s="1270">
        <v>660.6</v>
      </c>
      <c r="U377" s="1270">
        <v>660.6</v>
      </c>
    </row>
    <row r="378" spans="1:21" hidden="1" x14ac:dyDescent="0.25">
      <c r="A378" s="751"/>
      <c r="B378" s="282" t="s">
        <v>244</v>
      </c>
      <c r="C378" s="279"/>
      <c r="D378" s="278" t="s">
        <v>453</v>
      </c>
      <c r="E378" s="278" t="s">
        <v>452</v>
      </c>
      <c r="F378" s="278"/>
      <c r="G378" s="278"/>
      <c r="H378" s="1268">
        <f t="shared" ref="H378:J379" si="73">H379</f>
        <v>1650.46</v>
      </c>
      <c r="I378" s="277">
        <f t="shared" si="73"/>
        <v>1250.5</v>
      </c>
      <c r="J378" s="276">
        <f t="shared" si="73"/>
        <v>1348</v>
      </c>
      <c r="N378" s="1268">
        <f t="shared" ref="N378:N379" si="74">N379</f>
        <v>1650.46</v>
      </c>
      <c r="U378" s="1268">
        <f t="shared" ref="U378:U379" si="75">U379</f>
        <v>1650.46</v>
      </c>
    </row>
    <row r="379" spans="1:21" ht="31.5" hidden="1" x14ac:dyDescent="0.25">
      <c r="A379" s="281"/>
      <c r="B379" s="307" t="s">
        <v>621</v>
      </c>
      <c r="C379" s="279"/>
      <c r="D379" s="278" t="s">
        <v>453</v>
      </c>
      <c r="E379" s="278" t="s">
        <v>452</v>
      </c>
      <c r="F379" s="278" t="s">
        <v>273</v>
      </c>
      <c r="G379" s="278"/>
      <c r="H379" s="1268">
        <f t="shared" si="73"/>
        <v>1650.46</v>
      </c>
      <c r="I379" s="277">
        <f t="shared" si="73"/>
        <v>1250.5</v>
      </c>
      <c r="J379" s="276">
        <f t="shared" si="73"/>
        <v>1348</v>
      </c>
      <c r="N379" s="1268">
        <f t="shared" si="74"/>
        <v>1650.46</v>
      </c>
      <c r="U379" s="1268">
        <f t="shared" si="75"/>
        <v>1650.46</v>
      </c>
    </row>
    <row r="380" spans="1:21" hidden="1" x14ac:dyDescent="0.25">
      <c r="A380" s="273"/>
      <c r="B380" s="310" t="s">
        <v>836</v>
      </c>
      <c r="C380" s="272"/>
      <c r="D380" s="271" t="s">
        <v>453</v>
      </c>
      <c r="E380" s="271" t="s">
        <v>452</v>
      </c>
      <c r="F380" s="271" t="s">
        <v>251</v>
      </c>
      <c r="G380" s="271"/>
      <c r="H380" s="1264">
        <f>H381+H384</f>
        <v>1650.46</v>
      </c>
      <c r="I380" s="270">
        <f>I381+I384</f>
        <v>1250.5</v>
      </c>
      <c r="J380" s="269">
        <f>J381+J384</f>
        <v>1348</v>
      </c>
      <c r="N380" s="1264">
        <f>N381+N384</f>
        <v>1650.46</v>
      </c>
      <c r="U380" s="1264">
        <f>U381+U384</f>
        <v>1650.46</v>
      </c>
    </row>
    <row r="381" spans="1:21" hidden="1" x14ac:dyDescent="0.25">
      <c r="A381" s="273"/>
      <c r="B381" s="274" t="s">
        <v>250</v>
      </c>
      <c r="C381" s="272"/>
      <c r="D381" s="271" t="s">
        <v>453</v>
      </c>
      <c r="E381" s="271" t="s">
        <v>452</v>
      </c>
      <c r="F381" s="271" t="s">
        <v>249</v>
      </c>
      <c r="G381" s="271"/>
      <c r="H381" s="1264">
        <f t="shared" ref="H381:J382" si="76">H382</f>
        <v>1650.46</v>
      </c>
      <c r="I381" s="270">
        <f t="shared" si="76"/>
        <v>1250.5</v>
      </c>
      <c r="J381" s="269">
        <f t="shared" si="76"/>
        <v>1348</v>
      </c>
      <c r="N381" s="1264">
        <f t="shared" ref="N381:N382" si="77">N382</f>
        <v>1650.46</v>
      </c>
      <c r="U381" s="1264">
        <f t="shared" ref="U381:U382" si="78">U382</f>
        <v>1650.46</v>
      </c>
    </row>
    <row r="382" spans="1:21" ht="13" hidden="1" x14ac:dyDescent="0.25">
      <c r="A382" s="273"/>
      <c r="B382" s="90" t="s">
        <v>248</v>
      </c>
      <c r="C382" s="272"/>
      <c r="D382" s="271" t="s">
        <v>453</v>
      </c>
      <c r="E382" s="271" t="s">
        <v>452</v>
      </c>
      <c r="F382" s="271" t="s">
        <v>243</v>
      </c>
      <c r="G382" s="271"/>
      <c r="H382" s="1264">
        <f t="shared" si="76"/>
        <v>1650.46</v>
      </c>
      <c r="I382" s="270">
        <f t="shared" si="76"/>
        <v>1250.5</v>
      </c>
      <c r="J382" s="269">
        <f t="shared" si="76"/>
        <v>1348</v>
      </c>
      <c r="N382" s="1264">
        <f t="shared" si="77"/>
        <v>1650.46</v>
      </c>
      <c r="U382" s="1264">
        <f t="shared" si="78"/>
        <v>1650.46</v>
      </c>
    </row>
    <row r="383" spans="1:21" ht="20.5" hidden="1" thickBot="1" x14ac:dyDescent="0.3">
      <c r="A383" s="268"/>
      <c r="B383" s="267" t="s">
        <v>454</v>
      </c>
      <c r="C383" s="266"/>
      <c r="D383" s="265" t="s">
        <v>453</v>
      </c>
      <c r="E383" s="265" t="s">
        <v>452</v>
      </c>
      <c r="F383" s="265" t="s">
        <v>243</v>
      </c>
      <c r="G383" s="265" t="s">
        <v>1</v>
      </c>
      <c r="H383" s="1271">
        <v>1650.46</v>
      </c>
      <c r="I383" s="264">
        <v>1250.5</v>
      </c>
      <c r="J383" s="407">
        <v>1348</v>
      </c>
      <c r="N383" s="1271">
        <v>1650.46</v>
      </c>
      <c r="U383" s="1271">
        <v>1650.46</v>
      </c>
    </row>
    <row r="384" spans="1:21" x14ac:dyDescent="0.25">
      <c r="H384" s="1272"/>
      <c r="N384" s="1272"/>
      <c r="U384" s="1272"/>
    </row>
    <row r="385" spans="8:21" x14ac:dyDescent="0.25">
      <c r="H385" s="1272"/>
      <c r="N385" s="1272"/>
      <c r="U385" s="1272"/>
    </row>
    <row r="386" spans="8:21" x14ac:dyDescent="0.25">
      <c r="H386" s="1272"/>
      <c r="N386" s="1272"/>
      <c r="U386" s="1272"/>
    </row>
  </sheetData>
  <mergeCells count="4">
    <mergeCell ref="B12:H12"/>
    <mergeCell ref="A13:U13"/>
    <mergeCell ref="A14:U14"/>
    <mergeCell ref="A15:U15"/>
  </mergeCells>
  <pageMargins left="0.59055118110236227" right="0.59055118110236227" top="0.63" bottom="0.15748031496062992" header="0.31496062992125984" footer="0.31496062992125984"/>
  <pageSetup scale="56" firstPageNumber="55" fitToHeight="4" orientation="landscape" useFirstPageNumber="1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T351"/>
  <sheetViews>
    <sheetView view="pageBreakPreview" zoomScale="106" zoomScaleNormal="100" zoomScaleSheetLayoutView="106" workbookViewId="0">
      <selection activeCell="H21" sqref="H21"/>
    </sheetView>
  </sheetViews>
  <sheetFormatPr defaultRowHeight="12.5" x14ac:dyDescent="0.25"/>
  <cols>
    <col min="1" max="1" width="5.26953125" style="1" customWidth="1"/>
    <col min="2" max="2" width="62.453125" style="6" customWidth="1"/>
    <col min="3" max="3" width="10" style="5" customWidth="1"/>
    <col min="4" max="4" width="9.26953125" style="4" customWidth="1"/>
    <col min="5" max="5" width="10.453125" style="4" customWidth="1"/>
    <col min="6" max="6" width="11.54296875" style="4" customWidth="1"/>
    <col min="7" max="7" width="10.26953125" style="4" customWidth="1"/>
    <col min="8" max="8" width="14.7265625" style="263" customWidth="1"/>
    <col min="9" max="9" width="18.7265625" style="263" hidden="1" customWidth="1"/>
    <col min="10" max="10" width="15.7265625" style="1" hidden="1" customWidth="1"/>
    <col min="11" max="11" width="11.1796875" style="1" customWidth="1"/>
    <col min="12" max="13" width="9.1796875" style="1" customWidth="1"/>
    <col min="14" max="14" width="14.7265625" style="263" customWidth="1"/>
    <col min="15" max="16" width="8.81640625" style="1" hidden="1" customWidth="1"/>
    <col min="17" max="17" width="15.453125" style="1" hidden="1" customWidth="1"/>
    <col min="18" max="20" width="9.1796875" style="1" hidden="1" customWidth="1"/>
    <col min="21" max="256" width="9.1796875" style="1"/>
    <col min="257" max="257" width="5.26953125" style="1" customWidth="1"/>
    <col min="258" max="258" width="62.453125" style="1" customWidth="1"/>
    <col min="259" max="259" width="10" style="1" customWidth="1"/>
    <col min="260" max="260" width="9.26953125" style="1" customWidth="1"/>
    <col min="261" max="261" width="10.453125" style="1" customWidth="1"/>
    <col min="262" max="262" width="11.54296875" style="1" customWidth="1"/>
    <col min="263" max="263" width="10.26953125" style="1" customWidth="1"/>
    <col min="264" max="264" width="14.7265625" style="1" customWidth="1"/>
    <col min="265" max="266" width="0" style="1" hidden="1" customWidth="1"/>
    <col min="267" max="269" width="9.1796875" style="1" customWidth="1"/>
    <col min="270" max="270" width="14.7265625" style="1" customWidth="1"/>
    <col min="271" max="276" width="0" style="1" hidden="1" customWidth="1"/>
    <col min="277" max="512" width="9.1796875" style="1"/>
    <col min="513" max="513" width="5.26953125" style="1" customWidth="1"/>
    <col min="514" max="514" width="62.453125" style="1" customWidth="1"/>
    <col min="515" max="515" width="10" style="1" customWidth="1"/>
    <col min="516" max="516" width="9.26953125" style="1" customWidth="1"/>
    <col min="517" max="517" width="10.453125" style="1" customWidth="1"/>
    <col min="518" max="518" width="11.54296875" style="1" customWidth="1"/>
    <col min="519" max="519" width="10.26953125" style="1" customWidth="1"/>
    <col min="520" max="520" width="14.7265625" style="1" customWidth="1"/>
    <col min="521" max="522" width="0" style="1" hidden="1" customWidth="1"/>
    <col min="523" max="525" width="9.1796875" style="1" customWidth="1"/>
    <col min="526" max="526" width="14.7265625" style="1" customWidth="1"/>
    <col min="527" max="532" width="0" style="1" hidden="1" customWidth="1"/>
    <col min="533" max="768" width="9.1796875" style="1"/>
    <col min="769" max="769" width="5.26953125" style="1" customWidth="1"/>
    <col min="770" max="770" width="62.453125" style="1" customWidth="1"/>
    <col min="771" max="771" width="10" style="1" customWidth="1"/>
    <col min="772" max="772" width="9.26953125" style="1" customWidth="1"/>
    <col min="773" max="773" width="10.453125" style="1" customWidth="1"/>
    <col min="774" max="774" width="11.54296875" style="1" customWidth="1"/>
    <col min="775" max="775" width="10.26953125" style="1" customWidth="1"/>
    <col min="776" max="776" width="14.7265625" style="1" customWidth="1"/>
    <col min="777" max="778" width="0" style="1" hidden="1" customWidth="1"/>
    <col min="779" max="781" width="9.1796875" style="1" customWidth="1"/>
    <col min="782" max="782" width="14.7265625" style="1" customWidth="1"/>
    <col min="783" max="788" width="0" style="1" hidden="1" customWidth="1"/>
    <col min="789" max="1024" width="9.1796875" style="1"/>
    <col min="1025" max="1025" width="5.26953125" style="1" customWidth="1"/>
    <col min="1026" max="1026" width="62.453125" style="1" customWidth="1"/>
    <col min="1027" max="1027" width="10" style="1" customWidth="1"/>
    <col min="1028" max="1028" width="9.26953125" style="1" customWidth="1"/>
    <col min="1029" max="1029" width="10.453125" style="1" customWidth="1"/>
    <col min="1030" max="1030" width="11.54296875" style="1" customWidth="1"/>
    <col min="1031" max="1031" width="10.26953125" style="1" customWidth="1"/>
    <col min="1032" max="1032" width="14.7265625" style="1" customWidth="1"/>
    <col min="1033" max="1034" width="0" style="1" hidden="1" customWidth="1"/>
    <col min="1035" max="1037" width="9.1796875" style="1" customWidth="1"/>
    <col min="1038" max="1038" width="14.7265625" style="1" customWidth="1"/>
    <col min="1039" max="1044" width="0" style="1" hidden="1" customWidth="1"/>
    <col min="1045" max="1280" width="9.1796875" style="1"/>
    <col min="1281" max="1281" width="5.26953125" style="1" customWidth="1"/>
    <col min="1282" max="1282" width="62.453125" style="1" customWidth="1"/>
    <col min="1283" max="1283" width="10" style="1" customWidth="1"/>
    <col min="1284" max="1284" width="9.26953125" style="1" customWidth="1"/>
    <col min="1285" max="1285" width="10.453125" style="1" customWidth="1"/>
    <col min="1286" max="1286" width="11.54296875" style="1" customWidth="1"/>
    <col min="1287" max="1287" width="10.26953125" style="1" customWidth="1"/>
    <col min="1288" max="1288" width="14.7265625" style="1" customWidth="1"/>
    <col min="1289" max="1290" width="0" style="1" hidden="1" customWidth="1"/>
    <col min="1291" max="1293" width="9.1796875" style="1" customWidth="1"/>
    <col min="1294" max="1294" width="14.7265625" style="1" customWidth="1"/>
    <col min="1295" max="1300" width="0" style="1" hidden="1" customWidth="1"/>
    <col min="1301" max="1536" width="9.1796875" style="1"/>
    <col min="1537" max="1537" width="5.26953125" style="1" customWidth="1"/>
    <col min="1538" max="1538" width="62.453125" style="1" customWidth="1"/>
    <col min="1539" max="1539" width="10" style="1" customWidth="1"/>
    <col min="1540" max="1540" width="9.26953125" style="1" customWidth="1"/>
    <col min="1541" max="1541" width="10.453125" style="1" customWidth="1"/>
    <col min="1542" max="1542" width="11.54296875" style="1" customWidth="1"/>
    <col min="1543" max="1543" width="10.26953125" style="1" customWidth="1"/>
    <col min="1544" max="1544" width="14.7265625" style="1" customWidth="1"/>
    <col min="1545" max="1546" width="0" style="1" hidden="1" customWidth="1"/>
    <col min="1547" max="1549" width="9.1796875" style="1" customWidth="1"/>
    <col min="1550" max="1550" width="14.7265625" style="1" customWidth="1"/>
    <col min="1551" max="1556" width="0" style="1" hidden="1" customWidth="1"/>
    <col min="1557" max="1792" width="9.1796875" style="1"/>
    <col min="1793" max="1793" width="5.26953125" style="1" customWidth="1"/>
    <col min="1794" max="1794" width="62.453125" style="1" customWidth="1"/>
    <col min="1795" max="1795" width="10" style="1" customWidth="1"/>
    <col min="1796" max="1796" width="9.26953125" style="1" customWidth="1"/>
    <col min="1797" max="1797" width="10.453125" style="1" customWidth="1"/>
    <col min="1798" max="1798" width="11.54296875" style="1" customWidth="1"/>
    <col min="1799" max="1799" width="10.26953125" style="1" customWidth="1"/>
    <col min="1800" max="1800" width="14.7265625" style="1" customWidth="1"/>
    <col min="1801" max="1802" width="0" style="1" hidden="1" customWidth="1"/>
    <col min="1803" max="1805" width="9.1796875" style="1" customWidth="1"/>
    <col min="1806" max="1806" width="14.7265625" style="1" customWidth="1"/>
    <col min="1807" max="1812" width="0" style="1" hidden="1" customWidth="1"/>
    <col min="1813" max="2048" width="9.1796875" style="1"/>
    <col min="2049" max="2049" width="5.26953125" style="1" customWidth="1"/>
    <col min="2050" max="2050" width="62.453125" style="1" customWidth="1"/>
    <col min="2051" max="2051" width="10" style="1" customWidth="1"/>
    <col min="2052" max="2052" width="9.26953125" style="1" customWidth="1"/>
    <col min="2053" max="2053" width="10.453125" style="1" customWidth="1"/>
    <col min="2054" max="2054" width="11.54296875" style="1" customWidth="1"/>
    <col min="2055" max="2055" width="10.26953125" style="1" customWidth="1"/>
    <col min="2056" max="2056" width="14.7265625" style="1" customWidth="1"/>
    <col min="2057" max="2058" width="0" style="1" hidden="1" customWidth="1"/>
    <col min="2059" max="2061" width="9.1796875" style="1" customWidth="1"/>
    <col min="2062" max="2062" width="14.7265625" style="1" customWidth="1"/>
    <col min="2063" max="2068" width="0" style="1" hidden="1" customWidth="1"/>
    <col min="2069" max="2304" width="9.1796875" style="1"/>
    <col min="2305" max="2305" width="5.26953125" style="1" customWidth="1"/>
    <col min="2306" max="2306" width="62.453125" style="1" customWidth="1"/>
    <col min="2307" max="2307" width="10" style="1" customWidth="1"/>
    <col min="2308" max="2308" width="9.26953125" style="1" customWidth="1"/>
    <col min="2309" max="2309" width="10.453125" style="1" customWidth="1"/>
    <col min="2310" max="2310" width="11.54296875" style="1" customWidth="1"/>
    <col min="2311" max="2311" width="10.26953125" style="1" customWidth="1"/>
    <col min="2312" max="2312" width="14.7265625" style="1" customWidth="1"/>
    <col min="2313" max="2314" width="0" style="1" hidden="1" customWidth="1"/>
    <col min="2315" max="2317" width="9.1796875" style="1" customWidth="1"/>
    <col min="2318" max="2318" width="14.7265625" style="1" customWidth="1"/>
    <col min="2319" max="2324" width="0" style="1" hidden="1" customWidth="1"/>
    <col min="2325" max="2560" width="9.1796875" style="1"/>
    <col min="2561" max="2561" width="5.26953125" style="1" customWidth="1"/>
    <col min="2562" max="2562" width="62.453125" style="1" customWidth="1"/>
    <col min="2563" max="2563" width="10" style="1" customWidth="1"/>
    <col min="2564" max="2564" width="9.26953125" style="1" customWidth="1"/>
    <col min="2565" max="2565" width="10.453125" style="1" customWidth="1"/>
    <col min="2566" max="2566" width="11.54296875" style="1" customWidth="1"/>
    <col min="2567" max="2567" width="10.26953125" style="1" customWidth="1"/>
    <col min="2568" max="2568" width="14.7265625" style="1" customWidth="1"/>
    <col min="2569" max="2570" width="0" style="1" hidden="1" customWidth="1"/>
    <col min="2571" max="2573" width="9.1796875" style="1" customWidth="1"/>
    <col min="2574" max="2574" width="14.7265625" style="1" customWidth="1"/>
    <col min="2575" max="2580" width="0" style="1" hidden="1" customWidth="1"/>
    <col min="2581" max="2816" width="9.1796875" style="1"/>
    <col min="2817" max="2817" width="5.26953125" style="1" customWidth="1"/>
    <col min="2818" max="2818" width="62.453125" style="1" customWidth="1"/>
    <col min="2819" max="2819" width="10" style="1" customWidth="1"/>
    <col min="2820" max="2820" width="9.26953125" style="1" customWidth="1"/>
    <col min="2821" max="2821" width="10.453125" style="1" customWidth="1"/>
    <col min="2822" max="2822" width="11.54296875" style="1" customWidth="1"/>
    <col min="2823" max="2823" width="10.26953125" style="1" customWidth="1"/>
    <col min="2824" max="2824" width="14.7265625" style="1" customWidth="1"/>
    <col min="2825" max="2826" width="0" style="1" hidden="1" customWidth="1"/>
    <col min="2827" max="2829" width="9.1796875" style="1" customWidth="1"/>
    <col min="2830" max="2830" width="14.7265625" style="1" customWidth="1"/>
    <col min="2831" max="2836" width="0" style="1" hidden="1" customWidth="1"/>
    <col min="2837" max="3072" width="9.1796875" style="1"/>
    <col min="3073" max="3073" width="5.26953125" style="1" customWidth="1"/>
    <col min="3074" max="3074" width="62.453125" style="1" customWidth="1"/>
    <col min="3075" max="3075" width="10" style="1" customWidth="1"/>
    <col min="3076" max="3076" width="9.26953125" style="1" customWidth="1"/>
    <col min="3077" max="3077" width="10.453125" style="1" customWidth="1"/>
    <col min="3078" max="3078" width="11.54296875" style="1" customWidth="1"/>
    <col min="3079" max="3079" width="10.26953125" style="1" customWidth="1"/>
    <col min="3080" max="3080" width="14.7265625" style="1" customWidth="1"/>
    <col min="3081" max="3082" width="0" style="1" hidden="1" customWidth="1"/>
    <col min="3083" max="3085" width="9.1796875" style="1" customWidth="1"/>
    <col min="3086" max="3086" width="14.7265625" style="1" customWidth="1"/>
    <col min="3087" max="3092" width="0" style="1" hidden="1" customWidth="1"/>
    <col min="3093" max="3328" width="9.1796875" style="1"/>
    <col min="3329" max="3329" width="5.26953125" style="1" customWidth="1"/>
    <col min="3330" max="3330" width="62.453125" style="1" customWidth="1"/>
    <col min="3331" max="3331" width="10" style="1" customWidth="1"/>
    <col min="3332" max="3332" width="9.26953125" style="1" customWidth="1"/>
    <col min="3333" max="3333" width="10.453125" style="1" customWidth="1"/>
    <col min="3334" max="3334" width="11.54296875" style="1" customWidth="1"/>
    <col min="3335" max="3335" width="10.26953125" style="1" customWidth="1"/>
    <col min="3336" max="3336" width="14.7265625" style="1" customWidth="1"/>
    <col min="3337" max="3338" width="0" style="1" hidden="1" customWidth="1"/>
    <col min="3339" max="3341" width="9.1796875" style="1" customWidth="1"/>
    <col min="3342" max="3342" width="14.7265625" style="1" customWidth="1"/>
    <col min="3343" max="3348" width="0" style="1" hidden="1" customWidth="1"/>
    <col min="3349" max="3584" width="9.1796875" style="1"/>
    <col min="3585" max="3585" width="5.26953125" style="1" customWidth="1"/>
    <col min="3586" max="3586" width="62.453125" style="1" customWidth="1"/>
    <col min="3587" max="3587" width="10" style="1" customWidth="1"/>
    <col min="3588" max="3588" width="9.26953125" style="1" customWidth="1"/>
    <col min="3589" max="3589" width="10.453125" style="1" customWidth="1"/>
    <col min="3590" max="3590" width="11.54296875" style="1" customWidth="1"/>
    <col min="3591" max="3591" width="10.26953125" style="1" customWidth="1"/>
    <col min="3592" max="3592" width="14.7265625" style="1" customWidth="1"/>
    <col min="3593" max="3594" width="0" style="1" hidden="1" customWidth="1"/>
    <col min="3595" max="3597" width="9.1796875" style="1" customWidth="1"/>
    <col min="3598" max="3598" width="14.7265625" style="1" customWidth="1"/>
    <col min="3599" max="3604" width="0" style="1" hidden="1" customWidth="1"/>
    <col min="3605" max="3840" width="9.1796875" style="1"/>
    <col min="3841" max="3841" width="5.26953125" style="1" customWidth="1"/>
    <col min="3842" max="3842" width="62.453125" style="1" customWidth="1"/>
    <col min="3843" max="3843" width="10" style="1" customWidth="1"/>
    <col min="3844" max="3844" width="9.26953125" style="1" customWidth="1"/>
    <col min="3845" max="3845" width="10.453125" style="1" customWidth="1"/>
    <col min="3846" max="3846" width="11.54296875" style="1" customWidth="1"/>
    <col min="3847" max="3847" width="10.26953125" style="1" customWidth="1"/>
    <col min="3848" max="3848" width="14.7265625" style="1" customWidth="1"/>
    <col min="3849" max="3850" width="0" style="1" hidden="1" customWidth="1"/>
    <col min="3851" max="3853" width="9.1796875" style="1" customWidth="1"/>
    <col min="3854" max="3854" width="14.7265625" style="1" customWidth="1"/>
    <col min="3855" max="3860" width="0" style="1" hidden="1" customWidth="1"/>
    <col min="3861" max="4096" width="9.1796875" style="1"/>
    <col min="4097" max="4097" width="5.26953125" style="1" customWidth="1"/>
    <col min="4098" max="4098" width="62.453125" style="1" customWidth="1"/>
    <col min="4099" max="4099" width="10" style="1" customWidth="1"/>
    <col min="4100" max="4100" width="9.26953125" style="1" customWidth="1"/>
    <col min="4101" max="4101" width="10.453125" style="1" customWidth="1"/>
    <col min="4102" max="4102" width="11.54296875" style="1" customWidth="1"/>
    <col min="4103" max="4103" width="10.26953125" style="1" customWidth="1"/>
    <col min="4104" max="4104" width="14.7265625" style="1" customWidth="1"/>
    <col min="4105" max="4106" width="0" style="1" hidden="1" customWidth="1"/>
    <col min="4107" max="4109" width="9.1796875" style="1" customWidth="1"/>
    <col min="4110" max="4110" width="14.7265625" style="1" customWidth="1"/>
    <col min="4111" max="4116" width="0" style="1" hidden="1" customWidth="1"/>
    <col min="4117" max="4352" width="9.1796875" style="1"/>
    <col min="4353" max="4353" width="5.26953125" style="1" customWidth="1"/>
    <col min="4354" max="4354" width="62.453125" style="1" customWidth="1"/>
    <col min="4355" max="4355" width="10" style="1" customWidth="1"/>
    <col min="4356" max="4356" width="9.26953125" style="1" customWidth="1"/>
    <col min="4357" max="4357" width="10.453125" style="1" customWidth="1"/>
    <col min="4358" max="4358" width="11.54296875" style="1" customWidth="1"/>
    <col min="4359" max="4359" width="10.26953125" style="1" customWidth="1"/>
    <col min="4360" max="4360" width="14.7265625" style="1" customWidth="1"/>
    <col min="4361" max="4362" width="0" style="1" hidden="1" customWidth="1"/>
    <col min="4363" max="4365" width="9.1796875" style="1" customWidth="1"/>
    <col min="4366" max="4366" width="14.7265625" style="1" customWidth="1"/>
    <col min="4367" max="4372" width="0" style="1" hidden="1" customWidth="1"/>
    <col min="4373" max="4608" width="9.1796875" style="1"/>
    <col min="4609" max="4609" width="5.26953125" style="1" customWidth="1"/>
    <col min="4610" max="4610" width="62.453125" style="1" customWidth="1"/>
    <col min="4611" max="4611" width="10" style="1" customWidth="1"/>
    <col min="4612" max="4612" width="9.26953125" style="1" customWidth="1"/>
    <col min="4613" max="4613" width="10.453125" style="1" customWidth="1"/>
    <col min="4614" max="4614" width="11.54296875" style="1" customWidth="1"/>
    <col min="4615" max="4615" width="10.26953125" style="1" customWidth="1"/>
    <col min="4616" max="4616" width="14.7265625" style="1" customWidth="1"/>
    <col min="4617" max="4618" width="0" style="1" hidden="1" customWidth="1"/>
    <col min="4619" max="4621" width="9.1796875" style="1" customWidth="1"/>
    <col min="4622" max="4622" width="14.7265625" style="1" customWidth="1"/>
    <col min="4623" max="4628" width="0" style="1" hidden="1" customWidth="1"/>
    <col min="4629" max="4864" width="9.1796875" style="1"/>
    <col min="4865" max="4865" width="5.26953125" style="1" customWidth="1"/>
    <col min="4866" max="4866" width="62.453125" style="1" customWidth="1"/>
    <col min="4867" max="4867" width="10" style="1" customWidth="1"/>
    <col min="4868" max="4868" width="9.26953125" style="1" customWidth="1"/>
    <col min="4869" max="4869" width="10.453125" style="1" customWidth="1"/>
    <col min="4870" max="4870" width="11.54296875" style="1" customWidth="1"/>
    <col min="4871" max="4871" width="10.26953125" style="1" customWidth="1"/>
    <col min="4872" max="4872" width="14.7265625" style="1" customWidth="1"/>
    <col min="4873" max="4874" width="0" style="1" hidden="1" customWidth="1"/>
    <col min="4875" max="4877" width="9.1796875" style="1" customWidth="1"/>
    <col min="4878" max="4878" width="14.7265625" style="1" customWidth="1"/>
    <col min="4879" max="4884" width="0" style="1" hidden="1" customWidth="1"/>
    <col min="4885" max="5120" width="9.1796875" style="1"/>
    <col min="5121" max="5121" width="5.26953125" style="1" customWidth="1"/>
    <col min="5122" max="5122" width="62.453125" style="1" customWidth="1"/>
    <col min="5123" max="5123" width="10" style="1" customWidth="1"/>
    <col min="5124" max="5124" width="9.26953125" style="1" customWidth="1"/>
    <col min="5125" max="5125" width="10.453125" style="1" customWidth="1"/>
    <col min="5126" max="5126" width="11.54296875" style="1" customWidth="1"/>
    <col min="5127" max="5127" width="10.26953125" style="1" customWidth="1"/>
    <col min="5128" max="5128" width="14.7265625" style="1" customWidth="1"/>
    <col min="5129" max="5130" width="0" style="1" hidden="1" customWidth="1"/>
    <col min="5131" max="5133" width="9.1796875" style="1" customWidth="1"/>
    <col min="5134" max="5134" width="14.7265625" style="1" customWidth="1"/>
    <col min="5135" max="5140" width="0" style="1" hidden="1" customWidth="1"/>
    <col min="5141" max="5376" width="9.1796875" style="1"/>
    <col min="5377" max="5377" width="5.26953125" style="1" customWidth="1"/>
    <col min="5378" max="5378" width="62.453125" style="1" customWidth="1"/>
    <col min="5379" max="5379" width="10" style="1" customWidth="1"/>
    <col min="5380" max="5380" width="9.26953125" style="1" customWidth="1"/>
    <col min="5381" max="5381" width="10.453125" style="1" customWidth="1"/>
    <col min="5382" max="5382" width="11.54296875" style="1" customWidth="1"/>
    <col min="5383" max="5383" width="10.26953125" style="1" customWidth="1"/>
    <col min="5384" max="5384" width="14.7265625" style="1" customWidth="1"/>
    <col min="5385" max="5386" width="0" style="1" hidden="1" customWidth="1"/>
    <col min="5387" max="5389" width="9.1796875" style="1" customWidth="1"/>
    <col min="5390" max="5390" width="14.7265625" style="1" customWidth="1"/>
    <col min="5391" max="5396" width="0" style="1" hidden="1" customWidth="1"/>
    <col min="5397" max="5632" width="9.1796875" style="1"/>
    <col min="5633" max="5633" width="5.26953125" style="1" customWidth="1"/>
    <col min="5634" max="5634" width="62.453125" style="1" customWidth="1"/>
    <col min="5635" max="5635" width="10" style="1" customWidth="1"/>
    <col min="5636" max="5636" width="9.26953125" style="1" customWidth="1"/>
    <col min="5637" max="5637" width="10.453125" style="1" customWidth="1"/>
    <col min="5638" max="5638" width="11.54296875" style="1" customWidth="1"/>
    <col min="5639" max="5639" width="10.26953125" style="1" customWidth="1"/>
    <col min="5640" max="5640" width="14.7265625" style="1" customWidth="1"/>
    <col min="5641" max="5642" width="0" style="1" hidden="1" customWidth="1"/>
    <col min="5643" max="5645" width="9.1796875" style="1" customWidth="1"/>
    <col min="5646" max="5646" width="14.7265625" style="1" customWidth="1"/>
    <col min="5647" max="5652" width="0" style="1" hidden="1" customWidth="1"/>
    <col min="5653" max="5888" width="9.1796875" style="1"/>
    <col min="5889" max="5889" width="5.26953125" style="1" customWidth="1"/>
    <col min="5890" max="5890" width="62.453125" style="1" customWidth="1"/>
    <col min="5891" max="5891" width="10" style="1" customWidth="1"/>
    <col min="5892" max="5892" width="9.26953125" style="1" customWidth="1"/>
    <col min="5893" max="5893" width="10.453125" style="1" customWidth="1"/>
    <col min="5894" max="5894" width="11.54296875" style="1" customWidth="1"/>
    <col min="5895" max="5895" width="10.26953125" style="1" customWidth="1"/>
    <col min="5896" max="5896" width="14.7265625" style="1" customWidth="1"/>
    <col min="5897" max="5898" width="0" style="1" hidden="1" customWidth="1"/>
    <col min="5899" max="5901" width="9.1796875" style="1" customWidth="1"/>
    <col min="5902" max="5902" width="14.7265625" style="1" customWidth="1"/>
    <col min="5903" max="5908" width="0" style="1" hidden="1" customWidth="1"/>
    <col min="5909" max="6144" width="9.1796875" style="1"/>
    <col min="6145" max="6145" width="5.26953125" style="1" customWidth="1"/>
    <col min="6146" max="6146" width="62.453125" style="1" customWidth="1"/>
    <col min="6147" max="6147" width="10" style="1" customWidth="1"/>
    <col min="6148" max="6148" width="9.26953125" style="1" customWidth="1"/>
    <col min="6149" max="6149" width="10.453125" style="1" customWidth="1"/>
    <col min="6150" max="6150" width="11.54296875" style="1" customWidth="1"/>
    <col min="6151" max="6151" width="10.26953125" style="1" customWidth="1"/>
    <col min="6152" max="6152" width="14.7265625" style="1" customWidth="1"/>
    <col min="6153" max="6154" width="0" style="1" hidden="1" customWidth="1"/>
    <col min="6155" max="6157" width="9.1796875" style="1" customWidth="1"/>
    <col min="6158" max="6158" width="14.7265625" style="1" customWidth="1"/>
    <col min="6159" max="6164" width="0" style="1" hidden="1" customWidth="1"/>
    <col min="6165" max="6400" width="9.1796875" style="1"/>
    <col min="6401" max="6401" width="5.26953125" style="1" customWidth="1"/>
    <col min="6402" max="6402" width="62.453125" style="1" customWidth="1"/>
    <col min="6403" max="6403" width="10" style="1" customWidth="1"/>
    <col min="6404" max="6404" width="9.26953125" style="1" customWidth="1"/>
    <col min="6405" max="6405" width="10.453125" style="1" customWidth="1"/>
    <col min="6406" max="6406" width="11.54296875" style="1" customWidth="1"/>
    <col min="6407" max="6407" width="10.26953125" style="1" customWidth="1"/>
    <col min="6408" max="6408" width="14.7265625" style="1" customWidth="1"/>
    <col min="6409" max="6410" width="0" style="1" hidden="1" customWidth="1"/>
    <col min="6411" max="6413" width="9.1796875" style="1" customWidth="1"/>
    <col min="6414" max="6414" width="14.7265625" style="1" customWidth="1"/>
    <col min="6415" max="6420" width="0" style="1" hidden="1" customWidth="1"/>
    <col min="6421" max="6656" width="9.1796875" style="1"/>
    <col min="6657" max="6657" width="5.26953125" style="1" customWidth="1"/>
    <col min="6658" max="6658" width="62.453125" style="1" customWidth="1"/>
    <col min="6659" max="6659" width="10" style="1" customWidth="1"/>
    <col min="6660" max="6660" width="9.26953125" style="1" customWidth="1"/>
    <col min="6661" max="6661" width="10.453125" style="1" customWidth="1"/>
    <col min="6662" max="6662" width="11.54296875" style="1" customWidth="1"/>
    <col min="6663" max="6663" width="10.26953125" style="1" customWidth="1"/>
    <col min="6664" max="6664" width="14.7265625" style="1" customWidth="1"/>
    <col min="6665" max="6666" width="0" style="1" hidden="1" customWidth="1"/>
    <col min="6667" max="6669" width="9.1796875" style="1" customWidth="1"/>
    <col min="6670" max="6670" width="14.7265625" style="1" customWidth="1"/>
    <col min="6671" max="6676" width="0" style="1" hidden="1" customWidth="1"/>
    <col min="6677" max="6912" width="9.1796875" style="1"/>
    <col min="6913" max="6913" width="5.26953125" style="1" customWidth="1"/>
    <col min="6914" max="6914" width="62.453125" style="1" customWidth="1"/>
    <col min="6915" max="6915" width="10" style="1" customWidth="1"/>
    <col min="6916" max="6916" width="9.26953125" style="1" customWidth="1"/>
    <col min="6917" max="6917" width="10.453125" style="1" customWidth="1"/>
    <col min="6918" max="6918" width="11.54296875" style="1" customWidth="1"/>
    <col min="6919" max="6919" width="10.26953125" style="1" customWidth="1"/>
    <col min="6920" max="6920" width="14.7265625" style="1" customWidth="1"/>
    <col min="6921" max="6922" width="0" style="1" hidden="1" customWidth="1"/>
    <col min="6923" max="6925" width="9.1796875" style="1" customWidth="1"/>
    <col min="6926" max="6926" width="14.7265625" style="1" customWidth="1"/>
    <col min="6927" max="6932" width="0" style="1" hidden="1" customWidth="1"/>
    <col min="6933" max="7168" width="9.1796875" style="1"/>
    <col min="7169" max="7169" width="5.26953125" style="1" customWidth="1"/>
    <col min="7170" max="7170" width="62.453125" style="1" customWidth="1"/>
    <col min="7171" max="7171" width="10" style="1" customWidth="1"/>
    <col min="7172" max="7172" width="9.26953125" style="1" customWidth="1"/>
    <col min="7173" max="7173" width="10.453125" style="1" customWidth="1"/>
    <col min="7174" max="7174" width="11.54296875" style="1" customWidth="1"/>
    <col min="7175" max="7175" width="10.26953125" style="1" customWidth="1"/>
    <col min="7176" max="7176" width="14.7265625" style="1" customWidth="1"/>
    <col min="7177" max="7178" width="0" style="1" hidden="1" customWidth="1"/>
    <col min="7179" max="7181" width="9.1796875" style="1" customWidth="1"/>
    <col min="7182" max="7182" width="14.7265625" style="1" customWidth="1"/>
    <col min="7183" max="7188" width="0" style="1" hidden="1" customWidth="1"/>
    <col min="7189" max="7424" width="9.1796875" style="1"/>
    <col min="7425" max="7425" width="5.26953125" style="1" customWidth="1"/>
    <col min="7426" max="7426" width="62.453125" style="1" customWidth="1"/>
    <col min="7427" max="7427" width="10" style="1" customWidth="1"/>
    <col min="7428" max="7428" width="9.26953125" style="1" customWidth="1"/>
    <col min="7429" max="7429" width="10.453125" style="1" customWidth="1"/>
    <col min="7430" max="7430" width="11.54296875" style="1" customWidth="1"/>
    <col min="7431" max="7431" width="10.26953125" style="1" customWidth="1"/>
    <col min="7432" max="7432" width="14.7265625" style="1" customWidth="1"/>
    <col min="7433" max="7434" width="0" style="1" hidden="1" customWidth="1"/>
    <col min="7435" max="7437" width="9.1796875" style="1" customWidth="1"/>
    <col min="7438" max="7438" width="14.7265625" style="1" customWidth="1"/>
    <col min="7439" max="7444" width="0" style="1" hidden="1" customWidth="1"/>
    <col min="7445" max="7680" width="9.1796875" style="1"/>
    <col min="7681" max="7681" width="5.26953125" style="1" customWidth="1"/>
    <col min="7682" max="7682" width="62.453125" style="1" customWidth="1"/>
    <col min="7683" max="7683" width="10" style="1" customWidth="1"/>
    <col min="7684" max="7684" width="9.26953125" style="1" customWidth="1"/>
    <col min="7685" max="7685" width="10.453125" style="1" customWidth="1"/>
    <col min="7686" max="7686" width="11.54296875" style="1" customWidth="1"/>
    <col min="7687" max="7687" width="10.26953125" style="1" customWidth="1"/>
    <col min="7688" max="7688" width="14.7265625" style="1" customWidth="1"/>
    <col min="7689" max="7690" width="0" style="1" hidden="1" customWidth="1"/>
    <col min="7691" max="7693" width="9.1796875" style="1" customWidth="1"/>
    <col min="7694" max="7694" width="14.7265625" style="1" customWidth="1"/>
    <col min="7695" max="7700" width="0" style="1" hidden="1" customWidth="1"/>
    <col min="7701" max="7936" width="9.1796875" style="1"/>
    <col min="7937" max="7937" width="5.26953125" style="1" customWidth="1"/>
    <col min="7938" max="7938" width="62.453125" style="1" customWidth="1"/>
    <col min="7939" max="7939" width="10" style="1" customWidth="1"/>
    <col min="7940" max="7940" width="9.26953125" style="1" customWidth="1"/>
    <col min="7941" max="7941" width="10.453125" style="1" customWidth="1"/>
    <col min="7942" max="7942" width="11.54296875" style="1" customWidth="1"/>
    <col min="7943" max="7943" width="10.26953125" style="1" customWidth="1"/>
    <col min="7944" max="7944" width="14.7265625" style="1" customWidth="1"/>
    <col min="7945" max="7946" width="0" style="1" hidden="1" customWidth="1"/>
    <col min="7947" max="7949" width="9.1796875" style="1" customWidth="1"/>
    <col min="7950" max="7950" width="14.7265625" style="1" customWidth="1"/>
    <col min="7951" max="7956" width="0" style="1" hidden="1" customWidth="1"/>
    <col min="7957" max="8192" width="9.1796875" style="1"/>
    <col min="8193" max="8193" width="5.26953125" style="1" customWidth="1"/>
    <col min="8194" max="8194" width="62.453125" style="1" customWidth="1"/>
    <col min="8195" max="8195" width="10" style="1" customWidth="1"/>
    <col min="8196" max="8196" width="9.26953125" style="1" customWidth="1"/>
    <col min="8197" max="8197" width="10.453125" style="1" customWidth="1"/>
    <col min="8198" max="8198" width="11.54296875" style="1" customWidth="1"/>
    <col min="8199" max="8199" width="10.26953125" style="1" customWidth="1"/>
    <col min="8200" max="8200" width="14.7265625" style="1" customWidth="1"/>
    <col min="8201" max="8202" width="0" style="1" hidden="1" customWidth="1"/>
    <col min="8203" max="8205" width="9.1796875" style="1" customWidth="1"/>
    <col min="8206" max="8206" width="14.7265625" style="1" customWidth="1"/>
    <col min="8207" max="8212" width="0" style="1" hidden="1" customWidth="1"/>
    <col min="8213" max="8448" width="9.1796875" style="1"/>
    <col min="8449" max="8449" width="5.26953125" style="1" customWidth="1"/>
    <col min="8450" max="8450" width="62.453125" style="1" customWidth="1"/>
    <col min="8451" max="8451" width="10" style="1" customWidth="1"/>
    <col min="8452" max="8452" width="9.26953125" style="1" customWidth="1"/>
    <col min="8453" max="8453" width="10.453125" style="1" customWidth="1"/>
    <col min="8454" max="8454" width="11.54296875" style="1" customWidth="1"/>
    <col min="8455" max="8455" width="10.26953125" style="1" customWidth="1"/>
    <col min="8456" max="8456" width="14.7265625" style="1" customWidth="1"/>
    <col min="8457" max="8458" width="0" style="1" hidden="1" customWidth="1"/>
    <col min="8459" max="8461" width="9.1796875" style="1" customWidth="1"/>
    <col min="8462" max="8462" width="14.7265625" style="1" customWidth="1"/>
    <col min="8463" max="8468" width="0" style="1" hidden="1" customWidth="1"/>
    <col min="8469" max="8704" width="9.1796875" style="1"/>
    <col min="8705" max="8705" width="5.26953125" style="1" customWidth="1"/>
    <col min="8706" max="8706" width="62.453125" style="1" customWidth="1"/>
    <col min="8707" max="8707" width="10" style="1" customWidth="1"/>
    <col min="8708" max="8708" width="9.26953125" style="1" customWidth="1"/>
    <col min="8709" max="8709" width="10.453125" style="1" customWidth="1"/>
    <col min="8710" max="8710" width="11.54296875" style="1" customWidth="1"/>
    <col min="8711" max="8711" width="10.26953125" style="1" customWidth="1"/>
    <col min="8712" max="8712" width="14.7265625" style="1" customWidth="1"/>
    <col min="8713" max="8714" width="0" style="1" hidden="1" customWidth="1"/>
    <col min="8715" max="8717" width="9.1796875" style="1" customWidth="1"/>
    <col min="8718" max="8718" width="14.7265625" style="1" customWidth="1"/>
    <col min="8719" max="8724" width="0" style="1" hidden="1" customWidth="1"/>
    <col min="8725" max="8960" width="9.1796875" style="1"/>
    <col min="8961" max="8961" width="5.26953125" style="1" customWidth="1"/>
    <col min="8962" max="8962" width="62.453125" style="1" customWidth="1"/>
    <col min="8963" max="8963" width="10" style="1" customWidth="1"/>
    <col min="8964" max="8964" width="9.26953125" style="1" customWidth="1"/>
    <col min="8965" max="8965" width="10.453125" style="1" customWidth="1"/>
    <col min="8966" max="8966" width="11.54296875" style="1" customWidth="1"/>
    <col min="8967" max="8967" width="10.26953125" style="1" customWidth="1"/>
    <col min="8968" max="8968" width="14.7265625" style="1" customWidth="1"/>
    <col min="8969" max="8970" width="0" style="1" hidden="1" customWidth="1"/>
    <col min="8971" max="8973" width="9.1796875" style="1" customWidth="1"/>
    <col min="8974" max="8974" width="14.7265625" style="1" customWidth="1"/>
    <col min="8975" max="8980" width="0" style="1" hidden="1" customWidth="1"/>
    <col min="8981" max="9216" width="9.1796875" style="1"/>
    <col min="9217" max="9217" width="5.26953125" style="1" customWidth="1"/>
    <col min="9218" max="9218" width="62.453125" style="1" customWidth="1"/>
    <col min="9219" max="9219" width="10" style="1" customWidth="1"/>
    <col min="9220" max="9220" width="9.26953125" style="1" customWidth="1"/>
    <col min="9221" max="9221" width="10.453125" style="1" customWidth="1"/>
    <col min="9222" max="9222" width="11.54296875" style="1" customWidth="1"/>
    <col min="9223" max="9223" width="10.26953125" style="1" customWidth="1"/>
    <col min="9224" max="9224" width="14.7265625" style="1" customWidth="1"/>
    <col min="9225" max="9226" width="0" style="1" hidden="1" customWidth="1"/>
    <col min="9227" max="9229" width="9.1796875" style="1" customWidth="1"/>
    <col min="9230" max="9230" width="14.7265625" style="1" customWidth="1"/>
    <col min="9231" max="9236" width="0" style="1" hidden="1" customWidth="1"/>
    <col min="9237" max="9472" width="9.1796875" style="1"/>
    <col min="9473" max="9473" width="5.26953125" style="1" customWidth="1"/>
    <col min="9474" max="9474" width="62.453125" style="1" customWidth="1"/>
    <col min="9475" max="9475" width="10" style="1" customWidth="1"/>
    <col min="9476" max="9476" width="9.26953125" style="1" customWidth="1"/>
    <col min="9477" max="9477" width="10.453125" style="1" customWidth="1"/>
    <col min="9478" max="9478" width="11.54296875" style="1" customWidth="1"/>
    <col min="9479" max="9479" width="10.26953125" style="1" customWidth="1"/>
    <col min="9480" max="9480" width="14.7265625" style="1" customWidth="1"/>
    <col min="9481" max="9482" width="0" style="1" hidden="1" customWidth="1"/>
    <col min="9483" max="9485" width="9.1796875" style="1" customWidth="1"/>
    <col min="9486" max="9486" width="14.7265625" style="1" customWidth="1"/>
    <col min="9487" max="9492" width="0" style="1" hidden="1" customWidth="1"/>
    <col min="9493" max="9728" width="9.1796875" style="1"/>
    <col min="9729" max="9729" width="5.26953125" style="1" customWidth="1"/>
    <col min="9730" max="9730" width="62.453125" style="1" customWidth="1"/>
    <col min="9731" max="9731" width="10" style="1" customWidth="1"/>
    <col min="9732" max="9732" width="9.26953125" style="1" customWidth="1"/>
    <col min="9733" max="9733" width="10.453125" style="1" customWidth="1"/>
    <col min="9734" max="9734" width="11.54296875" style="1" customWidth="1"/>
    <col min="9735" max="9735" width="10.26953125" style="1" customWidth="1"/>
    <col min="9736" max="9736" width="14.7265625" style="1" customWidth="1"/>
    <col min="9737" max="9738" width="0" style="1" hidden="1" customWidth="1"/>
    <col min="9739" max="9741" width="9.1796875" style="1" customWidth="1"/>
    <col min="9742" max="9742" width="14.7265625" style="1" customWidth="1"/>
    <col min="9743" max="9748" width="0" style="1" hidden="1" customWidth="1"/>
    <col min="9749" max="9984" width="9.1796875" style="1"/>
    <col min="9985" max="9985" width="5.26953125" style="1" customWidth="1"/>
    <col min="9986" max="9986" width="62.453125" style="1" customWidth="1"/>
    <col min="9987" max="9987" width="10" style="1" customWidth="1"/>
    <col min="9988" max="9988" width="9.26953125" style="1" customWidth="1"/>
    <col min="9989" max="9989" width="10.453125" style="1" customWidth="1"/>
    <col min="9990" max="9990" width="11.54296875" style="1" customWidth="1"/>
    <col min="9991" max="9991" width="10.26953125" style="1" customWidth="1"/>
    <col min="9992" max="9992" width="14.7265625" style="1" customWidth="1"/>
    <col min="9993" max="9994" width="0" style="1" hidden="1" customWidth="1"/>
    <col min="9995" max="9997" width="9.1796875" style="1" customWidth="1"/>
    <col min="9998" max="9998" width="14.7265625" style="1" customWidth="1"/>
    <col min="9999" max="10004" width="0" style="1" hidden="1" customWidth="1"/>
    <col min="10005" max="10240" width="9.1796875" style="1"/>
    <col min="10241" max="10241" width="5.26953125" style="1" customWidth="1"/>
    <col min="10242" max="10242" width="62.453125" style="1" customWidth="1"/>
    <col min="10243" max="10243" width="10" style="1" customWidth="1"/>
    <col min="10244" max="10244" width="9.26953125" style="1" customWidth="1"/>
    <col min="10245" max="10245" width="10.453125" style="1" customWidth="1"/>
    <col min="10246" max="10246" width="11.54296875" style="1" customWidth="1"/>
    <col min="10247" max="10247" width="10.26953125" style="1" customWidth="1"/>
    <col min="10248" max="10248" width="14.7265625" style="1" customWidth="1"/>
    <col min="10249" max="10250" width="0" style="1" hidden="1" customWidth="1"/>
    <col min="10251" max="10253" width="9.1796875" style="1" customWidth="1"/>
    <col min="10254" max="10254" width="14.7265625" style="1" customWidth="1"/>
    <col min="10255" max="10260" width="0" style="1" hidden="1" customWidth="1"/>
    <col min="10261" max="10496" width="9.1796875" style="1"/>
    <col min="10497" max="10497" width="5.26953125" style="1" customWidth="1"/>
    <col min="10498" max="10498" width="62.453125" style="1" customWidth="1"/>
    <col min="10499" max="10499" width="10" style="1" customWidth="1"/>
    <col min="10500" max="10500" width="9.26953125" style="1" customWidth="1"/>
    <col min="10501" max="10501" width="10.453125" style="1" customWidth="1"/>
    <col min="10502" max="10502" width="11.54296875" style="1" customWidth="1"/>
    <col min="10503" max="10503" width="10.26953125" style="1" customWidth="1"/>
    <col min="10504" max="10504" width="14.7265625" style="1" customWidth="1"/>
    <col min="10505" max="10506" width="0" style="1" hidden="1" customWidth="1"/>
    <col min="10507" max="10509" width="9.1796875" style="1" customWidth="1"/>
    <col min="10510" max="10510" width="14.7265625" style="1" customWidth="1"/>
    <col min="10511" max="10516" width="0" style="1" hidden="1" customWidth="1"/>
    <col min="10517" max="10752" width="9.1796875" style="1"/>
    <col min="10753" max="10753" width="5.26953125" style="1" customWidth="1"/>
    <col min="10754" max="10754" width="62.453125" style="1" customWidth="1"/>
    <col min="10755" max="10755" width="10" style="1" customWidth="1"/>
    <col min="10756" max="10756" width="9.26953125" style="1" customWidth="1"/>
    <col min="10757" max="10757" width="10.453125" style="1" customWidth="1"/>
    <col min="10758" max="10758" width="11.54296875" style="1" customWidth="1"/>
    <col min="10759" max="10759" width="10.26953125" style="1" customWidth="1"/>
    <col min="10760" max="10760" width="14.7265625" style="1" customWidth="1"/>
    <col min="10761" max="10762" width="0" style="1" hidden="1" customWidth="1"/>
    <col min="10763" max="10765" width="9.1796875" style="1" customWidth="1"/>
    <col min="10766" max="10766" width="14.7265625" style="1" customWidth="1"/>
    <col min="10767" max="10772" width="0" style="1" hidden="1" customWidth="1"/>
    <col min="10773" max="11008" width="9.1796875" style="1"/>
    <col min="11009" max="11009" width="5.26953125" style="1" customWidth="1"/>
    <col min="11010" max="11010" width="62.453125" style="1" customWidth="1"/>
    <col min="11011" max="11011" width="10" style="1" customWidth="1"/>
    <col min="11012" max="11012" width="9.26953125" style="1" customWidth="1"/>
    <col min="11013" max="11013" width="10.453125" style="1" customWidth="1"/>
    <col min="11014" max="11014" width="11.54296875" style="1" customWidth="1"/>
    <col min="11015" max="11015" width="10.26953125" style="1" customWidth="1"/>
    <col min="11016" max="11016" width="14.7265625" style="1" customWidth="1"/>
    <col min="11017" max="11018" width="0" style="1" hidden="1" customWidth="1"/>
    <col min="11019" max="11021" width="9.1796875" style="1" customWidth="1"/>
    <col min="11022" max="11022" width="14.7265625" style="1" customWidth="1"/>
    <col min="11023" max="11028" width="0" style="1" hidden="1" customWidth="1"/>
    <col min="11029" max="11264" width="9.1796875" style="1"/>
    <col min="11265" max="11265" width="5.26953125" style="1" customWidth="1"/>
    <col min="11266" max="11266" width="62.453125" style="1" customWidth="1"/>
    <col min="11267" max="11267" width="10" style="1" customWidth="1"/>
    <col min="11268" max="11268" width="9.26953125" style="1" customWidth="1"/>
    <col min="11269" max="11269" width="10.453125" style="1" customWidth="1"/>
    <col min="11270" max="11270" width="11.54296875" style="1" customWidth="1"/>
    <col min="11271" max="11271" width="10.26953125" style="1" customWidth="1"/>
    <col min="11272" max="11272" width="14.7265625" style="1" customWidth="1"/>
    <col min="11273" max="11274" width="0" style="1" hidden="1" customWidth="1"/>
    <col min="11275" max="11277" width="9.1796875" style="1" customWidth="1"/>
    <col min="11278" max="11278" width="14.7265625" style="1" customWidth="1"/>
    <col min="11279" max="11284" width="0" style="1" hidden="1" customWidth="1"/>
    <col min="11285" max="11520" width="9.1796875" style="1"/>
    <col min="11521" max="11521" width="5.26953125" style="1" customWidth="1"/>
    <col min="11522" max="11522" width="62.453125" style="1" customWidth="1"/>
    <col min="11523" max="11523" width="10" style="1" customWidth="1"/>
    <col min="11524" max="11524" width="9.26953125" style="1" customWidth="1"/>
    <col min="11525" max="11525" width="10.453125" style="1" customWidth="1"/>
    <col min="11526" max="11526" width="11.54296875" style="1" customWidth="1"/>
    <col min="11527" max="11527" width="10.26953125" style="1" customWidth="1"/>
    <col min="11528" max="11528" width="14.7265625" style="1" customWidth="1"/>
    <col min="11529" max="11530" width="0" style="1" hidden="1" customWidth="1"/>
    <col min="11531" max="11533" width="9.1796875" style="1" customWidth="1"/>
    <col min="11534" max="11534" width="14.7265625" style="1" customWidth="1"/>
    <col min="11535" max="11540" width="0" style="1" hidden="1" customWidth="1"/>
    <col min="11541" max="11776" width="9.1796875" style="1"/>
    <col min="11777" max="11777" width="5.26953125" style="1" customWidth="1"/>
    <col min="11778" max="11778" width="62.453125" style="1" customWidth="1"/>
    <col min="11779" max="11779" width="10" style="1" customWidth="1"/>
    <col min="11780" max="11780" width="9.26953125" style="1" customWidth="1"/>
    <col min="11781" max="11781" width="10.453125" style="1" customWidth="1"/>
    <col min="11782" max="11782" width="11.54296875" style="1" customWidth="1"/>
    <col min="11783" max="11783" width="10.26953125" style="1" customWidth="1"/>
    <col min="11784" max="11784" width="14.7265625" style="1" customWidth="1"/>
    <col min="11785" max="11786" width="0" style="1" hidden="1" customWidth="1"/>
    <col min="11787" max="11789" width="9.1796875" style="1" customWidth="1"/>
    <col min="11790" max="11790" width="14.7265625" style="1" customWidth="1"/>
    <col min="11791" max="11796" width="0" style="1" hidden="1" customWidth="1"/>
    <col min="11797" max="12032" width="9.1796875" style="1"/>
    <col min="12033" max="12033" width="5.26953125" style="1" customWidth="1"/>
    <col min="12034" max="12034" width="62.453125" style="1" customWidth="1"/>
    <col min="12035" max="12035" width="10" style="1" customWidth="1"/>
    <col min="12036" max="12036" width="9.26953125" style="1" customWidth="1"/>
    <col min="12037" max="12037" width="10.453125" style="1" customWidth="1"/>
    <col min="12038" max="12038" width="11.54296875" style="1" customWidth="1"/>
    <col min="12039" max="12039" width="10.26953125" style="1" customWidth="1"/>
    <col min="12040" max="12040" width="14.7265625" style="1" customWidth="1"/>
    <col min="12041" max="12042" width="0" style="1" hidden="1" customWidth="1"/>
    <col min="12043" max="12045" width="9.1796875" style="1" customWidth="1"/>
    <col min="12046" max="12046" width="14.7265625" style="1" customWidth="1"/>
    <col min="12047" max="12052" width="0" style="1" hidden="1" customWidth="1"/>
    <col min="12053" max="12288" width="9.1796875" style="1"/>
    <col min="12289" max="12289" width="5.26953125" style="1" customWidth="1"/>
    <col min="12290" max="12290" width="62.453125" style="1" customWidth="1"/>
    <col min="12291" max="12291" width="10" style="1" customWidth="1"/>
    <col min="12292" max="12292" width="9.26953125" style="1" customWidth="1"/>
    <col min="12293" max="12293" width="10.453125" style="1" customWidth="1"/>
    <col min="12294" max="12294" width="11.54296875" style="1" customWidth="1"/>
    <col min="12295" max="12295" width="10.26953125" style="1" customWidth="1"/>
    <col min="12296" max="12296" width="14.7265625" style="1" customWidth="1"/>
    <col min="12297" max="12298" width="0" style="1" hidden="1" customWidth="1"/>
    <col min="12299" max="12301" width="9.1796875" style="1" customWidth="1"/>
    <col min="12302" max="12302" width="14.7265625" style="1" customWidth="1"/>
    <col min="12303" max="12308" width="0" style="1" hidden="1" customWidth="1"/>
    <col min="12309" max="12544" width="9.1796875" style="1"/>
    <col min="12545" max="12545" width="5.26953125" style="1" customWidth="1"/>
    <col min="12546" max="12546" width="62.453125" style="1" customWidth="1"/>
    <col min="12547" max="12547" width="10" style="1" customWidth="1"/>
    <col min="12548" max="12548" width="9.26953125" style="1" customWidth="1"/>
    <col min="12549" max="12549" width="10.453125" style="1" customWidth="1"/>
    <col min="12550" max="12550" width="11.54296875" style="1" customWidth="1"/>
    <col min="12551" max="12551" width="10.26953125" style="1" customWidth="1"/>
    <col min="12552" max="12552" width="14.7265625" style="1" customWidth="1"/>
    <col min="12553" max="12554" width="0" style="1" hidden="1" customWidth="1"/>
    <col min="12555" max="12557" width="9.1796875" style="1" customWidth="1"/>
    <col min="12558" max="12558" width="14.7265625" style="1" customWidth="1"/>
    <col min="12559" max="12564" width="0" style="1" hidden="1" customWidth="1"/>
    <col min="12565" max="12800" width="9.1796875" style="1"/>
    <col min="12801" max="12801" width="5.26953125" style="1" customWidth="1"/>
    <col min="12802" max="12802" width="62.453125" style="1" customWidth="1"/>
    <col min="12803" max="12803" width="10" style="1" customWidth="1"/>
    <col min="12804" max="12804" width="9.26953125" style="1" customWidth="1"/>
    <col min="12805" max="12805" width="10.453125" style="1" customWidth="1"/>
    <col min="12806" max="12806" width="11.54296875" style="1" customWidth="1"/>
    <col min="12807" max="12807" width="10.26953125" style="1" customWidth="1"/>
    <col min="12808" max="12808" width="14.7265625" style="1" customWidth="1"/>
    <col min="12809" max="12810" width="0" style="1" hidden="1" customWidth="1"/>
    <col min="12811" max="12813" width="9.1796875" style="1" customWidth="1"/>
    <col min="12814" max="12814" width="14.7265625" style="1" customWidth="1"/>
    <col min="12815" max="12820" width="0" style="1" hidden="1" customWidth="1"/>
    <col min="12821" max="13056" width="9.1796875" style="1"/>
    <col min="13057" max="13057" width="5.26953125" style="1" customWidth="1"/>
    <col min="13058" max="13058" width="62.453125" style="1" customWidth="1"/>
    <col min="13059" max="13059" width="10" style="1" customWidth="1"/>
    <col min="13060" max="13060" width="9.26953125" style="1" customWidth="1"/>
    <col min="13061" max="13061" width="10.453125" style="1" customWidth="1"/>
    <col min="13062" max="13062" width="11.54296875" style="1" customWidth="1"/>
    <col min="13063" max="13063" width="10.26953125" style="1" customWidth="1"/>
    <col min="13064" max="13064" width="14.7265625" style="1" customWidth="1"/>
    <col min="13065" max="13066" width="0" style="1" hidden="1" customWidth="1"/>
    <col min="13067" max="13069" width="9.1796875" style="1" customWidth="1"/>
    <col min="13070" max="13070" width="14.7265625" style="1" customWidth="1"/>
    <col min="13071" max="13076" width="0" style="1" hidden="1" customWidth="1"/>
    <col min="13077" max="13312" width="9.1796875" style="1"/>
    <col min="13313" max="13313" width="5.26953125" style="1" customWidth="1"/>
    <col min="13314" max="13314" width="62.453125" style="1" customWidth="1"/>
    <col min="13315" max="13315" width="10" style="1" customWidth="1"/>
    <col min="13316" max="13316" width="9.26953125" style="1" customWidth="1"/>
    <col min="13317" max="13317" width="10.453125" style="1" customWidth="1"/>
    <col min="13318" max="13318" width="11.54296875" style="1" customWidth="1"/>
    <col min="13319" max="13319" width="10.26953125" style="1" customWidth="1"/>
    <col min="13320" max="13320" width="14.7265625" style="1" customWidth="1"/>
    <col min="13321" max="13322" width="0" style="1" hidden="1" customWidth="1"/>
    <col min="13323" max="13325" width="9.1796875" style="1" customWidth="1"/>
    <col min="13326" max="13326" width="14.7265625" style="1" customWidth="1"/>
    <col min="13327" max="13332" width="0" style="1" hidden="1" customWidth="1"/>
    <col min="13333" max="13568" width="9.1796875" style="1"/>
    <col min="13569" max="13569" width="5.26953125" style="1" customWidth="1"/>
    <col min="13570" max="13570" width="62.453125" style="1" customWidth="1"/>
    <col min="13571" max="13571" width="10" style="1" customWidth="1"/>
    <col min="13572" max="13572" width="9.26953125" style="1" customWidth="1"/>
    <col min="13573" max="13573" width="10.453125" style="1" customWidth="1"/>
    <col min="13574" max="13574" width="11.54296875" style="1" customWidth="1"/>
    <col min="13575" max="13575" width="10.26953125" style="1" customWidth="1"/>
    <col min="13576" max="13576" width="14.7265625" style="1" customWidth="1"/>
    <col min="13577" max="13578" width="0" style="1" hidden="1" customWidth="1"/>
    <col min="13579" max="13581" width="9.1796875" style="1" customWidth="1"/>
    <col min="13582" max="13582" width="14.7265625" style="1" customWidth="1"/>
    <col min="13583" max="13588" width="0" style="1" hidden="1" customWidth="1"/>
    <col min="13589" max="13824" width="9.1796875" style="1"/>
    <col min="13825" max="13825" width="5.26953125" style="1" customWidth="1"/>
    <col min="13826" max="13826" width="62.453125" style="1" customWidth="1"/>
    <col min="13827" max="13827" width="10" style="1" customWidth="1"/>
    <col min="13828" max="13828" width="9.26953125" style="1" customWidth="1"/>
    <col min="13829" max="13829" width="10.453125" style="1" customWidth="1"/>
    <col min="13830" max="13830" width="11.54296875" style="1" customWidth="1"/>
    <col min="13831" max="13831" width="10.26953125" style="1" customWidth="1"/>
    <col min="13832" max="13832" width="14.7265625" style="1" customWidth="1"/>
    <col min="13833" max="13834" width="0" style="1" hidden="1" customWidth="1"/>
    <col min="13835" max="13837" width="9.1796875" style="1" customWidth="1"/>
    <col min="13838" max="13838" width="14.7265625" style="1" customWidth="1"/>
    <col min="13839" max="13844" width="0" style="1" hidden="1" customWidth="1"/>
    <col min="13845" max="14080" width="9.1796875" style="1"/>
    <col min="14081" max="14081" width="5.26953125" style="1" customWidth="1"/>
    <col min="14082" max="14082" width="62.453125" style="1" customWidth="1"/>
    <col min="14083" max="14083" width="10" style="1" customWidth="1"/>
    <col min="14084" max="14084" width="9.26953125" style="1" customWidth="1"/>
    <col min="14085" max="14085" width="10.453125" style="1" customWidth="1"/>
    <col min="14086" max="14086" width="11.54296875" style="1" customWidth="1"/>
    <col min="14087" max="14087" width="10.26953125" style="1" customWidth="1"/>
    <col min="14088" max="14088" width="14.7265625" style="1" customWidth="1"/>
    <col min="14089" max="14090" width="0" style="1" hidden="1" customWidth="1"/>
    <col min="14091" max="14093" width="9.1796875" style="1" customWidth="1"/>
    <col min="14094" max="14094" width="14.7265625" style="1" customWidth="1"/>
    <col min="14095" max="14100" width="0" style="1" hidden="1" customWidth="1"/>
    <col min="14101" max="14336" width="9.1796875" style="1"/>
    <col min="14337" max="14337" width="5.26953125" style="1" customWidth="1"/>
    <col min="14338" max="14338" width="62.453125" style="1" customWidth="1"/>
    <col min="14339" max="14339" width="10" style="1" customWidth="1"/>
    <col min="14340" max="14340" width="9.26953125" style="1" customWidth="1"/>
    <col min="14341" max="14341" width="10.453125" style="1" customWidth="1"/>
    <col min="14342" max="14342" width="11.54296875" style="1" customWidth="1"/>
    <col min="14343" max="14343" width="10.26953125" style="1" customWidth="1"/>
    <col min="14344" max="14344" width="14.7265625" style="1" customWidth="1"/>
    <col min="14345" max="14346" width="0" style="1" hidden="1" customWidth="1"/>
    <col min="14347" max="14349" width="9.1796875" style="1" customWidth="1"/>
    <col min="14350" max="14350" width="14.7265625" style="1" customWidth="1"/>
    <col min="14351" max="14356" width="0" style="1" hidden="1" customWidth="1"/>
    <col min="14357" max="14592" width="9.1796875" style="1"/>
    <col min="14593" max="14593" width="5.26953125" style="1" customWidth="1"/>
    <col min="14594" max="14594" width="62.453125" style="1" customWidth="1"/>
    <col min="14595" max="14595" width="10" style="1" customWidth="1"/>
    <col min="14596" max="14596" width="9.26953125" style="1" customWidth="1"/>
    <col min="14597" max="14597" width="10.453125" style="1" customWidth="1"/>
    <col min="14598" max="14598" width="11.54296875" style="1" customWidth="1"/>
    <col min="14599" max="14599" width="10.26953125" style="1" customWidth="1"/>
    <col min="14600" max="14600" width="14.7265625" style="1" customWidth="1"/>
    <col min="14601" max="14602" width="0" style="1" hidden="1" customWidth="1"/>
    <col min="14603" max="14605" width="9.1796875" style="1" customWidth="1"/>
    <col min="14606" max="14606" width="14.7265625" style="1" customWidth="1"/>
    <col min="14607" max="14612" width="0" style="1" hidden="1" customWidth="1"/>
    <col min="14613" max="14848" width="9.1796875" style="1"/>
    <col min="14849" max="14849" width="5.26953125" style="1" customWidth="1"/>
    <col min="14850" max="14850" width="62.453125" style="1" customWidth="1"/>
    <col min="14851" max="14851" width="10" style="1" customWidth="1"/>
    <col min="14852" max="14852" width="9.26953125" style="1" customWidth="1"/>
    <col min="14853" max="14853" width="10.453125" style="1" customWidth="1"/>
    <col min="14854" max="14854" width="11.54296875" style="1" customWidth="1"/>
    <col min="14855" max="14855" width="10.26953125" style="1" customWidth="1"/>
    <col min="14856" max="14856" width="14.7265625" style="1" customWidth="1"/>
    <col min="14857" max="14858" width="0" style="1" hidden="1" customWidth="1"/>
    <col min="14859" max="14861" width="9.1796875" style="1" customWidth="1"/>
    <col min="14862" max="14862" width="14.7265625" style="1" customWidth="1"/>
    <col min="14863" max="14868" width="0" style="1" hidden="1" customWidth="1"/>
    <col min="14869" max="15104" width="9.1796875" style="1"/>
    <col min="15105" max="15105" width="5.26953125" style="1" customWidth="1"/>
    <col min="15106" max="15106" width="62.453125" style="1" customWidth="1"/>
    <col min="15107" max="15107" width="10" style="1" customWidth="1"/>
    <col min="15108" max="15108" width="9.26953125" style="1" customWidth="1"/>
    <col min="15109" max="15109" width="10.453125" style="1" customWidth="1"/>
    <col min="15110" max="15110" width="11.54296875" style="1" customWidth="1"/>
    <col min="15111" max="15111" width="10.26953125" style="1" customWidth="1"/>
    <col min="15112" max="15112" width="14.7265625" style="1" customWidth="1"/>
    <col min="15113" max="15114" width="0" style="1" hidden="1" customWidth="1"/>
    <col min="15115" max="15117" width="9.1796875" style="1" customWidth="1"/>
    <col min="15118" max="15118" width="14.7265625" style="1" customWidth="1"/>
    <col min="15119" max="15124" width="0" style="1" hidden="1" customWidth="1"/>
    <col min="15125" max="15360" width="9.1796875" style="1"/>
    <col min="15361" max="15361" width="5.26953125" style="1" customWidth="1"/>
    <col min="15362" max="15362" width="62.453125" style="1" customWidth="1"/>
    <col min="15363" max="15363" width="10" style="1" customWidth="1"/>
    <col min="15364" max="15364" width="9.26953125" style="1" customWidth="1"/>
    <col min="15365" max="15365" width="10.453125" style="1" customWidth="1"/>
    <col min="15366" max="15366" width="11.54296875" style="1" customWidth="1"/>
    <col min="15367" max="15367" width="10.26953125" style="1" customWidth="1"/>
    <col min="15368" max="15368" width="14.7265625" style="1" customWidth="1"/>
    <col min="15369" max="15370" width="0" style="1" hidden="1" customWidth="1"/>
    <col min="15371" max="15373" width="9.1796875" style="1" customWidth="1"/>
    <col min="15374" max="15374" width="14.7265625" style="1" customWidth="1"/>
    <col min="15375" max="15380" width="0" style="1" hidden="1" customWidth="1"/>
    <col min="15381" max="15616" width="9.1796875" style="1"/>
    <col min="15617" max="15617" width="5.26953125" style="1" customWidth="1"/>
    <col min="15618" max="15618" width="62.453125" style="1" customWidth="1"/>
    <col min="15619" max="15619" width="10" style="1" customWidth="1"/>
    <col min="15620" max="15620" width="9.26953125" style="1" customWidth="1"/>
    <col min="15621" max="15621" width="10.453125" style="1" customWidth="1"/>
    <col min="15622" max="15622" width="11.54296875" style="1" customWidth="1"/>
    <col min="15623" max="15623" width="10.26953125" style="1" customWidth="1"/>
    <col min="15624" max="15624" width="14.7265625" style="1" customWidth="1"/>
    <col min="15625" max="15626" width="0" style="1" hidden="1" customWidth="1"/>
    <col min="15627" max="15629" width="9.1796875" style="1" customWidth="1"/>
    <col min="15630" max="15630" width="14.7265625" style="1" customWidth="1"/>
    <col min="15631" max="15636" width="0" style="1" hidden="1" customWidth="1"/>
    <col min="15637" max="15872" width="9.1796875" style="1"/>
    <col min="15873" max="15873" width="5.26953125" style="1" customWidth="1"/>
    <col min="15874" max="15874" width="62.453125" style="1" customWidth="1"/>
    <col min="15875" max="15875" width="10" style="1" customWidth="1"/>
    <col min="15876" max="15876" width="9.26953125" style="1" customWidth="1"/>
    <col min="15877" max="15877" width="10.453125" style="1" customWidth="1"/>
    <col min="15878" max="15878" width="11.54296875" style="1" customWidth="1"/>
    <col min="15879" max="15879" width="10.26953125" style="1" customWidth="1"/>
    <col min="15880" max="15880" width="14.7265625" style="1" customWidth="1"/>
    <col min="15881" max="15882" width="0" style="1" hidden="1" customWidth="1"/>
    <col min="15883" max="15885" width="9.1796875" style="1" customWidth="1"/>
    <col min="15886" max="15886" width="14.7265625" style="1" customWidth="1"/>
    <col min="15887" max="15892" width="0" style="1" hidden="1" customWidth="1"/>
    <col min="15893" max="16128" width="9.1796875" style="1"/>
    <col min="16129" max="16129" width="5.26953125" style="1" customWidth="1"/>
    <col min="16130" max="16130" width="62.453125" style="1" customWidth="1"/>
    <col min="16131" max="16131" width="10" style="1" customWidth="1"/>
    <col min="16132" max="16132" width="9.26953125" style="1" customWidth="1"/>
    <col min="16133" max="16133" width="10.453125" style="1" customWidth="1"/>
    <col min="16134" max="16134" width="11.54296875" style="1" customWidth="1"/>
    <col min="16135" max="16135" width="10.26953125" style="1" customWidth="1"/>
    <col min="16136" max="16136" width="14.7265625" style="1" customWidth="1"/>
    <col min="16137" max="16138" width="0" style="1" hidden="1" customWidth="1"/>
    <col min="16139" max="16141" width="9.1796875" style="1" customWidth="1"/>
    <col min="16142" max="16142" width="14.7265625" style="1" customWidth="1"/>
    <col min="16143" max="16148" width="0" style="1" hidden="1" customWidth="1"/>
    <col min="16149" max="16384" width="9.1796875" style="1"/>
  </cols>
  <sheetData>
    <row r="1" spans="1:18" ht="15.5" x14ac:dyDescent="0.35">
      <c r="E1" s="1030"/>
      <c r="F1" s="1030"/>
      <c r="G1" s="1030"/>
      <c r="H1" s="967" t="s">
        <v>451</v>
      </c>
      <c r="I1" s="261"/>
      <c r="J1" s="261"/>
      <c r="K1" s="261"/>
      <c r="L1" s="261"/>
      <c r="M1" s="261"/>
      <c r="O1" s="261"/>
      <c r="P1" s="261"/>
      <c r="Q1" s="261"/>
      <c r="R1" s="261"/>
    </row>
    <row r="2" spans="1:18" ht="15.5" x14ac:dyDescent="0.35">
      <c r="E2" s="261"/>
      <c r="F2" s="261"/>
      <c r="G2" s="261"/>
      <c r="H2" s="967" t="s">
        <v>450</v>
      </c>
      <c r="I2" s="261"/>
      <c r="J2" s="261"/>
      <c r="K2" s="261"/>
      <c r="L2" s="261"/>
      <c r="M2" s="261"/>
      <c r="P2" s="261"/>
      <c r="Q2" s="261"/>
      <c r="R2" s="261"/>
    </row>
    <row r="3" spans="1:18" ht="15.5" x14ac:dyDescent="0.35">
      <c r="E3" s="261"/>
      <c r="F3" s="261"/>
      <c r="G3" s="261"/>
      <c r="H3" s="967" t="s">
        <v>449</v>
      </c>
      <c r="I3" s="261"/>
      <c r="J3" s="261"/>
      <c r="K3" s="261"/>
      <c r="L3" s="261"/>
      <c r="M3" s="261"/>
      <c r="O3" s="261"/>
      <c r="P3" s="261"/>
      <c r="Q3" s="261"/>
      <c r="R3" s="261"/>
    </row>
    <row r="4" spans="1:18" ht="15.5" x14ac:dyDescent="0.35">
      <c r="E4" s="261"/>
      <c r="F4" s="261"/>
      <c r="G4" s="261"/>
      <c r="H4" s="967" t="s">
        <v>448</v>
      </c>
      <c r="I4" s="261"/>
      <c r="J4" s="261"/>
      <c r="K4" s="261"/>
      <c r="L4" s="261"/>
      <c r="M4" s="261"/>
      <c r="O4" s="261"/>
      <c r="P4" s="261"/>
      <c r="Q4" s="261"/>
      <c r="R4" s="261"/>
    </row>
    <row r="5" spans="1:18" ht="15.5" x14ac:dyDescent="0.25">
      <c r="E5" s="388"/>
      <c r="F5" s="388"/>
      <c r="G5" s="388"/>
      <c r="H5" s="968" t="s">
        <v>900</v>
      </c>
      <c r="I5" s="388"/>
      <c r="J5" s="388"/>
      <c r="K5" s="388"/>
      <c r="L5" s="388"/>
      <c r="M5" s="388"/>
      <c r="O5" s="387" t="s">
        <v>617</v>
      </c>
      <c r="Q5" s="386"/>
      <c r="R5" s="386"/>
    </row>
    <row r="6" spans="1:18" ht="15.5" x14ac:dyDescent="0.35">
      <c r="I6" s="4"/>
      <c r="J6" s="4"/>
      <c r="K6" s="4"/>
      <c r="L6" s="4"/>
      <c r="M6" s="263"/>
      <c r="O6" s="870"/>
      <c r="P6" s="870"/>
      <c r="Q6" s="870"/>
      <c r="R6" s="870"/>
    </row>
    <row r="7" spans="1:18" ht="15.5" hidden="1" x14ac:dyDescent="0.35">
      <c r="E7" s="254"/>
      <c r="F7" s="254"/>
      <c r="G7" s="254"/>
      <c r="H7" s="871" t="s">
        <v>446</v>
      </c>
      <c r="I7" s="4"/>
      <c r="J7" s="254"/>
      <c r="K7" s="254"/>
      <c r="L7" s="254"/>
      <c r="M7" s="871"/>
      <c r="O7" s="870"/>
      <c r="P7" s="870"/>
      <c r="Q7" s="870"/>
      <c r="R7" s="870"/>
    </row>
    <row r="8" spans="1:18" ht="15.5" hidden="1" x14ac:dyDescent="0.35">
      <c r="E8" s="254"/>
      <c r="F8" s="254"/>
      <c r="G8" s="254"/>
      <c r="H8" s="384"/>
      <c r="I8" s="4"/>
      <c r="J8" s="254"/>
      <c r="K8" s="254"/>
      <c r="L8" s="254"/>
      <c r="M8" s="384"/>
      <c r="P8" s="870"/>
      <c r="Q8" s="870"/>
    </row>
    <row r="9" spans="1:18" ht="15.5" hidden="1" x14ac:dyDescent="0.35">
      <c r="E9" s="254"/>
      <c r="F9" s="254"/>
      <c r="G9" s="254"/>
      <c r="H9" s="871" t="s">
        <v>848</v>
      </c>
      <c r="I9" s="4"/>
      <c r="J9" s="254"/>
      <c r="K9" s="254"/>
      <c r="L9" s="254"/>
      <c r="M9" s="871"/>
      <c r="O9" s="870"/>
      <c r="P9" s="870"/>
      <c r="Q9" s="870"/>
      <c r="R9" s="870"/>
    </row>
    <row r="10" spans="1:18" ht="15.5" hidden="1" x14ac:dyDescent="0.35">
      <c r="H10" s="390"/>
      <c r="I10" s="391">
        <v>73707.5</v>
      </c>
      <c r="J10" s="4"/>
      <c r="K10" s="4"/>
      <c r="L10" s="4"/>
      <c r="M10" s="263"/>
      <c r="N10" s="390"/>
      <c r="O10" s="870"/>
      <c r="P10" s="870"/>
      <c r="Q10" s="870"/>
    </row>
    <row r="11" spans="1:18" ht="13" x14ac:dyDescent="0.3">
      <c r="G11" s="392"/>
      <c r="H11" s="393"/>
      <c r="I11" s="394">
        <v>3685.4</v>
      </c>
      <c r="N11" s="393"/>
    </row>
    <row r="12" spans="1:18" ht="15.5" x14ac:dyDescent="0.3">
      <c r="B12" s="3387"/>
      <c r="C12" s="3387"/>
      <c r="D12" s="3387"/>
      <c r="E12" s="3387"/>
      <c r="F12" s="3387"/>
      <c r="G12" s="3387"/>
      <c r="H12" s="3387"/>
      <c r="I12" s="395" t="e">
        <f>I10-I11-#REF!</f>
        <v>#REF!</v>
      </c>
      <c r="N12" s="1"/>
    </row>
    <row r="13" spans="1:18" ht="15.65" customHeight="1" x14ac:dyDescent="0.25">
      <c r="A13" s="3388" t="s">
        <v>614</v>
      </c>
      <c r="B13" s="3388"/>
      <c r="C13" s="3388"/>
      <c r="D13" s="3388"/>
      <c r="E13" s="3388"/>
      <c r="F13" s="3388"/>
      <c r="G13" s="3388"/>
      <c r="H13" s="3388"/>
      <c r="I13" s="1"/>
      <c r="N13" s="1"/>
    </row>
    <row r="14" spans="1:18" ht="15.65" customHeight="1" x14ac:dyDescent="0.25">
      <c r="A14" s="3388" t="s">
        <v>613</v>
      </c>
      <c r="B14" s="3388"/>
      <c r="C14" s="3388"/>
      <c r="D14" s="3388"/>
      <c r="E14" s="3388"/>
      <c r="F14" s="3388"/>
      <c r="G14" s="3388"/>
      <c r="H14" s="3388"/>
      <c r="I14" s="1"/>
      <c r="N14" s="1"/>
    </row>
    <row r="15" spans="1:18" ht="15" customHeight="1" x14ac:dyDescent="0.25">
      <c r="A15" s="3388" t="s">
        <v>901</v>
      </c>
      <c r="B15" s="3388"/>
      <c r="C15" s="3388"/>
      <c r="D15" s="3388"/>
      <c r="E15" s="3388"/>
      <c r="F15" s="3388"/>
      <c r="G15" s="3388"/>
      <c r="H15" s="3388"/>
      <c r="I15" s="1"/>
      <c r="N15" s="1"/>
    </row>
    <row r="16" spans="1:18" ht="16" thickBot="1" x14ac:dyDescent="0.4">
      <c r="A16" s="375"/>
      <c r="B16" s="236"/>
      <c r="C16" s="235"/>
      <c r="D16" s="234"/>
      <c r="E16" s="234"/>
      <c r="F16" s="234"/>
      <c r="G16" s="234"/>
      <c r="H16" s="396" t="s">
        <v>829</v>
      </c>
      <c r="I16" s="374"/>
      <c r="N16" s="374"/>
    </row>
    <row r="17" spans="1:10" ht="13" thickBot="1" x14ac:dyDescent="0.3">
      <c r="A17" s="863" t="s">
        <v>611</v>
      </c>
      <c r="B17" s="864" t="s">
        <v>322</v>
      </c>
      <c r="C17" s="865" t="s">
        <v>610</v>
      </c>
      <c r="D17" s="296" t="s">
        <v>609</v>
      </c>
      <c r="E17" s="296" t="s">
        <v>608</v>
      </c>
      <c r="F17" s="296" t="s">
        <v>607</v>
      </c>
      <c r="G17" s="296" t="s">
        <v>606</v>
      </c>
      <c r="H17" s="866" t="s">
        <v>790</v>
      </c>
      <c r="I17" s="846" t="s">
        <v>604</v>
      </c>
      <c r="J17" s="368" t="s">
        <v>603</v>
      </c>
    </row>
    <row r="18" spans="1:10" ht="13.5" thickBot="1" x14ac:dyDescent="0.3">
      <c r="A18" s="858"/>
      <c r="B18" s="859" t="s">
        <v>618</v>
      </c>
      <c r="C18" s="860"/>
      <c r="D18" s="861"/>
      <c r="E18" s="861"/>
      <c r="F18" s="861"/>
      <c r="G18" s="861"/>
      <c r="H18" s="862">
        <f>H20</f>
        <v>102626.07399999998</v>
      </c>
      <c r="I18" s="847">
        <f>I19+I53+I329</f>
        <v>78942.399999999994</v>
      </c>
      <c r="J18" s="363">
        <f>J19+J53+J329</f>
        <v>79872.899999999994</v>
      </c>
    </row>
    <row r="19" spans="1:10" ht="21.5" hidden="1" thickBot="1" x14ac:dyDescent="0.3">
      <c r="A19" s="298">
        <v>1</v>
      </c>
      <c r="B19" s="297" t="s">
        <v>601</v>
      </c>
      <c r="C19" s="296" t="s">
        <v>430</v>
      </c>
      <c r="D19" s="296"/>
      <c r="E19" s="296"/>
      <c r="F19" s="296"/>
      <c r="G19" s="296"/>
      <c r="H19" s="292">
        <f>H21</f>
        <v>22654.674999999999</v>
      </c>
      <c r="I19" s="848">
        <f>I21</f>
        <v>2531.0699999999997</v>
      </c>
      <c r="J19" s="292">
        <f>J21</f>
        <v>2637.06</v>
      </c>
    </row>
    <row r="20" spans="1:10" ht="21.5" thickBot="1" x14ac:dyDescent="0.3">
      <c r="A20" s="298">
        <v>1</v>
      </c>
      <c r="B20" s="357" t="s">
        <v>584</v>
      </c>
      <c r="C20" s="296" t="s">
        <v>430</v>
      </c>
      <c r="D20" s="296"/>
      <c r="E20" s="296"/>
      <c r="F20" s="296"/>
      <c r="G20" s="296"/>
      <c r="H20" s="292">
        <f>H21+H115+H141+H190+H246+H256++H277+H295+H107</f>
        <v>102626.07399999998</v>
      </c>
      <c r="I20" s="848">
        <f>I21+I90+I116+I165+I221+I232+I252+I267+I82</f>
        <v>44063.945</v>
      </c>
      <c r="J20" s="293">
        <f>J21+J90+J116+J165+J221+J232+J252+J267+J82</f>
        <v>42129.229999999996</v>
      </c>
    </row>
    <row r="21" spans="1:10" x14ac:dyDescent="0.25">
      <c r="A21" s="361"/>
      <c r="B21" s="290" t="s">
        <v>431</v>
      </c>
      <c r="C21" s="289"/>
      <c r="D21" s="288" t="s">
        <v>456</v>
      </c>
      <c r="E21" s="288" t="s">
        <v>459</v>
      </c>
      <c r="F21" s="288"/>
      <c r="G21" s="288"/>
      <c r="H21" s="286">
        <f>H28+H36+H55+H72+H84+H90</f>
        <v>22654.674999999999</v>
      </c>
      <c r="I21" s="849">
        <f>I22+I36+I47</f>
        <v>2531.0699999999997</v>
      </c>
      <c r="J21" s="287">
        <f>J22+J36+J47</f>
        <v>2637.06</v>
      </c>
    </row>
    <row r="22" spans="1:10" ht="21" hidden="1" x14ac:dyDescent="0.25">
      <c r="A22" s="281"/>
      <c r="B22" s="282" t="s">
        <v>600</v>
      </c>
      <c r="C22" s="279"/>
      <c r="D22" s="278" t="s">
        <v>456</v>
      </c>
      <c r="E22" s="278" t="s">
        <v>488</v>
      </c>
      <c r="F22" s="278"/>
      <c r="G22" s="278"/>
      <c r="H22" s="354"/>
      <c r="I22" s="850">
        <f t="shared" ref="I22:J26" si="0">I23</f>
        <v>0</v>
      </c>
      <c r="J22" s="355">
        <f t="shared" si="0"/>
        <v>0</v>
      </c>
    </row>
    <row r="23" spans="1:10" ht="20" hidden="1" x14ac:dyDescent="0.25">
      <c r="A23" s="273"/>
      <c r="B23" s="285" t="s">
        <v>599</v>
      </c>
      <c r="C23" s="272"/>
      <c r="D23" s="271" t="s">
        <v>456</v>
      </c>
      <c r="E23" s="271" t="s">
        <v>488</v>
      </c>
      <c r="F23" s="271" t="s">
        <v>157</v>
      </c>
      <c r="G23" s="271"/>
      <c r="H23" s="352"/>
      <c r="I23" s="851">
        <f t="shared" si="0"/>
        <v>0</v>
      </c>
      <c r="J23" s="353">
        <f t="shared" si="0"/>
        <v>0</v>
      </c>
    </row>
    <row r="24" spans="1:10" ht="20" hidden="1" x14ac:dyDescent="0.25">
      <c r="A24" s="281"/>
      <c r="B24" s="285" t="s">
        <v>596</v>
      </c>
      <c r="C24" s="272"/>
      <c r="D24" s="271" t="s">
        <v>456</v>
      </c>
      <c r="E24" s="271" t="s">
        <v>488</v>
      </c>
      <c r="F24" s="271" t="s">
        <v>598</v>
      </c>
      <c r="G24" s="271"/>
      <c r="H24" s="352"/>
      <c r="I24" s="851">
        <f t="shared" si="0"/>
        <v>0</v>
      </c>
      <c r="J24" s="353">
        <f t="shared" si="0"/>
        <v>0</v>
      </c>
    </row>
    <row r="25" spans="1:10" hidden="1" x14ac:dyDescent="0.25">
      <c r="A25" s="281"/>
      <c r="B25" s="285" t="s">
        <v>582</v>
      </c>
      <c r="C25" s="272"/>
      <c r="D25" s="271" t="s">
        <v>595</v>
      </c>
      <c r="E25" s="271" t="s">
        <v>594</v>
      </c>
      <c r="F25" s="271" t="s">
        <v>597</v>
      </c>
      <c r="G25" s="271"/>
      <c r="H25" s="352"/>
      <c r="I25" s="851">
        <f t="shared" si="0"/>
        <v>0</v>
      </c>
      <c r="J25" s="353">
        <f t="shared" si="0"/>
        <v>0</v>
      </c>
    </row>
    <row r="26" spans="1:10" ht="20" hidden="1" x14ac:dyDescent="0.25">
      <c r="A26" s="281"/>
      <c r="B26" s="285" t="s">
        <v>596</v>
      </c>
      <c r="C26" s="272"/>
      <c r="D26" s="271" t="s">
        <v>595</v>
      </c>
      <c r="E26" s="271" t="s">
        <v>594</v>
      </c>
      <c r="F26" s="271" t="s">
        <v>593</v>
      </c>
      <c r="G26" s="271"/>
      <c r="H26" s="352"/>
      <c r="I26" s="851">
        <f t="shared" si="0"/>
        <v>0</v>
      </c>
      <c r="J26" s="353">
        <f t="shared" si="0"/>
        <v>0</v>
      </c>
    </row>
    <row r="27" spans="1:10" hidden="1" x14ac:dyDescent="0.25">
      <c r="A27" s="281"/>
      <c r="B27" s="284" t="s">
        <v>571</v>
      </c>
      <c r="C27" s="283"/>
      <c r="D27" s="271" t="s">
        <v>456</v>
      </c>
      <c r="E27" s="271" t="s">
        <v>488</v>
      </c>
      <c r="F27" s="271" t="s">
        <v>593</v>
      </c>
      <c r="G27" s="271" t="s">
        <v>5</v>
      </c>
      <c r="H27" s="352"/>
      <c r="I27" s="851"/>
      <c r="J27" s="353"/>
    </row>
    <row r="28" spans="1:10" ht="21" x14ac:dyDescent="0.25">
      <c r="A28" s="281"/>
      <c r="B28" s="282" t="s">
        <v>600</v>
      </c>
      <c r="C28" s="283"/>
      <c r="D28" s="278" t="s">
        <v>456</v>
      </c>
      <c r="E28" s="278" t="s">
        <v>488</v>
      </c>
      <c r="F28" s="271"/>
      <c r="G28" s="271"/>
      <c r="H28" s="354">
        <f>H29</f>
        <v>1627.578</v>
      </c>
      <c r="I28" s="851"/>
      <c r="J28" s="353"/>
    </row>
    <row r="29" spans="1:10" ht="32.25" customHeight="1" x14ac:dyDescent="0.25">
      <c r="A29" s="281"/>
      <c r="B29" s="285" t="s">
        <v>866</v>
      </c>
      <c r="C29" s="283"/>
      <c r="D29" s="271" t="s">
        <v>456</v>
      </c>
      <c r="E29" s="271" t="s">
        <v>488</v>
      </c>
      <c r="F29" s="271" t="s">
        <v>157</v>
      </c>
      <c r="G29" s="271"/>
      <c r="H29" s="352">
        <f>H30</f>
        <v>1627.578</v>
      </c>
      <c r="I29" s="851"/>
      <c r="J29" s="353"/>
    </row>
    <row r="30" spans="1:10" ht="20" x14ac:dyDescent="0.25">
      <c r="A30" s="281"/>
      <c r="B30" s="285" t="s">
        <v>867</v>
      </c>
      <c r="C30" s="283"/>
      <c r="D30" s="271" t="s">
        <v>456</v>
      </c>
      <c r="E30" s="271" t="s">
        <v>488</v>
      </c>
      <c r="F30" s="271" t="s">
        <v>598</v>
      </c>
      <c r="G30" s="271"/>
      <c r="H30" s="352">
        <f>H31</f>
        <v>1627.578</v>
      </c>
      <c r="I30" s="851"/>
      <c r="J30" s="353"/>
    </row>
    <row r="31" spans="1:10" x14ac:dyDescent="0.25">
      <c r="A31" s="281"/>
      <c r="B31" s="285" t="s">
        <v>582</v>
      </c>
      <c r="C31" s="283"/>
      <c r="D31" s="271" t="s">
        <v>456</v>
      </c>
      <c r="E31" s="271" t="s">
        <v>488</v>
      </c>
      <c r="F31" s="271" t="s">
        <v>597</v>
      </c>
      <c r="G31" s="271"/>
      <c r="H31" s="352">
        <f>H32</f>
        <v>1627.578</v>
      </c>
      <c r="I31" s="851"/>
      <c r="J31" s="353"/>
    </row>
    <row r="32" spans="1:10" ht="20" x14ac:dyDescent="0.25">
      <c r="A32" s="281"/>
      <c r="B32" s="285" t="s">
        <v>867</v>
      </c>
      <c r="C32" s="283"/>
      <c r="D32" s="271" t="s">
        <v>456</v>
      </c>
      <c r="E32" s="271" t="s">
        <v>488</v>
      </c>
      <c r="F32" s="271" t="s">
        <v>593</v>
      </c>
      <c r="G32" s="271"/>
      <c r="H32" s="352">
        <f>H33</f>
        <v>1627.578</v>
      </c>
      <c r="I32" s="851"/>
      <c r="J32" s="353"/>
    </row>
    <row r="33" spans="1:11" x14ac:dyDescent="0.25">
      <c r="A33" s="281"/>
      <c r="B33" s="1033" t="s">
        <v>571</v>
      </c>
      <c r="C33" s="283"/>
      <c r="D33" s="271" t="s">
        <v>456</v>
      </c>
      <c r="E33" s="271" t="s">
        <v>488</v>
      </c>
      <c r="F33" s="271" t="s">
        <v>593</v>
      </c>
      <c r="G33" s="271" t="s">
        <v>5</v>
      </c>
      <c r="H33" s="352">
        <v>1627.578</v>
      </c>
      <c r="I33" s="851"/>
      <c r="J33" s="353"/>
    </row>
    <row r="34" spans="1:11" hidden="1" x14ac:dyDescent="0.25">
      <c r="A34" s="281"/>
      <c r="B34" s="284"/>
      <c r="C34" s="283"/>
      <c r="D34" s="271"/>
      <c r="E34" s="271"/>
      <c r="F34" s="271"/>
      <c r="G34" s="271"/>
      <c r="H34" s="352"/>
      <c r="I34" s="851"/>
      <c r="J34" s="353"/>
    </row>
    <row r="35" spans="1:11" hidden="1" x14ac:dyDescent="0.25">
      <c r="A35" s="281"/>
      <c r="B35" s="284"/>
      <c r="C35" s="283"/>
      <c r="D35" s="271"/>
      <c r="E35" s="271"/>
      <c r="F35" s="271"/>
      <c r="G35" s="271"/>
      <c r="H35" s="352"/>
      <c r="I35" s="851"/>
      <c r="J35" s="353"/>
    </row>
    <row r="36" spans="1:11" ht="31.5" x14ac:dyDescent="0.25">
      <c r="A36" s="281"/>
      <c r="B36" s="282" t="s">
        <v>592</v>
      </c>
      <c r="C36" s="279"/>
      <c r="D36" s="278" t="s">
        <v>456</v>
      </c>
      <c r="E36" s="278" t="s">
        <v>495</v>
      </c>
      <c r="F36" s="278"/>
      <c r="G36" s="278"/>
      <c r="H36" s="354">
        <f>H37</f>
        <v>2151.9859999999999</v>
      </c>
      <c r="I36" s="850">
        <f>I37</f>
        <v>2531.0699999999997</v>
      </c>
      <c r="J36" s="355">
        <f>J37</f>
        <v>2637.06</v>
      </c>
    </row>
    <row r="37" spans="1:11" ht="30" x14ac:dyDescent="0.25">
      <c r="A37" s="273"/>
      <c r="B37" s="285" t="s">
        <v>588</v>
      </c>
      <c r="C37" s="272"/>
      <c r="D37" s="271" t="s">
        <v>456</v>
      </c>
      <c r="E37" s="271" t="s">
        <v>495</v>
      </c>
      <c r="F37" s="271" t="s">
        <v>157</v>
      </c>
      <c r="G37" s="271"/>
      <c r="H37" s="352">
        <f>H38+H43</f>
        <v>2151.9859999999999</v>
      </c>
      <c r="I37" s="851">
        <f>I38+I43</f>
        <v>2531.0699999999997</v>
      </c>
      <c r="J37" s="353">
        <f>J38+J43</f>
        <v>2637.06</v>
      </c>
    </row>
    <row r="38" spans="1:11" ht="30" x14ac:dyDescent="0.25">
      <c r="A38" s="281"/>
      <c r="B38" s="285" t="s">
        <v>591</v>
      </c>
      <c r="C38" s="272"/>
      <c r="D38" s="271" t="s">
        <v>456</v>
      </c>
      <c r="E38" s="271" t="s">
        <v>495</v>
      </c>
      <c r="F38" s="271" t="s">
        <v>155</v>
      </c>
      <c r="G38" s="271"/>
      <c r="H38" s="352">
        <f t="shared" ref="H38:J39" si="1">H39</f>
        <v>2151.9859999999999</v>
      </c>
      <c r="I38" s="851">
        <f t="shared" si="1"/>
        <v>1871.5079999999998</v>
      </c>
      <c r="J38" s="353">
        <f t="shared" si="1"/>
        <v>1911.5409999999999</v>
      </c>
    </row>
    <row r="39" spans="1:11" x14ac:dyDescent="0.25">
      <c r="A39" s="281"/>
      <c r="B39" s="285" t="s">
        <v>582</v>
      </c>
      <c r="C39" s="272"/>
      <c r="D39" s="271" t="s">
        <v>456</v>
      </c>
      <c r="E39" s="271" t="s">
        <v>495</v>
      </c>
      <c r="F39" s="271" t="s">
        <v>154</v>
      </c>
      <c r="G39" s="271"/>
      <c r="H39" s="352">
        <f t="shared" si="1"/>
        <v>2151.9859999999999</v>
      </c>
      <c r="I39" s="851">
        <f t="shared" si="1"/>
        <v>1871.5079999999998</v>
      </c>
      <c r="J39" s="353">
        <f t="shared" si="1"/>
        <v>1911.5409999999999</v>
      </c>
    </row>
    <row r="40" spans="1:11" x14ac:dyDescent="0.25">
      <c r="A40" s="281"/>
      <c r="B40" s="285" t="s">
        <v>153</v>
      </c>
      <c r="C40" s="272"/>
      <c r="D40" s="271" t="s">
        <v>456</v>
      </c>
      <c r="E40" s="271" t="s">
        <v>495</v>
      </c>
      <c r="F40" s="271" t="s">
        <v>152</v>
      </c>
      <c r="G40" s="271"/>
      <c r="H40" s="352">
        <f>H41+H42</f>
        <v>2151.9859999999999</v>
      </c>
      <c r="I40" s="851">
        <f>I41+I42</f>
        <v>1871.5079999999998</v>
      </c>
      <c r="J40" s="353">
        <f>J41+J42</f>
        <v>1911.5409999999999</v>
      </c>
    </row>
    <row r="41" spans="1:11" x14ac:dyDescent="0.25">
      <c r="A41" s="281"/>
      <c r="B41" s="284" t="s">
        <v>571</v>
      </c>
      <c r="C41" s="283"/>
      <c r="D41" s="271" t="s">
        <v>456</v>
      </c>
      <c r="E41" s="271" t="s">
        <v>495</v>
      </c>
      <c r="F41" s="271" t="s">
        <v>152</v>
      </c>
      <c r="G41" s="271" t="s">
        <v>5</v>
      </c>
      <c r="H41" s="352">
        <v>786.16700000000003</v>
      </c>
      <c r="I41" s="851">
        <v>672.428</v>
      </c>
      <c r="J41" s="352">
        <v>739.67200000000003</v>
      </c>
    </row>
    <row r="42" spans="1:11" ht="20.5" thickBot="1" x14ac:dyDescent="0.3">
      <c r="A42" s="281"/>
      <c r="B42" s="284" t="s">
        <v>454</v>
      </c>
      <c r="C42" s="283"/>
      <c r="D42" s="271" t="s">
        <v>456</v>
      </c>
      <c r="E42" s="271" t="s">
        <v>495</v>
      </c>
      <c r="F42" s="271" t="s">
        <v>152</v>
      </c>
      <c r="G42" s="271" t="s">
        <v>1</v>
      </c>
      <c r="H42" s="819">
        <f>1729.395-330-33.576</f>
        <v>1365.819</v>
      </c>
      <c r="I42" s="851">
        <v>1199.08</v>
      </c>
      <c r="J42" s="352">
        <v>1171.8689999999999</v>
      </c>
      <c r="K42" s="1031"/>
    </row>
    <row r="43" spans="1:11" ht="30" hidden="1" x14ac:dyDescent="0.25">
      <c r="A43" s="273"/>
      <c r="B43" s="342" t="s">
        <v>590</v>
      </c>
      <c r="C43" s="340"/>
      <c r="D43" s="271" t="s">
        <v>456</v>
      </c>
      <c r="E43" s="271" t="s">
        <v>495</v>
      </c>
      <c r="F43" s="271" t="s">
        <v>117</v>
      </c>
      <c r="G43" s="271"/>
      <c r="H43" s="352">
        <f t="shared" ref="H43:J45" si="2">H44</f>
        <v>0</v>
      </c>
      <c r="I43" s="851">
        <f t="shared" si="2"/>
        <v>659.56200000000001</v>
      </c>
      <c r="J43" s="353">
        <f t="shared" si="2"/>
        <v>725.51900000000001</v>
      </c>
    </row>
    <row r="44" spans="1:11" hidden="1" x14ac:dyDescent="0.25">
      <c r="A44" s="273"/>
      <c r="B44" s="342" t="s">
        <v>582</v>
      </c>
      <c r="C44" s="340"/>
      <c r="D44" s="271" t="s">
        <v>456</v>
      </c>
      <c r="E44" s="271" t="s">
        <v>495</v>
      </c>
      <c r="F44" s="271" t="s">
        <v>116</v>
      </c>
      <c r="G44" s="271"/>
      <c r="H44" s="352">
        <f t="shared" si="2"/>
        <v>0</v>
      </c>
      <c r="I44" s="851">
        <f t="shared" si="2"/>
        <v>659.56200000000001</v>
      </c>
      <c r="J44" s="353">
        <f t="shared" si="2"/>
        <v>725.51900000000001</v>
      </c>
    </row>
    <row r="45" spans="1:11" ht="30" hidden="1" x14ac:dyDescent="0.25">
      <c r="A45" s="273"/>
      <c r="B45" s="342" t="s">
        <v>589</v>
      </c>
      <c r="C45" s="340"/>
      <c r="D45" s="271" t="s">
        <v>456</v>
      </c>
      <c r="E45" s="271" t="s">
        <v>495</v>
      </c>
      <c r="F45" s="271" t="s">
        <v>113</v>
      </c>
      <c r="G45" s="271"/>
      <c r="H45" s="352">
        <f t="shared" si="2"/>
        <v>0</v>
      </c>
      <c r="I45" s="851">
        <f t="shared" si="2"/>
        <v>659.56200000000001</v>
      </c>
      <c r="J45" s="353">
        <f t="shared" si="2"/>
        <v>725.51900000000001</v>
      </c>
    </row>
    <row r="46" spans="1:11" hidden="1" x14ac:dyDescent="0.25">
      <c r="A46" s="281"/>
      <c r="B46" s="284" t="s">
        <v>571</v>
      </c>
      <c r="C46" s="283"/>
      <c r="D46" s="271" t="s">
        <v>456</v>
      </c>
      <c r="E46" s="271" t="s">
        <v>495</v>
      </c>
      <c r="F46" s="271" t="s">
        <v>113</v>
      </c>
      <c r="G46" s="271" t="s">
        <v>5</v>
      </c>
      <c r="H46" s="352"/>
      <c r="I46" s="851">
        <v>659.56200000000001</v>
      </c>
      <c r="J46" s="352">
        <v>725.51900000000001</v>
      </c>
    </row>
    <row r="47" spans="1:11" ht="20" hidden="1" x14ac:dyDescent="0.25">
      <c r="A47" s="281"/>
      <c r="B47" s="342" t="s">
        <v>122</v>
      </c>
      <c r="C47" s="356"/>
      <c r="D47" s="278" t="s">
        <v>456</v>
      </c>
      <c r="E47" s="278" t="s">
        <v>585</v>
      </c>
      <c r="F47" s="278"/>
      <c r="G47" s="278"/>
      <c r="H47" s="354">
        <f t="shared" ref="H47:J51" si="3">H48</f>
        <v>0</v>
      </c>
      <c r="I47" s="850">
        <f t="shared" si="3"/>
        <v>0</v>
      </c>
      <c r="J47" s="354">
        <f t="shared" si="3"/>
        <v>0</v>
      </c>
    </row>
    <row r="48" spans="1:11" ht="30" hidden="1" x14ac:dyDescent="0.25">
      <c r="A48" s="273"/>
      <c r="B48" s="285" t="s">
        <v>588</v>
      </c>
      <c r="C48" s="272"/>
      <c r="D48" s="271" t="s">
        <v>456</v>
      </c>
      <c r="E48" s="271" t="s">
        <v>585</v>
      </c>
      <c r="F48" s="271" t="s">
        <v>157</v>
      </c>
      <c r="G48" s="271"/>
      <c r="H48" s="352">
        <f t="shared" si="3"/>
        <v>0</v>
      </c>
      <c r="I48" s="851">
        <f t="shared" si="3"/>
        <v>0</v>
      </c>
      <c r="J48" s="352">
        <f t="shared" si="3"/>
        <v>0</v>
      </c>
    </row>
    <row r="49" spans="1:11" ht="20" hidden="1" x14ac:dyDescent="0.25">
      <c r="A49" s="281"/>
      <c r="B49" s="285" t="s">
        <v>587</v>
      </c>
      <c r="C49" s="272"/>
      <c r="D49" s="271" t="s">
        <v>456</v>
      </c>
      <c r="E49" s="271" t="s">
        <v>585</v>
      </c>
      <c r="F49" s="271" t="s">
        <v>155</v>
      </c>
      <c r="G49" s="271"/>
      <c r="H49" s="352">
        <f t="shared" si="3"/>
        <v>0</v>
      </c>
      <c r="I49" s="851">
        <f t="shared" si="3"/>
        <v>0</v>
      </c>
      <c r="J49" s="352">
        <f t="shared" si="3"/>
        <v>0</v>
      </c>
    </row>
    <row r="50" spans="1:11" hidden="1" x14ac:dyDescent="0.25">
      <c r="A50" s="281"/>
      <c r="B50" s="285" t="s">
        <v>582</v>
      </c>
      <c r="C50" s="272"/>
      <c r="D50" s="271" t="s">
        <v>456</v>
      </c>
      <c r="E50" s="271" t="s">
        <v>585</v>
      </c>
      <c r="F50" s="271" t="s">
        <v>154</v>
      </c>
      <c r="G50" s="271"/>
      <c r="H50" s="352">
        <f t="shared" si="3"/>
        <v>0</v>
      </c>
      <c r="I50" s="851">
        <f t="shared" si="3"/>
        <v>0</v>
      </c>
      <c r="J50" s="352">
        <f t="shared" si="3"/>
        <v>0</v>
      </c>
    </row>
    <row r="51" spans="1:11" ht="20" hidden="1" x14ac:dyDescent="0.25">
      <c r="A51" s="281"/>
      <c r="B51" s="342" t="s">
        <v>586</v>
      </c>
      <c r="C51" s="340"/>
      <c r="D51" s="271" t="s">
        <v>456</v>
      </c>
      <c r="E51" s="271" t="s">
        <v>585</v>
      </c>
      <c r="F51" s="271" t="s">
        <v>129</v>
      </c>
      <c r="G51" s="271"/>
      <c r="H51" s="352">
        <f t="shared" si="3"/>
        <v>0</v>
      </c>
      <c r="I51" s="851">
        <f t="shared" si="3"/>
        <v>0</v>
      </c>
      <c r="J51" s="352">
        <f t="shared" si="3"/>
        <v>0</v>
      </c>
    </row>
    <row r="52" spans="1:11" ht="13" hidden="1" thickBot="1" x14ac:dyDescent="0.3">
      <c r="A52" s="360"/>
      <c r="B52" s="303" t="s">
        <v>575</v>
      </c>
      <c r="C52" s="302"/>
      <c r="D52" s="301" t="s">
        <v>456</v>
      </c>
      <c r="E52" s="301" t="s">
        <v>585</v>
      </c>
      <c r="F52" s="301" t="s">
        <v>129</v>
      </c>
      <c r="G52" s="301" t="s">
        <v>120</v>
      </c>
      <c r="H52" s="358"/>
      <c r="I52" s="852"/>
      <c r="J52" s="358"/>
    </row>
    <row r="53" spans="1:11" ht="21.5" thickBot="1" x14ac:dyDescent="0.3">
      <c r="A53" s="298">
        <v>2</v>
      </c>
      <c r="B53" s="357" t="s">
        <v>584</v>
      </c>
      <c r="C53" s="296" t="s">
        <v>430</v>
      </c>
      <c r="D53" s="296"/>
      <c r="E53" s="296"/>
      <c r="F53" s="296"/>
      <c r="G53" s="296"/>
      <c r="H53" s="292">
        <f>H54+H115+H141+H190+H246+H257+H277+H295+H107</f>
        <v>96688.037999999986</v>
      </c>
      <c r="I53" s="848">
        <f>I54+I115+I141+I190+I246+I257+I277+I295+I107</f>
        <v>68198.73</v>
      </c>
      <c r="J53" s="293">
        <f>J54+J115+J141+J190+J246+J257+J277+J295+J107</f>
        <v>68972.84</v>
      </c>
    </row>
    <row r="54" spans="1:11" x14ac:dyDescent="0.25">
      <c r="A54" s="291"/>
      <c r="B54" s="290" t="s">
        <v>431</v>
      </c>
      <c r="C54" s="289"/>
      <c r="D54" s="288" t="s">
        <v>456</v>
      </c>
      <c r="E54" s="288" t="s">
        <v>459</v>
      </c>
      <c r="F54" s="288"/>
      <c r="G54" s="288"/>
      <c r="H54" s="286">
        <f>H55+H84+H90+H78</f>
        <v>18655.638999999999</v>
      </c>
      <c r="I54" s="849">
        <f>I55+I84+I90</f>
        <v>18535.740000000002</v>
      </c>
      <c r="J54" s="287">
        <f>J55+J84+J90</f>
        <v>19711.260000000002</v>
      </c>
    </row>
    <row r="55" spans="1:11" ht="31.5" x14ac:dyDescent="0.25">
      <c r="A55" s="281"/>
      <c r="B55" s="756" t="s">
        <v>105</v>
      </c>
      <c r="C55" s="356"/>
      <c r="D55" s="278" t="s">
        <v>456</v>
      </c>
      <c r="E55" s="278" t="s">
        <v>452</v>
      </c>
      <c r="F55" s="278"/>
      <c r="G55" s="278"/>
      <c r="H55" s="354">
        <f>H56</f>
        <v>14798.391</v>
      </c>
      <c r="I55" s="850">
        <f>I56</f>
        <v>15223.140000000001</v>
      </c>
      <c r="J55" s="355">
        <f>J56</f>
        <v>16197.52</v>
      </c>
    </row>
    <row r="56" spans="1:11" ht="30" x14ac:dyDescent="0.25">
      <c r="A56" s="273"/>
      <c r="B56" s="285" t="s">
        <v>583</v>
      </c>
      <c r="C56" s="272"/>
      <c r="D56" s="271" t="s">
        <v>456</v>
      </c>
      <c r="E56" s="271" t="s">
        <v>452</v>
      </c>
      <c r="F56" s="271" t="s">
        <v>157</v>
      </c>
      <c r="G56" s="271"/>
      <c r="H56" s="352">
        <f>H57+H68</f>
        <v>14798.391</v>
      </c>
      <c r="I56" s="851">
        <f>I57+I68</f>
        <v>15223.140000000001</v>
      </c>
      <c r="J56" s="353">
        <f>J57+J68</f>
        <v>16197.52</v>
      </c>
    </row>
    <row r="57" spans="1:11" ht="30" x14ac:dyDescent="0.25">
      <c r="A57" s="281"/>
      <c r="B57" s="274" t="s">
        <v>156</v>
      </c>
      <c r="C57" s="272"/>
      <c r="D57" s="271" t="s">
        <v>456</v>
      </c>
      <c r="E57" s="271" t="s">
        <v>452</v>
      </c>
      <c r="F57" s="271" t="s">
        <v>155</v>
      </c>
      <c r="G57" s="271"/>
      <c r="H57" s="352">
        <f>H58</f>
        <v>13345.157999999999</v>
      </c>
      <c r="I57" s="851">
        <f>I58</f>
        <v>13595.477000000001</v>
      </c>
      <c r="J57" s="353">
        <f>J58</f>
        <v>14414.787</v>
      </c>
    </row>
    <row r="58" spans="1:11" x14ac:dyDescent="0.25">
      <c r="A58" s="281"/>
      <c r="B58" s="285" t="s">
        <v>582</v>
      </c>
      <c r="C58" s="272"/>
      <c r="D58" s="271" t="s">
        <v>456</v>
      </c>
      <c r="E58" s="271" t="s">
        <v>452</v>
      </c>
      <c r="F58" s="271" t="s">
        <v>154</v>
      </c>
      <c r="G58" s="271"/>
      <c r="H58" s="352">
        <f>H59+H62+H64+H66</f>
        <v>13345.157999999999</v>
      </c>
      <c r="I58" s="851">
        <f>I59+I62+I64+I66</f>
        <v>13595.477000000001</v>
      </c>
      <c r="J58" s="353">
        <f>J59+J62+J64+J66</f>
        <v>14414.787</v>
      </c>
    </row>
    <row r="59" spans="1:11" ht="13" x14ac:dyDescent="0.25">
      <c r="A59" s="281"/>
      <c r="B59" s="337" t="s">
        <v>153</v>
      </c>
      <c r="C59" s="340"/>
      <c r="D59" s="271" t="s">
        <v>456</v>
      </c>
      <c r="E59" s="271" t="s">
        <v>452</v>
      </c>
      <c r="F59" s="271" t="s">
        <v>152</v>
      </c>
      <c r="G59" s="271"/>
      <c r="H59" s="352">
        <f>H60+H61</f>
        <v>13009.147999999999</v>
      </c>
      <c r="I59" s="851">
        <f>I60+I61</f>
        <v>13595.477000000001</v>
      </c>
      <c r="J59" s="353">
        <f>J60+J61</f>
        <v>14414.787</v>
      </c>
    </row>
    <row r="60" spans="1:11" x14ac:dyDescent="0.25">
      <c r="A60" s="281"/>
      <c r="B60" s="284" t="s">
        <v>571</v>
      </c>
      <c r="C60" s="283"/>
      <c r="D60" s="271" t="s">
        <v>456</v>
      </c>
      <c r="E60" s="271" t="s">
        <v>452</v>
      </c>
      <c r="F60" s="271" t="s">
        <v>152</v>
      </c>
      <c r="G60" s="271" t="s">
        <v>5</v>
      </c>
      <c r="H60" s="352">
        <v>9646.7189999999991</v>
      </c>
      <c r="I60" s="851">
        <v>8998.8070000000007</v>
      </c>
      <c r="J60" s="352">
        <v>9997.6880000000001</v>
      </c>
    </row>
    <row r="61" spans="1:11" ht="20" x14ac:dyDescent="0.25">
      <c r="A61" s="281"/>
      <c r="B61" s="284" t="s">
        <v>454</v>
      </c>
      <c r="C61" s="283"/>
      <c r="D61" s="271" t="s">
        <v>456</v>
      </c>
      <c r="E61" s="271" t="s">
        <v>452</v>
      </c>
      <c r="F61" s="271" t="s">
        <v>152</v>
      </c>
      <c r="G61" s="271" t="s">
        <v>1</v>
      </c>
      <c r="H61" s="352">
        <f>3400.429-38</f>
        <v>3362.4290000000001</v>
      </c>
      <c r="I61" s="851">
        <v>4596.67</v>
      </c>
      <c r="J61" s="352">
        <v>4417.0990000000002</v>
      </c>
      <c r="K61" s="1031"/>
    </row>
    <row r="62" spans="1:11" ht="20.5" x14ac:dyDescent="0.25">
      <c r="A62" s="281"/>
      <c r="B62" s="346" t="s">
        <v>151</v>
      </c>
      <c r="C62" s="340"/>
      <c r="D62" s="271" t="s">
        <v>456</v>
      </c>
      <c r="E62" s="271" t="s">
        <v>452</v>
      </c>
      <c r="F62" s="271" t="s">
        <v>623</v>
      </c>
      <c r="G62" s="271"/>
      <c r="H62" s="269">
        <f>H63</f>
        <v>47.31</v>
      </c>
      <c r="I62" s="529">
        <f>I63</f>
        <v>0</v>
      </c>
      <c r="J62" s="269">
        <f>J63</f>
        <v>0</v>
      </c>
    </row>
    <row r="63" spans="1:11" x14ac:dyDescent="0.25">
      <c r="A63" s="281"/>
      <c r="B63" s="284" t="s">
        <v>575</v>
      </c>
      <c r="C63" s="283"/>
      <c r="D63" s="271" t="s">
        <v>456</v>
      </c>
      <c r="E63" s="271" t="s">
        <v>452</v>
      </c>
      <c r="F63" s="271" t="s">
        <v>623</v>
      </c>
      <c r="G63" s="271" t="s">
        <v>120</v>
      </c>
      <c r="H63" s="269">
        <v>47.31</v>
      </c>
      <c r="I63" s="529"/>
      <c r="J63" s="269"/>
    </row>
    <row r="64" spans="1:11" ht="20" x14ac:dyDescent="0.25">
      <c r="A64" s="281"/>
      <c r="B64" s="351" t="s">
        <v>149</v>
      </c>
      <c r="C64" s="340"/>
      <c r="D64" s="271" t="s">
        <v>456</v>
      </c>
      <c r="E64" s="271" t="s">
        <v>452</v>
      </c>
      <c r="F64" s="271" t="s">
        <v>148</v>
      </c>
      <c r="G64" s="271"/>
      <c r="H64" s="269">
        <f>H65</f>
        <v>288.7</v>
      </c>
      <c r="I64" s="529">
        <f>I65</f>
        <v>0</v>
      </c>
      <c r="J64" s="269">
        <f>J65</f>
        <v>0</v>
      </c>
    </row>
    <row r="65" spans="1:14" x14ac:dyDescent="0.25">
      <c r="A65" s="281"/>
      <c r="B65" s="284" t="s">
        <v>575</v>
      </c>
      <c r="C65" s="283"/>
      <c r="D65" s="271" t="s">
        <v>456</v>
      </c>
      <c r="E65" s="271" t="s">
        <v>452</v>
      </c>
      <c r="F65" s="271" t="s">
        <v>148</v>
      </c>
      <c r="G65" s="271" t="s">
        <v>120</v>
      </c>
      <c r="H65" s="269">
        <v>288.7</v>
      </c>
      <c r="I65" s="529"/>
      <c r="J65" s="269"/>
    </row>
    <row r="66" spans="1:14" ht="40" hidden="1" x14ac:dyDescent="0.25">
      <c r="A66" s="281"/>
      <c r="B66" s="350" t="s">
        <v>145</v>
      </c>
      <c r="C66" s="283"/>
      <c r="D66" s="271" t="s">
        <v>456</v>
      </c>
      <c r="E66" s="271" t="s">
        <v>452</v>
      </c>
      <c r="F66" s="271" t="s">
        <v>144</v>
      </c>
      <c r="G66" s="271"/>
      <c r="H66" s="269">
        <f>H67</f>
        <v>0</v>
      </c>
      <c r="I66" s="529">
        <f>I67</f>
        <v>0</v>
      </c>
      <c r="J66" s="269">
        <f>J67</f>
        <v>0</v>
      </c>
    </row>
    <row r="67" spans="1:14" hidden="1" x14ac:dyDescent="0.25">
      <c r="A67" s="281"/>
      <c r="B67" s="284" t="s">
        <v>575</v>
      </c>
      <c r="C67" s="283"/>
      <c r="D67" s="271" t="s">
        <v>456</v>
      </c>
      <c r="E67" s="271" t="s">
        <v>452</v>
      </c>
      <c r="F67" s="271" t="s">
        <v>144</v>
      </c>
      <c r="G67" s="271" t="s">
        <v>120</v>
      </c>
      <c r="H67" s="269">
        <v>0</v>
      </c>
      <c r="I67" s="529"/>
      <c r="J67" s="269"/>
    </row>
    <row r="68" spans="1:14" ht="30" x14ac:dyDescent="0.25">
      <c r="A68" s="281"/>
      <c r="B68" s="306" t="s">
        <v>111</v>
      </c>
      <c r="C68" s="283"/>
      <c r="D68" s="271" t="s">
        <v>456</v>
      </c>
      <c r="E68" s="271" t="s">
        <v>452</v>
      </c>
      <c r="F68" s="397" t="s">
        <v>110</v>
      </c>
      <c r="G68" s="271"/>
      <c r="H68" s="269">
        <f>H69</f>
        <v>1453.2329999999999</v>
      </c>
      <c r="I68" s="529">
        <f t="shared" ref="I68:J70" si="4">I69</f>
        <v>1627.663</v>
      </c>
      <c r="J68" s="269">
        <f t="shared" si="4"/>
        <v>1782.7329999999999</v>
      </c>
    </row>
    <row r="69" spans="1:14" x14ac:dyDescent="0.25">
      <c r="A69" s="281"/>
      <c r="B69" s="274" t="s">
        <v>109</v>
      </c>
      <c r="C69" s="283"/>
      <c r="D69" s="271" t="s">
        <v>456</v>
      </c>
      <c r="E69" s="271" t="s">
        <v>452</v>
      </c>
      <c r="F69" s="397" t="s">
        <v>108</v>
      </c>
      <c r="G69" s="271"/>
      <c r="H69" s="269">
        <f>H70</f>
        <v>1453.2329999999999</v>
      </c>
      <c r="I69" s="529">
        <f t="shared" si="4"/>
        <v>1627.663</v>
      </c>
      <c r="J69" s="269">
        <f t="shared" si="4"/>
        <v>1782.7329999999999</v>
      </c>
    </row>
    <row r="70" spans="1:14" ht="20" x14ac:dyDescent="0.25">
      <c r="A70" s="281"/>
      <c r="B70" s="310" t="s">
        <v>107</v>
      </c>
      <c r="C70" s="283"/>
      <c r="D70" s="271" t="s">
        <v>456</v>
      </c>
      <c r="E70" s="271" t="s">
        <v>452</v>
      </c>
      <c r="F70" s="397" t="s">
        <v>104</v>
      </c>
      <c r="G70" s="271"/>
      <c r="H70" s="269">
        <f>H71</f>
        <v>1453.2329999999999</v>
      </c>
      <c r="I70" s="529">
        <f t="shared" si="4"/>
        <v>1627.663</v>
      </c>
      <c r="J70" s="269">
        <f t="shared" si="4"/>
        <v>1782.7329999999999</v>
      </c>
    </row>
    <row r="71" spans="1:14" x14ac:dyDescent="0.25">
      <c r="A71" s="281"/>
      <c r="B71" s="284" t="s">
        <v>571</v>
      </c>
      <c r="C71" s="283"/>
      <c r="D71" s="271" t="s">
        <v>456</v>
      </c>
      <c r="E71" s="271" t="s">
        <v>452</v>
      </c>
      <c r="F71" s="397" t="s">
        <v>104</v>
      </c>
      <c r="G71" s="271" t="s">
        <v>5</v>
      </c>
      <c r="H71" s="269">
        <v>1453.2329999999999</v>
      </c>
      <c r="I71" s="529">
        <v>1627.663</v>
      </c>
      <c r="J71" s="269">
        <v>1782.7329999999999</v>
      </c>
    </row>
    <row r="72" spans="1:14" s="760" customFormat="1" ht="21" x14ac:dyDescent="0.3">
      <c r="A72" s="281"/>
      <c r="B72" s="757" t="s">
        <v>122</v>
      </c>
      <c r="C72" s="758"/>
      <c r="D72" s="278" t="s">
        <v>456</v>
      </c>
      <c r="E72" s="278" t="s">
        <v>585</v>
      </c>
      <c r="F72" s="759"/>
      <c r="G72" s="278"/>
      <c r="H72" s="276">
        <f>H73</f>
        <v>219.47200000000001</v>
      </c>
      <c r="I72" s="841"/>
      <c r="J72" s="276"/>
      <c r="N72" s="761"/>
    </row>
    <row r="73" spans="1:14" ht="30" x14ac:dyDescent="0.25">
      <c r="A73" s="281"/>
      <c r="B73" s="710" t="s">
        <v>588</v>
      </c>
      <c r="C73" s="283"/>
      <c r="D73" s="271" t="s">
        <v>456</v>
      </c>
      <c r="E73" s="271" t="s">
        <v>585</v>
      </c>
      <c r="F73" s="397" t="s">
        <v>157</v>
      </c>
      <c r="G73" s="271"/>
      <c r="H73" s="269">
        <f>H74</f>
        <v>219.47200000000001</v>
      </c>
      <c r="I73" s="529"/>
      <c r="J73" s="269"/>
    </row>
    <row r="74" spans="1:14" ht="20" x14ac:dyDescent="0.25">
      <c r="A74" s="281"/>
      <c r="B74" s="710" t="s">
        <v>587</v>
      </c>
      <c r="C74" s="283"/>
      <c r="D74" s="271" t="s">
        <v>456</v>
      </c>
      <c r="E74" s="271" t="s">
        <v>585</v>
      </c>
      <c r="F74" s="397" t="s">
        <v>155</v>
      </c>
      <c r="G74" s="271"/>
      <c r="H74" s="269">
        <f>H75</f>
        <v>219.47200000000001</v>
      </c>
      <c r="I74" s="529"/>
      <c r="J74" s="269"/>
    </row>
    <row r="75" spans="1:14" x14ac:dyDescent="0.25">
      <c r="A75" s="281"/>
      <c r="B75" s="710" t="s">
        <v>582</v>
      </c>
      <c r="C75" s="283"/>
      <c r="D75" s="271" t="s">
        <v>456</v>
      </c>
      <c r="E75" s="271" t="s">
        <v>585</v>
      </c>
      <c r="F75" s="397" t="s">
        <v>154</v>
      </c>
      <c r="G75" s="271"/>
      <c r="H75" s="269">
        <f>H76</f>
        <v>219.47200000000001</v>
      </c>
      <c r="I75" s="529"/>
      <c r="J75" s="269"/>
    </row>
    <row r="76" spans="1:14" ht="20" x14ac:dyDescent="0.25">
      <c r="A76" s="281"/>
      <c r="B76" s="710" t="s">
        <v>586</v>
      </c>
      <c r="C76" s="283"/>
      <c r="D76" s="271" t="s">
        <v>456</v>
      </c>
      <c r="E76" s="271" t="s">
        <v>585</v>
      </c>
      <c r="F76" s="397" t="s">
        <v>129</v>
      </c>
      <c r="G76" s="271"/>
      <c r="H76" s="269">
        <f>H77</f>
        <v>219.47200000000001</v>
      </c>
      <c r="I76" s="529"/>
      <c r="J76" s="269"/>
    </row>
    <row r="77" spans="1:14" x14ac:dyDescent="0.25">
      <c r="A77" s="281"/>
      <c r="B77" s="755" t="s">
        <v>575</v>
      </c>
      <c r="C77" s="283"/>
      <c r="D77" s="271" t="s">
        <v>456</v>
      </c>
      <c r="E77" s="271" t="s">
        <v>585</v>
      </c>
      <c r="F77" s="397" t="s">
        <v>129</v>
      </c>
      <c r="G77" s="271" t="s">
        <v>120</v>
      </c>
      <c r="H77" s="269">
        <v>219.47200000000001</v>
      </c>
      <c r="I77" s="529"/>
      <c r="J77" s="269"/>
    </row>
    <row r="78" spans="1:14" s="760" customFormat="1" ht="13" hidden="1" x14ac:dyDescent="0.3">
      <c r="A78" s="281"/>
      <c r="B78" s="757" t="s">
        <v>419</v>
      </c>
      <c r="C78" s="408"/>
      <c r="D78" s="408" t="s">
        <v>456</v>
      </c>
      <c r="E78" s="408" t="s">
        <v>506</v>
      </c>
      <c r="F78" s="763"/>
      <c r="G78" s="408"/>
      <c r="H78" s="276">
        <f>H79</f>
        <v>0</v>
      </c>
      <c r="I78" s="841"/>
      <c r="J78" s="276"/>
      <c r="N78" s="761"/>
    </row>
    <row r="79" spans="1:14" ht="21" hidden="1" x14ac:dyDescent="0.25">
      <c r="A79" s="273"/>
      <c r="B79" s="762" t="s">
        <v>499</v>
      </c>
      <c r="C79" s="409"/>
      <c r="D79" s="409" t="s">
        <v>456</v>
      </c>
      <c r="E79" s="409" t="s">
        <v>506</v>
      </c>
      <c r="F79" s="409" t="s">
        <v>89</v>
      </c>
      <c r="G79" s="409"/>
      <c r="H79" s="269">
        <f>H80</f>
        <v>0</v>
      </c>
      <c r="I79" s="529"/>
      <c r="J79" s="269"/>
    </row>
    <row r="80" spans="1:14" hidden="1" x14ac:dyDescent="0.25">
      <c r="A80" s="281"/>
      <c r="B80" s="709" t="s">
        <v>109</v>
      </c>
      <c r="C80" s="409"/>
      <c r="D80" s="409" t="s">
        <v>456</v>
      </c>
      <c r="E80" s="409" t="s">
        <v>506</v>
      </c>
      <c r="F80" s="409" t="s">
        <v>581</v>
      </c>
      <c r="G80" s="409"/>
      <c r="H80" s="269">
        <f>H81</f>
        <v>0</v>
      </c>
      <c r="I80" s="529"/>
      <c r="J80" s="269"/>
    </row>
    <row r="81" spans="1:10" hidden="1" x14ac:dyDescent="0.25">
      <c r="A81" s="281"/>
      <c r="B81" s="709" t="s">
        <v>109</v>
      </c>
      <c r="C81" s="409"/>
      <c r="D81" s="409" t="s">
        <v>456</v>
      </c>
      <c r="E81" s="409" t="s">
        <v>506</v>
      </c>
      <c r="F81" s="409" t="s">
        <v>82</v>
      </c>
      <c r="G81" s="409"/>
      <c r="H81" s="269">
        <f>H82</f>
        <v>0</v>
      </c>
      <c r="I81" s="529"/>
      <c r="J81" s="269"/>
    </row>
    <row r="82" spans="1:10" ht="20" hidden="1" x14ac:dyDescent="0.25">
      <c r="A82" s="281"/>
      <c r="B82" s="710" t="s">
        <v>788</v>
      </c>
      <c r="C82" s="409"/>
      <c r="D82" s="409" t="s">
        <v>456</v>
      </c>
      <c r="E82" s="409" t="s">
        <v>506</v>
      </c>
      <c r="F82" s="409" t="s">
        <v>789</v>
      </c>
      <c r="G82" s="409"/>
      <c r="H82" s="269">
        <f>H83</f>
        <v>0</v>
      </c>
      <c r="I82" s="529"/>
      <c r="J82" s="269"/>
    </row>
    <row r="83" spans="1:10" ht="20" hidden="1" x14ac:dyDescent="0.25">
      <c r="A83" s="281"/>
      <c r="B83" s="284" t="s">
        <v>454</v>
      </c>
      <c r="C83" s="409"/>
      <c r="D83" s="409" t="s">
        <v>456</v>
      </c>
      <c r="E83" s="409" t="s">
        <v>506</v>
      </c>
      <c r="F83" s="409" t="s">
        <v>789</v>
      </c>
      <c r="G83" s="409" t="s">
        <v>1</v>
      </c>
      <c r="H83" s="269">
        <v>0</v>
      </c>
      <c r="I83" s="529"/>
      <c r="J83" s="269"/>
    </row>
    <row r="84" spans="1:10" x14ac:dyDescent="0.25">
      <c r="A84" s="281"/>
      <c r="B84" s="282" t="s">
        <v>68</v>
      </c>
      <c r="C84" s="279"/>
      <c r="D84" s="278" t="s">
        <v>456</v>
      </c>
      <c r="E84" s="278" t="s">
        <v>464</v>
      </c>
      <c r="F84" s="278"/>
      <c r="G84" s="278"/>
      <c r="H84" s="276">
        <f t="shared" ref="H84:J88" si="5">H85</f>
        <v>3078</v>
      </c>
      <c r="I84" s="841">
        <f t="shared" si="5"/>
        <v>2500.6</v>
      </c>
      <c r="J84" s="276">
        <f t="shared" si="5"/>
        <v>2701.74</v>
      </c>
    </row>
    <row r="85" spans="1:10" ht="20" x14ac:dyDescent="0.25">
      <c r="A85" s="273"/>
      <c r="B85" s="285" t="s">
        <v>499</v>
      </c>
      <c r="C85" s="272"/>
      <c r="D85" s="271" t="s">
        <v>456</v>
      </c>
      <c r="E85" s="271" t="s">
        <v>464</v>
      </c>
      <c r="F85" s="271" t="s">
        <v>89</v>
      </c>
      <c r="G85" s="271"/>
      <c r="H85" s="269">
        <f t="shared" si="5"/>
        <v>3078</v>
      </c>
      <c r="I85" s="529">
        <f t="shared" si="5"/>
        <v>2500.6</v>
      </c>
      <c r="J85" s="269">
        <f t="shared" si="5"/>
        <v>2701.74</v>
      </c>
    </row>
    <row r="86" spans="1:10" x14ac:dyDescent="0.25">
      <c r="A86" s="281"/>
      <c r="B86" s="272" t="s">
        <v>109</v>
      </c>
      <c r="C86" s="272"/>
      <c r="D86" s="271" t="s">
        <v>456</v>
      </c>
      <c r="E86" s="271" t="s">
        <v>464</v>
      </c>
      <c r="F86" s="271" t="s">
        <v>581</v>
      </c>
      <c r="G86" s="271"/>
      <c r="H86" s="269">
        <f t="shared" si="5"/>
        <v>3078</v>
      </c>
      <c r="I86" s="529">
        <f t="shared" si="5"/>
        <v>2500.6</v>
      </c>
      <c r="J86" s="269">
        <f t="shared" si="5"/>
        <v>2701.74</v>
      </c>
    </row>
    <row r="87" spans="1:10" x14ac:dyDescent="0.25">
      <c r="A87" s="281"/>
      <c r="B87" s="272" t="s">
        <v>109</v>
      </c>
      <c r="C87" s="272"/>
      <c r="D87" s="271" t="s">
        <v>456</v>
      </c>
      <c r="E87" s="271" t="s">
        <v>464</v>
      </c>
      <c r="F87" s="271" t="s">
        <v>82</v>
      </c>
      <c r="G87" s="271"/>
      <c r="H87" s="269">
        <f t="shared" si="5"/>
        <v>3078</v>
      </c>
      <c r="I87" s="529">
        <f t="shared" si="5"/>
        <v>2500.6</v>
      </c>
      <c r="J87" s="269">
        <f t="shared" si="5"/>
        <v>2701.74</v>
      </c>
    </row>
    <row r="88" spans="1:10" ht="20" x14ac:dyDescent="0.25">
      <c r="A88" s="281"/>
      <c r="B88" s="272" t="s">
        <v>72</v>
      </c>
      <c r="C88" s="272"/>
      <c r="D88" s="271" t="s">
        <v>456</v>
      </c>
      <c r="E88" s="271" t="s">
        <v>464</v>
      </c>
      <c r="F88" s="271" t="s">
        <v>67</v>
      </c>
      <c r="G88" s="271"/>
      <c r="H88" s="269">
        <f t="shared" si="5"/>
        <v>3078</v>
      </c>
      <c r="I88" s="529">
        <f t="shared" si="5"/>
        <v>2500.6</v>
      </c>
      <c r="J88" s="269">
        <f t="shared" si="5"/>
        <v>2701.74</v>
      </c>
    </row>
    <row r="89" spans="1:10" x14ac:dyDescent="0.25">
      <c r="A89" s="281"/>
      <c r="B89" s="284" t="s">
        <v>580</v>
      </c>
      <c r="C89" s="283"/>
      <c r="D89" s="271" t="s">
        <v>456</v>
      </c>
      <c r="E89" s="271" t="s">
        <v>464</v>
      </c>
      <c r="F89" s="271" t="s">
        <v>67</v>
      </c>
      <c r="G89" s="271" t="s">
        <v>579</v>
      </c>
      <c r="H89" s="269">
        <v>3078</v>
      </c>
      <c r="I89" s="529">
        <v>2500.6</v>
      </c>
      <c r="J89" s="269">
        <v>2701.74</v>
      </c>
    </row>
    <row r="90" spans="1:10" x14ac:dyDescent="0.25">
      <c r="A90" s="281"/>
      <c r="B90" s="282" t="s">
        <v>93</v>
      </c>
      <c r="C90" s="279"/>
      <c r="D90" s="278" t="s">
        <v>456</v>
      </c>
      <c r="E90" s="278" t="s">
        <v>573</v>
      </c>
      <c r="F90" s="278"/>
      <c r="G90" s="278"/>
      <c r="H90" s="276">
        <f>H91+H97</f>
        <v>779.24799999999993</v>
      </c>
      <c r="I90" s="841">
        <f>I91+I97</f>
        <v>812</v>
      </c>
      <c r="J90" s="276">
        <f>J91+J97</f>
        <v>812</v>
      </c>
    </row>
    <row r="91" spans="1:10" x14ac:dyDescent="0.25">
      <c r="A91" s="273"/>
      <c r="B91" s="285" t="s">
        <v>102</v>
      </c>
      <c r="C91" s="272"/>
      <c r="D91" s="271" t="s">
        <v>456</v>
      </c>
      <c r="E91" s="271" t="s">
        <v>573</v>
      </c>
      <c r="F91" s="271" t="s">
        <v>101</v>
      </c>
      <c r="G91" s="271"/>
      <c r="H91" s="269">
        <f t="shared" ref="H91:J93" si="6">H92</f>
        <v>779.24799999999993</v>
      </c>
      <c r="I91" s="529">
        <f t="shared" si="6"/>
        <v>213.5</v>
      </c>
      <c r="J91" s="269">
        <f t="shared" si="6"/>
        <v>213.5</v>
      </c>
    </row>
    <row r="92" spans="1:10" x14ac:dyDescent="0.25">
      <c r="A92" s="273"/>
      <c r="B92" s="285" t="s">
        <v>109</v>
      </c>
      <c r="C92" s="272"/>
      <c r="D92" s="271" t="s">
        <v>456</v>
      </c>
      <c r="E92" s="271" t="s">
        <v>573</v>
      </c>
      <c r="F92" s="271" t="s">
        <v>100</v>
      </c>
      <c r="G92" s="271"/>
      <c r="H92" s="269">
        <f t="shared" si="6"/>
        <v>779.24799999999993</v>
      </c>
      <c r="I92" s="529">
        <f t="shared" si="6"/>
        <v>213.5</v>
      </c>
      <c r="J92" s="269">
        <f t="shared" si="6"/>
        <v>213.5</v>
      </c>
    </row>
    <row r="93" spans="1:10" x14ac:dyDescent="0.25">
      <c r="A93" s="273"/>
      <c r="B93" s="285" t="s">
        <v>109</v>
      </c>
      <c r="C93" s="272"/>
      <c r="D93" s="271" t="s">
        <v>456</v>
      </c>
      <c r="E93" s="271" t="s">
        <v>573</v>
      </c>
      <c r="F93" s="271" t="s">
        <v>99</v>
      </c>
      <c r="G93" s="271"/>
      <c r="H93" s="269">
        <f t="shared" si="6"/>
        <v>779.24799999999993</v>
      </c>
      <c r="I93" s="529">
        <f t="shared" si="6"/>
        <v>213.5</v>
      </c>
      <c r="J93" s="269">
        <f t="shared" si="6"/>
        <v>213.5</v>
      </c>
    </row>
    <row r="94" spans="1:10" x14ac:dyDescent="0.25">
      <c r="A94" s="273"/>
      <c r="B94" s="285" t="s">
        <v>577</v>
      </c>
      <c r="C94" s="272"/>
      <c r="D94" s="271" t="s">
        <v>456</v>
      </c>
      <c r="E94" s="271" t="s">
        <v>573</v>
      </c>
      <c r="F94" s="271" t="s">
        <v>92</v>
      </c>
      <c r="G94" s="271"/>
      <c r="H94" s="269">
        <f>H95+H96</f>
        <v>779.24799999999993</v>
      </c>
      <c r="I94" s="529">
        <f>I95+I96</f>
        <v>213.5</v>
      </c>
      <c r="J94" s="269">
        <f>J95+J96</f>
        <v>213.5</v>
      </c>
    </row>
    <row r="95" spans="1:10" ht="20" x14ac:dyDescent="0.25">
      <c r="A95" s="281"/>
      <c r="B95" s="284" t="s">
        <v>454</v>
      </c>
      <c r="C95" s="283"/>
      <c r="D95" s="271" t="s">
        <v>456</v>
      </c>
      <c r="E95" s="271" t="s">
        <v>573</v>
      </c>
      <c r="F95" s="271" t="s">
        <v>92</v>
      </c>
      <c r="G95" s="271" t="s">
        <v>1</v>
      </c>
      <c r="H95" s="269">
        <f>679.334-0.086</f>
        <v>679.24799999999993</v>
      </c>
      <c r="I95" s="529">
        <v>178.5</v>
      </c>
      <c r="J95" s="269">
        <v>178.5</v>
      </c>
    </row>
    <row r="96" spans="1:10" x14ac:dyDescent="0.25">
      <c r="A96" s="281"/>
      <c r="B96" s="284" t="s">
        <v>457</v>
      </c>
      <c r="C96" s="283"/>
      <c r="D96" s="271" t="s">
        <v>456</v>
      </c>
      <c r="E96" s="271" t="s">
        <v>573</v>
      </c>
      <c r="F96" s="271" t="s">
        <v>92</v>
      </c>
      <c r="G96" s="271" t="s">
        <v>91</v>
      </c>
      <c r="H96" s="269">
        <v>100</v>
      </c>
      <c r="I96" s="529">
        <v>35</v>
      </c>
      <c r="J96" s="269">
        <v>35</v>
      </c>
    </row>
    <row r="97" spans="1:10" ht="30" hidden="1" x14ac:dyDescent="0.25">
      <c r="A97" s="332"/>
      <c r="B97" s="285" t="s">
        <v>583</v>
      </c>
      <c r="C97" s="279"/>
      <c r="D97" s="278" t="s">
        <v>456</v>
      </c>
      <c r="E97" s="278" t="s">
        <v>573</v>
      </c>
      <c r="F97" s="278" t="s">
        <v>157</v>
      </c>
      <c r="G97" s="278"/>
      <c r="H97" s="276">
        <f t="shared" ref="H97:J98" si="7">H98</f>
        <v>0</v>
      </c>
      <c r="I97" s="841">
        <f t="shared" si="7"/>
        <v>598.5</v>
      </c>
      <c r="J97" s="276">
        <f t="shared" si="7"/>
        <v>598.5</v>
      </c>
    </row>
    <row r="98" spans="1:10" ht="30" hidden="1" x14ac:dyDescent="0.25">
      <c r="A98" s="273"/>
      <c r="B98" s="274" t="s">
        <v>156</v>
      </c>
      <c r="C98" s="272"/>
      <c r="D98" s="271" t="s">
        <v>456</v>
      </c>
      <c r="E98" s="271" t="s">
        <v>573</v>
      </c>
      <c r="F98" s="271" t="s">
        <v>155</v>
      </c>
      <c r="G98" s="271"/>
      <c r="H98" s="269">
        <f t="shared" si="7"/>
        <v>0</v>
      </c>
      <c r="I98" s="529">
        <f t="shared" si="7"/>
        <v>598.5</v>
      </c>
      <c r="J98" s="269">
        <f t="shared" si="7"/>
        <v>598.5</v>
      </c>
    </row>
    <row r="99" spans="1:10" hidden="1" x14ac:dyDescent="0.25">
      <c r="A99" s="273"/>
      <c r="B99" s="285" t="s">
        <v>109</v>
      </c>
      <c r="C99" s="272"/>
      <c r="D99" s="271" t="s">
        <v>456</v>
      </c>
      <c r="E99" s="271" t="s">
        <v>573</v>
      </c>
      <c r="F99" s="271" t="s">
        <v>154</v>
      </c>
      <c r="G99" s="271"/>
      <c r="H99" s="269">
        <f>H104</f>
        <v>0</v>
      </c>
      <c r="I99" s="529">
        <f>I104</f>
        <v>598.5</v>
      </c>
      <c r="J99" s="269">
        <f>J104</f>
        <v>598.5</v>
      </c>
    </row>
    <row r="100" spans="1:10" hidden="1" x14ac:dyDescent="0.25">
      <c r="A100" s="273"/>
      <c r="B100" s="285" t="s">
        <v>577</v>
      </c>
      <c r="C100" s="272"/>
      <c r="D100" s="271" t="s">
        <v>456</v>
      </c>
      <c r="E100" s="271" t="s">
        <v>573</v>
      </c>
      <c r="F100" s="271" t="s">
        <v>576</v>
      </c>
      <c r="G100" s="271"/>
      <c r="H100" s="269">
        <f>H101</f>
        <v>0</v>
      </c>
      <c r="I100" s="529">
        <f>I101</f>
        <v>0</v>
      </c>
      <c r="J100" s="269">
        <f>J101</f>
        <v>0</v>
      </c>
    </row>
    <row r="101" spans="1:10" ht="20" hidden="1" x14ac:dyDescent="0.25">
      <c r="A101" s="281"/>
      <c r="B101" s="284" t="s">
        <v>454</v>
      </c>
      <c r="C101" s="283"/>
      <c r="D101" s="271" t="s">
        <v>456</v>
      </c>
      <c r="E101" s="271" t="s">
        <v>573</v>
      </c>
      <c r="F101" s="271" t="s">
        <v>576</v>
      </c>
      <c r="G101" s="271" t="s">
        <v>1</v>
      </c>
      <c r="H101" s="269"/>
      <c r="I101" s="529"/>
      <c r="J101" s="269"/>
    </row>
    <row r="102" spans="1:10" ht="20.5" hidden="1" x14ac:dyDescent="0.25">
      <c r="A102" s="281"/>
      <c r="B102" s="346" t="s">
        <v>151</v>
      </c>
      <c r="C102" s="340"/>
      <c r="D102" s="271" t="s">
        <v>456</v>
      </c>
      <c r="E102" s="271" t="s">
        <v>452</v>
      </c>
      <c r="F102" s="271" t="s">
        <v>150</v>
      </c>
      <c r="G102" s="271"/>
      <c r="H102" s="269">
        <f>H103</f>
        <v>0</v>
      </c>
      <c r="I102" s="529">
        <f>I103</f>
        <v>0</v>
      </c>
      <c r="J102" s="269">
        <f>J103</f>
        <v>0</v>
      </c>
    </row>
    <row r="103" spans="1:10" hidden="1" x14ac:dyDescent="0.25">
      <c r="A103" s="281"/>
      <c r="B103" s="284" t="s">
        <v>575</v>
      </c>
      <c r="C103" s="283"/>
      <c r="D103" s="271" t="s">
        <v>456</v>
      </c>
      <c r="E103" s="271" t="s">
        <v>452</v>
      </c>
      <c r="F103" s="271" t="s">
        <v>150</v>
      </c>
      <c r="G103" s="271" t="s">
        <v>120</v>
      </c>
      <c r="H103" s="269"/>
      <c r="I103" s="529"/>
      <c r="J103" s="269"/>
    </row>
    <row r="104" spans="1:10" ht="52" hidden="1" x14ac:dyDescent="0.25">
      <c r="A104" s="281"/>
      <c r="B104" s="398" t="s">
        <v>574</v>
      </c>
      <c r="C104" s="340"/>
      <c r="D104" s="271" t="s">
        <v>456</v>
      </c>
      <c r="E104" s="271" t="s">
        <v>573</v>
      </c>
      <c r="F104" s="271" t="s">
        <v>127</v>
      </c>
      <c r="G104" s="271"/>
      <c r="H104" s="269">
        <f>H105+H106</f>
        <v>0</v>
      </c>
      <c r="I104" s="529">
        <f>I105+I106</f>
        <v>598.5</v>
      </c>
      <c r="J104" s="269">
        <f>J105+J106</f>
        <v>598.5</v>
      </c>
    </row>
    <row r="105" spans="1:10" hidden="1" x14ac:dyDescent="0.25">
      <c r="A105" s="281"/>
      <c r="B105" s="284" t="s">
        <v>571</v>
      </c>
      <c r="C105" s="283"/>
      <c r="D105" s="271" t="s">
        <v>456</v>
      </c>
      <c r="E105" s="271" t="s">
        <v>573</v>
      </c>
      <c r="F105" s="271" t="s">
        <v>127</v>
      </c>
      <c r="G105" s="271" t="s">
        <v>5</v>
      </c>
      <c r="H105" s="269"/>
      <c r="I105" s="529">
        <v>561.29999999999995</v>
      </c>
      <c r="J105" s="269">
        <v>561.29999999999995</v>
      </c>
    </row>
    <row r="106" spans="1:10" ht="20" hidden="1" x14ac:dyDescent="0.25">
      <c r="A106" s="281"/>
      <c r="B106" s="284" t="s">
        <v>454</v>
      </c>
      <c r="C106" s="283"/>
      <c r="D106" s="271" t="s">
        <v>456</v>
      </c>
      <c r="E106" s="271" t="s">
        <v>573</v>
      </c>
      <c r="F106" s="271" t="s">
        <v>127</v>
      </c>
      <c r="G106" s="271" t="s">
        <v>1</v>
      </c>
      <c r="H106" s="269"/>
      <c r="I106" s="529">
        <v>37.200000000000003</v>
      </c>
      <c r="J106" s="269">
        <v>37.200000000000003</v>
      </c>
    </row>
    <row r="107" spans="1:10" x14ac:dyDescent="0.25">
      <c r="A107" s="281"/>
      <c r="B107" s="307" t="s">
        <v>412</v>
      </c>
      <c r="C107" s="283"/>
      <c r="D107" s="278" t="s">
        <v>488</v>
      </c>
      <c r="E107" s="278" t="s">
        <v>459</v>
      </c>
      <c r="F107" s="271"/>
      <c r="G107" s="271"/>
      <c r="H107" s="276">
        <f>H108</f>
        <v>662.9</v>
      </c>
      <c r="I107" s="841">
        <f t="shared" ref="I107:J111" si="8">I108</f>
        <v>0</v>
      </c>
      <c r="J107" s="276">
        <f t="shared" si="8"/>
        <v>0</v>
      </c>
    </row>
    <row r="108" spans="1:10" x14ac:dyDescent="0.25">
      <c r="A108" s="281"/>
      <c r="B108" s="307" t="s">
        <v>6</v>
      </c>
      <c r="C108" s="283"/>
      <c r="D108" s="278" t="s">
        <v>488</v>
      </c>
      <c r="E108" s="278" t="s">
        <v>495</v>
      </c>
      <c r="F108" s="271"/>
      <c r="G108" s="271"/>
      <c r="H108" s="276">
        <f>H109</f>
        <v>662.9</v>
      </c>
      <c r="I108" s="841">
        <f t="shared" si="8"/>
        <v>0</v>
      </c>
      <c r="J108" s="276">
        <f t="shared" si="8"/>
        <v>0</v>
      </c>
    </row>
    <row r="109" spans="1:10" ht="21" x14ac:dyDescent="0.25">
      <c r="A109" s="281"/>
      <c r="B109" s="282" t="s">
        <v>572</v>
      </c>
      <c r="C109" s="283"/>
      <c r="D109" s="278" t="s">
        <v>488</v>
      </c>
      <c r="E109" s="278" t="s">
        <v>495</v>
      </c>
      <c r="F109" s="278" t="s">
        <v>89</v>
      </c>
      <c r="G109" s="271"/>
      <c r="H109" s="276">
        <f>H110</f>
        <v>662.9</v>
      </c>
      <c r="I109" s="841">
        <f t="shared" si="8"/>
        <v>0</v>
      </c>
      <c r="J109" s="276">
        <f t="shared" si="8"/>
        <v>0</v>
      </c>
    </row>
    <row r="110" spans="1:10" x14ac:dyDescent="0.25">
      <c r="A110" s="281"/>
      <c r="B110" s="285" t="s">
        <v>109</v>
      </c>
      <c r="C110" s="283"/>
      <c r="D110" s="271" t="s">
        <v>488</v>
      </c>
      <c r="E110" s="271" t="s">
        <v>495</v>
      </c>
      <c r="F110" s="271" t="s">
        <v>84</v>
      </c>
      <c r="G110" s="271"/>
      <c r="H110" s="269">
        <f>H111</f>
        <v>662.9</v>
      </c>
      <c r="I110" s="529">
        <f t="shared" si="8"/>
        <v>0</v>
      </c>
      <c r="J110" s="269">
        <f t="shared" si="8"/>
        <v>0</v>
      </c>
    </row>
    <row r="111" spans="1:10" x14ac:dyDescent="0.25">
      <c r="A111" s="281"/>
      <c r="B111" s="285" t="s">
        <v>109</v>
      </c>
      <c r="C111" s="283"/>
      <c r="D111" s="271" t="s">
        <v>488</v>
      </c>
      <c r="E111" s="271" t="s">
        <v>495</v>
      </c>
      <c r="F111" s="271" t="s">
        <v>82</v>
      </c>
      <c r="G111" s="271"/>
      <c r="H111" s="269">
        <f>H112</f>
        <v>662.9</v>
      </c>
      <c r="I111" s="529">
        <f t="shared" si="8"/>
        <v>0</v>
      </c>
      <c r="J111" s="269">
        <f t="shared" si="8"/>
        <v>0</v>
      </c>
    </row>
    <row r="112" spans="1:10" ht="20" x14ac:dyDescent="0.25">
      <c r="A112" s="281"/>
      <c r="B112" s="345" t="s">
        <v>8</v>
      </c>
      <c r="C112" s="283"/>
      <c r="D112" s="271" t="s">
        <v>488</v>
      </c>
      <c r="E112" s="271" t="s">
        <v>495</v>
      </c>
      <c r="F112" s="271" t="s">
        <v>2</v>
      </c>
      <c r="G112" s="271"/>
      <c r="H112" s="269">
        <f>H113+H114</f>
        <v>662.9</v>
      </c>
      <c r="I112" s="529">
        <f>I113+I114</f>
        <v>0</v>
      </c>
      <c r="J112" s="269">
        <f>J113+J114</f>
        <v>0</v>
      </c>
    </row>
    <row r="113" spans="1:10" x14ac:dyDescent="0.25">
      <c r="A113" s="281"/>
      <c r="B113" s="284" t="s">
        <v>571</v>
      </c>
      <c r="C113" s="283"/>
      <c r="D113" s="271" t="s">
        <v>488</v>
      </c>
      <c r="E113" s="271" t="s">
        <v>495</v>
      </c>
      <c r="F113" s="271" t="s">
        <v>2</v>
      </c>
      <c r="G113" s="271" t="s">
        <v>5</v>
      </c>
      <c r="H113" s="269">
        <f>490.323+148.077</f>
        <v>638.4</v>
      </c>
      <c r="I113" s="529"/>
      <c r="J113" s="269"/>
    </row>
    <row r="114" spans="1:10" ht="20" x14ac:dyDescent="0.25">
      <c r="A114" s="281"/>
      <c r="B114" s="284" t="s">
        <v>454</v>
      </c>
      <c r="C114" s="283"/>
      <c r="D114" s="271" t="s">
        <v>488</v>
      </c>
      <c r="E114" s="271" t="s">
        <v>495</v>
      </c>
      <c r="F114" s="271" t="s">
        <v>2</v>
      </c>
      <c r="G114" s="271" t="s">
        <v>1</v>
      </c>
      <c r="H114" s="269">
        <v>24.5</v>
      </c>
      <c r="I114" s="529"/>
      <c r="J114" s="269"/>
    </row>
    <row r="115" spans="1:10" x14ac:dyDescent="0.25">
      <c r="A115" s="273"/>
      <c r="B115" s="344" t="s">
        <v>407</v>
      </c>
      <c r="C115" s="279"/>
      <c r="D115" s="278" t="s">
        <v>495</v>
      </c>
      <c r="E115" s="278" t="s">
        <v>459</v>
      </c>
      <c r="F115" s="278"/>
      <c r="G115" s="278"/>
      <c r="H115" s="276">
        <f>H116</f>
        <v>1308.1860000000001</v>
      </c>
      <c r="I115" s="841">
        <f>I116</f>
        <v>1202</v>
      </c>
      <c r="J115" s="276">
        <f>J116</f>
        <v>676</v>
      </c>
    </row>
    <row r="116" spans="1:10" ht="21" x14ac:dyDescent="0.25">
      <c r="A116" s="281"/>
      <c r="B116" s="282" t="s">
        <v>570</v>
      </c>
      <c r="C116" s="279"/>
      <c r="D116" s="278" t="s">
        <v>495</v>
      </c>
      <c r="E116" s="278" t="s">
        <v>539</v>
      </c>
      <c r="F116" s="278"/>
      <c r="G116" s="278"/>
      <c r="H116" s="276">
        <f>H117+H137</f>
        <v>1308.1860000000001</v>
      </c>
      <c r="I116" s="841">
        <f>I117+I137</f>
        <v>1202</v>
      </c>
      <c r="J116" s="276">
        <f>J117+J137</f>
        <v>676</v>
      </c>
    </row>
    <row r="117" spans="1:10" ht="20" x14ac:dyDescent="0.25">
      <c r="A117" s="273"/>
      <c r="B117" s="310" t="s">
        <v>241</v>
      </c>
      <c r="C117" s="341"/>
      <c r="D117" s="271" t="s">
        <v>495</v>
      </c>
      <c r="E117" s="271" t="s">
        <v>539</v>
      </c>
      <c r="F117" s="271" t="s">
        <v>240</v>
      </c>
      <c r="G117" s="271"/>
      <c r="H117" s="269">
        <f>H121+H128+H133</f>
        <v>676</v>
      </c>
      <c r="I117" s="529">
        <f>I118+I130</f>
        <v>1202</v>
      </c>
      <c r="J117" s="269">
        <f>J118+J130</f>
        <v>676</v>
      </c>
    </row>
    <row r="118" spans="1:10" ht="40" x14ac:dyDescent="0.25">
      <c r="A118" s="273"/>
      <c r="B118" s="399" t="s">
        <v>239</v>
      </c>
      <c r="C118" s="341"/>
      <c r="D118" s="311" t="s">
        <v>495</v>
      </c>
      <c r="E118" s="311" t="s">
        <v>539</v>
      </c>
      <c r="F118" s="311" t="s">
        <v>238</v>
      </c>
      <c r="G118" s="311"/>
      <c r="H118" s="269">
        <f>H119+H126</f>
        <v>363.32</v>
      </c>
      <c r="I118" s="529">
        <f>I119+I126</f>
        <v>506</v>
      </c>
      <c r="J118" s="269">
        <f>J119+J126</f>
        <v>646</v>
      </c>
    </row>
    <row r="119" spans="1:10" ht="20" x14ac:dyDescent="0.25">
      <c r="A119" s="273"/>
      <c r="B119" s="274" t="s">
        <v>236</v>
      </c>
      <c r="C119" s="341"/>
      <c r="D119" s="311" t="s">
        <v>495</v>
      </c>
      <c r="E119" s="311" t="s">
        <v>539</v>
      </c>
      <c r="F119" s="311" t="s">
        <v>235</v>
      </c>
      <c r="G119" s="311"/>
      <c r="H119" s="269">
        <f>H120+H122+H124</f>
        <v>93.32</v>
      </c>
      <c r="I119" s="529">
        <f>I120+I122+I124</f>
        <v>320</v>
      </c>
      <c r="J119" s="269">
        <f>J120+J122+J124</f>
        <v>340</v>
      </c>
    </row>
    <row r="120" spans="1:10" ht="20" x14ac:dyDescent="0.25">
      <c r="A120" s="273"/>
      <c r="B120" s="329" t="s">
        <v>237</v>
      </c>
      <c r="C120" s="341"/>
      <c r="D120" s="311" t="s">
        <v>495</v>
      </c>
      <c r="E120" s="311" t="s">
        <v>539</v>
      </c>
      <c r="F120" s="311" t="s">
        <v>233</v>
      </c>
      <c r="G120" s="311"/>
      <c r="H120" s="269">
        <f>H121</f>
        <v>93.32</v>
      </c>
      <c r="I120" s="529">
        <f>I121</f>
        <v>320</v>
      </c>
      <c r="J120" s="269">
        <f>J121</f>
        <v>340</v>
      </c>
    </row>
    <row r="121" spans="1:10" ht="20" x14ac:dyDescent="0.25">
      <c r="A121" s="273"/>
      <c r="B121" s="284" t="s">
        <v>454</v>
      </c>
      <c r="C121" s="283"/>
      <c r="D121" s="311" t="s">
        <v>495</v>
      </c>
      <c r="E121" s="311" t="s">
        <v>539</v>
      </c>
      <c r="F121" s="311" t="s">
        <v>233</v>
      </c>
      <c r="G121" s="271" t="s">
        <v>1</v>
      </c>
      <c r="H121" s="269">
        <v>93.32</v>
      </c>
      <c r="I121" s="529">
        <v>320</v>
      </c>
      <c r="J121" s="269">
        <v>340</v>
      </c>
    </row>
    <row r="122" spans="1:10" hidden="1" x14ac:dyDescent="0.25">
      <c r="A122" s="273"/>
      <c r="B122" s="319" t="s">
        <v>568</v>
      </c>
      <c r="C122" s="341"/>
      <c r="D122" s="311" t="s">
        <v>495</v>
      </c>
      <c r="E122" s="311" t="s">
        <v>539</v>
      </c>
      <c r="F122" s="311" t="s">
        <v>567</v>
      </c>
      <c r="G122" s="311"/>
      <c r="H122" s="269">
        <f>H123</f>
        <v>0</v>
      </c>
      <c r="I122" s="529">
        <f>I123</f>
        <v>0</v>
      </c>
      <c r="J122" s="269">
        <f>J123</f>
        <v>0</v>
      </c>
    </row>
    <row r="123" spans="1:10" ht="20" hidden="1" x14ac:dyDescent="0.25">
      <c r="A123" s="273"/>
      <c r="B123" s="284" t="s">
        <v>454</v>
      </c>
      <c r="C123" s="283"/>
      <c r="D123" s="311" t="s">
        <v>495</v>
      </c>
      <c r="E123" s="311" t="s">
        <v>539</v>
      </c>
      <c r="F123" s="311" t="s">
        <v>567</v>
      </c>
      <c r="G123" s="271" t="s">
        <v>1</v>
      </c>
      <c r="H123" s="269"/>
      <c r="I123" s="529"/>
      <c r="J123" s="269"/>
    </row>
    <row r="124" spans="1:10" hidden="1" x14ac:dyDescent="0.25">
      <c r="A124" s="273"/>
      <c r="B124" s="319" t="s">
        <v>566</v>
      </c>
      <c r="C124" s="341"/>
      <c r="D124" s="311" t="s">
        <v>495</v>
      </c>
      <c r="E124" s="311" t="s">
        <v>539</v>
      </c>
      <c r="F124" s="311" t="s">
        <v>565</v>
      </c>
      <c r="G124" s="311"/>
      <c r="H124" s="269">
        <f>H125</f>
        <v>0</v>
      </c>
      <c r="I124" s="529">
        <f>I125</f>
        <v>0</v>
      </c>
      <c r="J124" s="269">
        <f>J125</f>
        <v>0</v>
      </c>
    </row>
    <row r="125" spans="1:10" ht="20" hidden="1" x14ac:dyDescent="0.25">
      <c r="A125" s="273"/>
      <c r="B125" s="284" t="s">
        <v>454</v>
      </c>
      <c r="C125" s="283"/>
      <c r="D125" s="311" t="s">
        <v>495</v>
      </c>
      <c r="E125" s="311" t="s">
        <v>539</v>
      </c>
      <c r="F125" s="311" t="s">
        <v>565</v>
      </c>
      <c r="G125" s="271" t="s">
        <v>1</v>
      </c>
      <c r="H125" s="269"/>
      <c r="I125" s="529"/>
      <c r="J125" s="269"/>
    </row>
    <row r="126" spans="1:10" x14ac:dyDescent="0.25">
      <c r="A126" s="273"/>
      <c r="B126" s="319" t="s">
        <v>564</v>
      </c>
      <c r="C126" s="341"/>
      <c r="D126" s="311" t="s">
        <v>495</v>
      </c>
      <c r="E126" s="311" t="s">
        <v>539</v>
      </c>
      <c r="F126" s="311" t="s">
        <v>231</v>
      </c>
      <c r="G126" s="311"/>
      <c r="H126" s="269">
        <f>H127</f>
        <v>270</v>
      </c>
      <c r="I126" s="529">
        <f>I127</f>
        <v>186</v>
      </c>
      <c r="J126" s="269">
        <f>J127</f>
        <v>306</v>
      </c>
    </row>
    <row r="127" spans="1:10" x14ac:dyDescent="0.25">
      <c r="A127" s="273"/>
      <c r="B127" s="342" t="s">
        <v>563</v>
      </c>
      <c r="C127" s="340"/>
      <c r="D127" s="271" t="s">
        <v>495</v>
      </c>
      <c r="E127" s="271" t="s">
        <v>539</v>
      </c>
      <c r="F127" s="311" t="s">
        <v>229</v>
      </c>
      <c r="G127" s="311"/>
      <c r="H127" s="269">
        <f>H128+H129</f>
        <v>270</v>
      </c>
      <c r="I127" s="529">
        <f>I128+I129</f>
        <v>186</v>
      </c>
      <c r="J127" s="269">
        <f>J128+J129</f>
        <v>306</v>
      </c>
    </row>
    <row r="128" spans="1:10" ht="20" x14ac:dyDescent="0.25">
      <c r="A128" s="273"/>
      <c r="B128" s="284" t="s">
        <v>454</v>
      </c>
      <c r="C128" s="283"/>
      <c r="D128" s="271" t="s">
        <v>495</v>
      </c>
      <c r="E128" s="271" t="s">
        <v>539</v>
      </c>
      <c r="F128" s="311" t="s">
        <v>229</v>
      </c>
      <c r="G128" s="311">
        <v>240</v>
      </c>
      <c r="H128" s="269">
        <v>270</v>
      </c>
      <c r="I128" s="529">
        <v>186</v>
      </c>
      <c r="J128" s="269">
        <v>306</v>
      </c>
    </row>
    <row r="129" spans="1:10" ht="20" hidden="1" x14ac:dyDescent="0.25">
      <c r="A129" s="273"/>
      <c r="B129" s="283" t="s">
        <v>562</v>
      </c>
      <c r="C129" s="283"/>
      <c r="D129" s="271" t="s">
        <v>495</v>
      </c>
      <c r="E129" s="271" t="s">
        <v>539</v>
      </c>
      <c r="F129" s="311" t="s">
        <v>229</v>
      </c>
      <c r="G129" s="311" t="s">
        <v>561</v>
      </c>
      <c r="H129" s="269"/>
      <c r="I129" s="529"/>
      <c r="J129" s="269"/>
    </row>
    <row r="130" spans="1:10" x14ac:dyDescent="0.25">
      <c r="A130" s="273"/>
      <c r="B130" s="319" t="s">
        <v>560</v>
      </c>
      <c r="C130" s="341"/>
      <c r="D130" s="311" t="s">
        <v>495</v>
      </c>
      <c r="E130" s="311" t="s">
        <v>539</v>
      </c>
      <c r="F130" s="311" t="s">
        <v>227</v>
      </c>
      <c r="G130" s="311"/>
      <c r="H130" s="269">
        <f>H131</f>
        <v>944.86599999999999</v>
      </c>
      <c r="I130" s="529">
        <f>I131</f>
        <v>696</v>
      </c>
      <c r="J130" s="269">
        <f>J131</f>
        <v>30</v>
      </c>
    </row>
    <row r="131" spans="1:10" ht="20" x14ac:dyDescent="0.25">
      <c r="A131" s="273"/>
      <c r="B131" s="319" t="s">
        <v>559</v>
      </c>
      <c r="C131" s="341"/>
      <c r="D131" s="311" t="s">
        <v>495</v>
      </c>
      <c r="E131" s="311" t="s">
        <v>539</v>
      </c>
      <c r="F131" s="311" t="s">
        <v>225</v>
      </c>
      <c r="G131" s="311"/>
      <c r="H131" s="269">
        <f>H132+H134</f>
        <v>944.86599999999999</v>
      </c>
      <c r="I131" s="529">
        <f>I132+I134</f>
        <v>696</v>
      </c>
      <c r="J131" s="269">
        <f>J132+J134</f>
        <v>30</v>
      </c>
    </row>
    <row r="132" spans="1:10" ht="13" x14ac:dyDescent="0.25">
      <c r="A132" s="273"/>
      <c r="B132" s="337" t="s">
        <v>224</v>
      </c>
      <c r="C132" s="340"/>
      <c r="D132" s="311" t="s">
        <v>495</v>
      </c>
      <c r="E132" s="311" t="s">
        <v>539</v>
      </c>
      <c r="F132" s="311" t="s">
        <v>220</v>
      </c>
      <c r="G132" s="311"/>
      <c r="H132" s="269">
        <f>H133</f>
        <v>312.68</v>
      </c>
      <c r="I132" s="529">
        <f>I133</f>
        <v>696</v>
      </c>
      <c r="J132" s="269">
        <f>J133</f>
        <v>30</v>
      </c>
    </row>
    <row r="133" spans="1:10" ht="20" x14ac:dyDescent="0.25">
      <c r="A133" s="273"/>
      <c r="B133" s="284" t="s">
        <v>454</v>
      </c>
      <c r="C133" s="283"/>
      <c r="D133" s="311" t="s">
        <v>495</v>
      </c>
      <c r="E133" s="311" t="s">
        <v>539</v>
      </c>
      <c r="F133" s="311" t="s">
        <v>220</v>
      </c>
      <c r="G133" s="271" t="s">
        <v>1</v>
      </c>
      <c r="H133" s="269">
        <v>312.68</v>
      </c>
      <c r="I133" s="529">
        <v>696</v>
      </c>
      <c r="J133" s="269">
        <v>30</v>
      </c>
    </row>
    <row r="134" spans="1:10" ht="29.5" customHeight="1" x14ac:dyDescent="0.25">
      <c r="A134" s="273"/>
      <c r="B134" s="282" t="s">
        <v>833</v>
      </c>
      <c r="C134" s="340"/>
      <c r="D134" s="330" t="s">
        <v>495</v>
      </c>
      <c r="E134" s="330" t="s">
        <v>832</v>
      </c>
      <c r="F134" s="278"/>
      <c r="G134" s="330"/>
      <c r="H134" s="276">
        <f>H136</f>
        <v>632.18600000000004</v>
      </c>
      <c r="I134" s="529">
        <f>I136</f>
        <v>0</v>
      </c>
      <c r="J134" s="269">
        <f>J136</f>
        <v>0</v>
      </c>
    </row>
    <row r="135" spans="1:10" ht="30" x14ac:dyDescent="0.25">
      <c r="A135" s="273"/>
      <c r="B135" s="285" t="s">
        <v>583</v>
      </c>
      <c r="C135" s="340"/>
      <c r="D135" s="311" t="s">
        <v>495</v>
      </c>
      <c r="E135" s="311" t="s">
        <v>832</v>
      </c>
      <c r="F135" s="271" t="s">
        <v>157</v>
      </c>
      <c r="G135" s="311"/>
      <c r="H135" s="269">
        <f>H136</f>
        <v>632.18600000000004</v>
      </c>
      <c r="I135" s="529"/>
      <c r="J135" s="269"/>
    </row>
    <row r="136" spans="1:10" ht="30" x14ac:dyDescent="0.25">
      <c r="A136" s="273"/>
      <c r="B136" s="274" t="s">
        <v>156</v>
      </c>
      <c r="C136" s="283"/>
      <c r="D136" s="311" t="s">
        <v>495</v>
      </c>
      <c r="E136" s="311" t="s">
        <v>832</v>
      </c>
      <c r="F136" s="271" t="s">
        <v>155</v>
      </c>
      <c r="G136" s="271"/>
      <c r="H136" s="269">
        <f t="shared" ref="H136" si="9">H137</f>
        <v>632.18600000000004</v>
      </c>
      <c r="I136" s="529"/>
      <c r="J136" s="269"/>
    </row>
    <row r="137" spans="1:10" x14ac:dyDescent="0.25">
      <c r="A137" s="281"/>
      <c r="B137" s="319" t="s">
        <v>109</v>
      </c>
      <c r="C137" s="339"/>
      <c r="D137" s="271" t="s">
        <v>495</v>
      </c>
      <c r="E137" s="271" t="s">
        <v>832</v>
      </c>
      <c r="F137" s="271" t="s">
        <v>154</v>
      </c>
      <c r="G137" s="271"/>
      <c r="H137" s="269">
        <f>H138</f>
        <v>632.18600000000004</v>
      </c>
      <c r="I137" s="841">
        <f t="shared" ref="I137:J139" si="10">I138</f>
        <v>0</v>
      </c>
      <c r="J137" s="276">
        <f t="shared" si="10"/>
        <v>0</v>
      </c>
    </row>
    <row r="138" spans="1:10" ht="30" x14ac:dyDescent="0.25">
      <c r="A138" s="273"/>
      <c r="B138" s="319" t="s">
        <v>834</v>
      </c>
      <c r="C138" s="338"/>
      <c r="D138" s="271" t="s">
        <v>495</v>
      </c>
      <c r="E138" s="271" t="s">
        <v>832</v>
      </c>
      <c r="F138" s="271" t="s">
        <v>127</v>
      </c>
      <c r="G138" s="271"/>
      <c r="H138" s="269">
        <f>H139+H140</f>
        <v>632.18600000000004</v>
      </c>
      <c r="I138" s="529">
        <f t="shared" si="10"/>
        <v>0</v>
      </c>
      <c r="J138" s="269">
        <f t="shared" si="10"/>
        <v>0</v>
      </c>
    </row>
    <row r="139" spans="1:10" x14ac:dyDescent="0.25">
      <c r="A139" s="281"/>
      <c r="B139" s="285" t="s">
        <v>571</v>
      </c>
      <c r="C139" s="312"/>
      <c r="D139" s="311" t="s">
        <v>495</v>
      </c>
      <c r="E139" s="311" t="s">
        <v>832</v>
      </c>
      <c r="F139" s="271" t="s">
        <v>127</v>
      </c>
      <c r="G139" s="271" t="s">
        <v>5</v>
      </c>
      <c r="H139" s="269">
        <f>594.9+0.086</f>
        <v>594.98599999999999</v>
      </c>
      <c r="I139" s="529">
        <f t="shared" si="10"/>
        <v>0</v>
      </c>
      <c r="J139" s="269">
        <f t="shared" si="10"/>
        <v>0</v>
      </c>
    </row>
    <row r="140" spans="1:10" ht="20" x14ac:dyDescent="0.25">
      <c r="A140" s="273"/>
      <c r="B140" s="284" t="s">
        <v>454</v>
      </c>
      <c r="C140" s="283"/>
      <c r="D140" s="311" t="s">
        <v>495</v>
      </c>
      <c r="E140" s="311" t="s">
        <v>832</v>
      </c>
      <c r="F140" s="271" t="s">
        <v>127</v>
      </c>
      <c r="G140" s="271" t="s">
        <v>1</v>
      </c>
      <c r="H140" s="269">
        <v>37.200000000000003</v>
      </c>
      <c r="I140" s="529"/>
      <c r="J140" s="269"/>
    </row>
    <row r="141" spans="1:10" x14ac:dyDescent="0.25">
      <c r="A141" s="273"/>
      <c r="B141" s="326" t="s">
        <v>396</v>
      </c>
      <c r="C141" s="333"/>
      <c r="D141" s="316" t="s">
        <v>452</v>
      </c>
      <c r="E141" s="316" t="s">
        <v>459</v>
      </c>
      <c r="F141" s="316"/>
      <c r="G141" s="316"/>
      <c r="H141" s="855">
        <f>H142+H175</f>
        <v>15931.355</v>
      </c>
      <c r="I141" s="853">
        <f>I142+I175</f>
        <v>6055</v>
      </c>
      <c r="J141" s="400">
        <f>J142+J175</f>
        <v>6300</v>
      </c>
    </row>
    <row r="142" spans="1:10" x14ac:dyDescent="0.25">
      <c r="A142" s="401"/>
      <c r="B142" s="326" t="s">
        <v>60</v>
      </c>
      <c r="C142" s="316"/>
      <c r="D142" s="316" t="s">
        <v>452</v>
      </c>
      <c r="E142" s="316" t="s">
        <v>539</v>
      </c>
      <c r="F142" s="316"/>
      <c r="G142" s="316"/>
      <c r="H142" s="855">
        <f>H143+H170</f>
        <v>12536.554999999998</v>
      </c>
      <c r="I142" s="853">
        <f>I143</f>
        <v>5740</v>
      </c>
      <c r="J142" s="400">
        <f>J143</f>
        <v>5980</v>
      </c>
    </row>
    <row r="143" spans="1:10" ht="30" x14ac:dyDescent="0.25">
      <c r="A143" s="273"/>
      <c r="B143" s="310" t="s">
        <v>219</v>
      </c>
      <c r="C143" s="271"/>
      <c r="D143" s="271" t="s">
        <v>452</v>
      </c>
      <c r="E143" s="271" t="s">
        <v>539</v>
      </c>
      <c r="F143" s="271" t="s">
        <v>218</v>
      </c>
      <c r="G143" s="271"/>
      <c r="H143" s="269">
        <f>H144+H152</f>
        <v>12144.454999999998</v>
      </c>
      <c r="I143" s="529">
        <f>I144+I152</f>
        <v>5740</v>
      </c>
      <c r="J143" s="270">
        <f>J144+J152</f>
        <v>5980</v>
      </c>
    </row>
    <row r="144" spans="1:10" ht="20" x14ac:dyDescent="0.25">
      <c r="A144" s="273"/>
      <c r="B144" s="310" t="s">
        <v>217</v>
      </c>
      <c r="C144" s="311"/>
      <c r="D144" s="311" t="s">
        <v>452</v>
      </c>
      <c r="E144" s="311" t="s">
        <v>539</v>
      </c>
      <c r="F144" s="271" t="s">
        <v>216</v>
      </c>
      <c r="G144" s="311"/>
      <c r="H144" s="269">
        <f>H145</f>
        <v>3109.7290000000003</v>
      </c>
      <c r="I144" s="529">
        <f>I145</f>
        <v>0</v>
      </c>
      <c r="J144" s="270">
        <f>J145</f>
        <v>0</v>
      </c>
    </row>
    <row r="145" spans="1:10" ht="40" x14ac:dyDescent="0.25">
      <c r="A145" s="273"/>
      <c r="B145" s="274" t="s">
        <v>215</v>
      </c>
      <c r="C145" s="311"/>
      <c r="D145" s="311" t="s">
        <v>452</v>
      </c>
      <c r="E145" s="311" t="s">
        <v>539</v>
      </c>
      <c r="F145" s="311" t="s">
        <v>214</v>
      </c>
      <c r="G145" s="311"/>
      <c r="H145" s="269">
        <f>H146+H148+H151</f>
        <v>3109.7290000000003</v>
      </c>
      <c r="I145" s="529">
        <f>I146+I148+I151</f>
        <v>0</v>
      </c>
      <c r="J145" s="270">
        <f>J146+J148+J151</f>
        <v>0</v>
      </c>
    </row>
    <row r="146" spans="1:10" ht="13" x14ac:dyDescent="0.25">
      <c r="A146" s="273"/>
      <c r="B146" s="337" t="s">
        <v>619</v>
      </c>
      <c r="C146" s="311"/>
      <c r="D146" s="311" t="s">
        <v>452</v>
      </c>
      <c r="E146" s="311" t="s">
        <v>539</v>
      </c>
      <c r="F146" s="311" t="s">
        <v>213</v>
      </c>
      <c r="G146" s="271"/>
      <c r="H146" s="269">
        <f>H147</f>
        <v>2370.38</v>
      </c>
      <c r="I146" s="529">
        <f>I147</f>
        <v>0</v>
      </c>
      <c r="J146" s="270">
        <f>J147</f>
        <v>0</v>
      </c>
    </row>
    <row r="147" spans="1:10" ht="20" x14ac:dyDescent="0.25">
      <c r="A147" s="273"/>
      <c r="B147" s="284" t="s">
        <v>454</v>
      </c>
      <c r="C147" s="311"/>
      <c r="D147" s="311" t="s">
        <v>452</v>
      </c>
      <c r="E147" s="311" t="s">
        <v>539</v>
      </c>
      <c r="F147" s="311" t="s">
        <v>213</v>
      </c>
      <c r="G147" s="271" t="s">
        <v>1</v>
      </c>
      <c r="H147" s="269">
        <v>2370.38</v>
      </c>
      <c r="I147" s="529"/>
      <c r="J147" s="269"/>
    </row>
    <row r="148" spans="1:10" ht="20" x14ac:dyDescent="0.25">
      <c r="A148" s="273"/>
      <c r="B148" s="274" t="s">
        <v>212</v>
      </c>
      <c r="C148" s="311"/>
      <c r="D148" s="311" t="s">
        <v>452</v>
      </c>
      <c r="E148" s="311" t="s">
        <v>539</v>
      </c>
      <c r="F148" s="311" t="s">
        <v>209</v>
      </c>
      <c r="G148" s="271"/>
      <c r="H148" s="269">
        <f>H149</f>
        <v>739.34900000000005</v>
      </c>
      <c r="I148" s="529">
        <f>I149</f>
        <v>0</v>
      </c>
      <c r="J148" s="269">
        <f>J149</f>
        <v>0</v>
      </c>
    </row>
    <row r="149" spans="1:10" ht="20" x14ac:dyDescent="0.25">
      <c r="A149" s="273"/>
      <c r="B149" s="284" t="s">
        <v>454</v>
      </c>
      <c r="C149" s="311"/>
      <c r="D149" s="311" t="s">
        <v>452</v>
      </c>
      <c r="E149" s="311" t="s">
        <v>539</v>
      </c>
      <c r="F149" s="311" t="s">
        <v>209</v>
      </c>
      <c r="G149" s="271" t="s">
        <v>1</v>
      </c>
      <c r="H149" s="269">
        <v>739.34900000000005</v>
      </c>
      <c r="I149" s="529"/>
      <c r="J149" s="269"/>
    </row>
    <row r="150" spans="1:10" ht="26" hidden="1" x14ac:dyDescent="0.3">
      <c r="A150" s="273"/>
      <c r="B150" s="336" t="s">
        <v>206</v>
      </c>
      <c r="C150" s="311"/>
      <c r="D150" s="311" t="s">
        <v>452</v>
      </c>
      <c r="E150" s="311" t="s">
        <v>539</v>
      </c>
      <c r="F150" s="311" t="s">
        <v>205</v>
      </c>
      <c r="G150" s="271"/>
      <c r="H150" s="269">
        <f>H151</f>
        <v>0</v>
      </c>
      <c r="I150" s="529">
        <f>I151</f>
        <v>0</v>
      </c>
      <c r="J150" s="269">
        <f>J151</f>
        <v>0</v>
      </c>
    </row>
    <row r="151" spans="1:10" ht="20" hidden="1" x14ac:dyDescent="0.25">
      <c r="A151" s="273"/>
      <c r="B151" s="284" t="s">
        <v>454</v>
      </c>
      <c r="C151" s="311"/>
      <c r="D151" s="311" t="s">
        <v>452</v>
      </c>
      <c r="E151" s="311" t="s">
        <v>539</v>
      </c>
      <c r="F151" s="311" t="s">
        <v>205</v>
      </c>
      <c r="G151" s="271" t="s">
        <v>1</v>
      </c>
      <c r="H151" s="269"/>
      <c r="I151" s="529"/>
      <c r="J151" s="269"/>
    </row>
    <row r="152" spans="1:10" ht="30" x14ac:dyDescent="0.25">
      <c r="A152" s="273"/>
      <c r="B152" s="310" t="s">
        <v>837</v>
      </c>
      <c r="C152" s="311"/>
      <c r="D152" s="311" t="s">
        <v>452</v>
      </c>
      <c r="E152" s="311" t="s">
        <v>539</v>
      </c>
      <c r="F152" s="271" t="s">
        <v>204</v>
      </c>
      <c r="G152" s="271"/>
      <c r="H152" s="269">
        <f>H153</f>
        <v>9034.7259999999987</v>
      </c>
      <c r="I152" s="529">
        <f>I153</f>
        <v>5740</v>
      </c>
      <c r="J152" s="269">
        <f>J153</f>
        <v>5980</v>
      </c>
    </row>
    <row r="153" spans="1:10" x14ac:dyDescent="0.25">
      <c r="A153" s="273"/>
      <c r="B153" s="274" t="s">
        <v>203</v>
      </c>
      <c r="C153" s="311"/>
      <c r="D153" s="311" t="s">
        <v>452</v>
      </c>
      <c r="E153" s="311" t="s">
        <v>539</v>
      </c>
      <c r="F153" s="311" t="s">
        <v>202</v>
      </c>
      <c r="G153" s="271"/>
      <c r="H153" s="269">
        <f>H154+H156</f>
        <v>9034.7259999999987</v>
      </c>
      <c r="I153" s="529">
        <f>I154+I156</f>
        <v>5740</v>
      </c>
      <c r="J153" s="269">
        <f>J154+J156</f>
        <v>5980</v>
      </c>
    </row>
    <row r="154" spans="1:10" x14ac:dyDescent="0.25">
      <c r="A154" s="273"/>
      <c r="B154" s="274" t="s">
        <v>619</v>
      </c>
      <c r="C154" s="311"/>
      <c r="D154" s="311" t="s">
        <v>452</v>
      </c>
      <c r="E154" s="311" t="s">
        <v>539</v>
      </c>
      <c r="F154" s="311" t="s">
        <v>200</v>
      </c>
      <c r="G154" s="271"/>
      <c r="H154" s="269">
        <f>H155</f>
        <v>8493.4879999999994</v>
      </c>
      <c r="I154" s="529">
        <f>I155</f>
        <v>5240</v>
      </c>
      <c r="J154" s="269">
        <f>J155</f>
        <v>5380</v>
      </c>
    </row>
    <row r="155" spans="1:10" ht="20" x14ac:dyDescent="0.25">
      <c r="A155" s="273"/>
      <c r="B155" s="284" t="s">
        <v>454</v>
      </c>
      <c r="C155" s="311"/>
      <c r="D155" s="311" t="s">
        <v>452</v>
      </c>
      <c r="E155" s="311" t="s">
        <v>539</v>
      </c>
      <c r="F155" s="311" t="s">
        <v>200</v>
      </c>
      <c r="G155" s="271" t="s">
        <v>1</v>
      </c>
      <c r="H155" s="269">
        <v>8493.4879999999994</v>
      </c>
      <c r="I155" s="529">
        <v>5240</v>
      </c>
      <c r="J155" s="269">
        <v>5380</v>
      </c>
    </row>
    <row r="156" spans="1:10" ht="20" x14ac:dyDescent="0.25">
      <c r="A156" s="273"/>
      <c r="B156" s="274" t="s">
        <v>199</v>
      </c>
      <c r="C156" s="311"/>
      <c r="D156" s="311" t="s">
        <v>452</v>
      </c>
      <c r="E156" s="311" t="s">
        <v>539</v>
      </c>
      <c r="F156" s="311" t="s">
        <v>198</v>
      </c>
      <c r="G156" s="271"/>
      <c r="H156" s="269">
        <f>H157</f>
        <v>541.23800000000006</v>
      </c>
      <c r="I156" s="529">
        <f>I157</f>
        <v>500</v>
      </c>
      <c r="J156" s="269">
        <f>J157</f>
        <v>600</v>
      </c>
    </row>
    <row r="157" spans="1:10" ht="20" x14ac:dyDescent="0.25">
      <c r="A157" s="273"/>
      <c r="B157" s="284" t="s">
        <v>454</v>
      </c>
      <c r="C157" s="311"/>
      <c r="D157" s="311" t="s">
        <v>452</v>
      </c>
      <c r="E157" s="311" t="s">
        <v>539</v>
      </c>
      <c r="F157" s="311" t="s">
        <v>198</v>
      </c>
      <c r="G157" s="271" t="s">
        <v>1</v>
      </c>
      <c r="H157" s="269">
        <v>541.23800000000006</v>
      </c>
      <c r="I157" s="529">
        <v>500</v>
      </c>
      <c r="J157" s="269">
        <v>600</v>
      </c>
    </row>
    <row r="158" spans="1:10" ht="31.5" hidden="1" x14ac:dyDescent="0.25">
      <c r="A158" s="281"/>
      <c r="B158" s="335" t="s">
        <v>557</v>
      </c>
      <c r="C158" s="278"/>
      <c r="D158" s="278" t="s">
        <v>452</v>
      </c>
      <c r="E158" s="278" t="s">
        <v>539</v>
      </c>
      <c r="F158" s="278" t="s">
        <v>556</v>
      </c>
      <c r="G158" s="278"/>
      <c r="H158" s="276">
        <f>H159</f>
        <v>0</v>
      </c>
      <c r="I158" s="841">
        <f>I159</f>
        <v>0</v>
      </c>
      <c r="J158" s="276">
        <f>J159</f>
        <v>0</v>
      </c>
    </row>
    <row r="159" spans="1:10" ht="20" hidden="1" x14ac:dyDescent="0.25">
      <c r="A159" s="273"/>
      <c r="B159" s="319" t="s">
        <v>555</v>
      </c>
      <c r="C159" s="311"/>
      <c r="D159" s="311" t="s">
        <v>452</v>
      </c>
      <c r="E159" s="311" t="s">
        <v>539</v>
      </c>
      <c r="F159" s="311" t="s">
        <v>554</v>
      </c>
      <c r="G159" s="311"/>
      <c r="H159" s="269">
        <f>H160+H163</f>
        <v>0</v>
      </c>
      <c r="I159" s="529">
        <f>I160+I163</f>
        <v>0</v>
      </c>
      <c r="J159" s="269">
        <f>J160+J163</f>
        <v>0</v>
      </c>
    </row>
    <row r="160" spans="1:10" ht="30" hidden="1" x14ac:dyDescent="0.25">
      <c r="A160" s="273"/>
      <c r="B160" s="319" t="s">
        <v>553</v>
      </c>
      <c r="C160" s="311"/>
      <c r="D160" s="311" t="s">
        <v>452</v>
      </c>
      <c r="E160" s="311" t="s">
        <v>539</v>
      </c>
      <c r="F160" s="311" t="s">
        <v>552</v>
      </c>
      <c r="G160" s="311"/>
      <c r="H160" s="269">
        <f t="shared" ref="H160:J161" si="11">H161</f>
        <v>0</v>
      </c>
      <c r="I160" s="529">
        <f t="shared" si="11"/>
        <v>0</v>
      </c>
      <c r="J160" s="269">
        <f t="shared" si="11"/>
        <v>0</v>
      </c>
    </row>
    <row r="161" spans="1:10" ht="30" hidden="1" x14ac:dyDescent="0.25">
      <c r="A161" s="273"/>
      <c r="B161" s="285" t="s">
        <v>551</v>
      </c>
      <c r="C161" s="311"/>
      <c r="D161" s="311" t="s">
        <v>452</v>
      </c>
      <c r="E161" s="311" t="s">
        <v>539</v>
      </c>
      <c r="F161" s="311" t="s">
        <v>550</v>
      </c>
      <c r="G161" s="311"/>
      <c r="H161" s="269">
        <f t="shared" si="11"/>
        <v>0</v>
      </c>
      <c r="I161" s="529">
        <f t="shared" si="11"/>
        <v>0</v>
      </c>
      <c r="J161" s="269">
        <f t="shared" si="11"/>
        <v>0</v>
      </c>
    </row>
    <row r="162" spans="1:10" hidden="1" x14ac:dyDescent="0.25">
      <c r="A162" s="273"/>
      <c r="B162" s="284" t="s">
        <v>481</v>
      </c>
      <c r="C162" s="311"/>
      <c r="D162" s="311" t="s">
        <v>452</v>
      </c>
      <c r="E162" s="311" t="s">
        <v>539</v>
      </c>
      <c r="F162" s="311" t="s">
        <v>550</v>
      </c>
      <c r="G162" s="271" t="s">
        <v>26</v>
      </c>
      <c r="H162" s="269">
        <v>0</v>
      </c>
      <c r="I162" s="529">
        <v>0</v>
      </c>
      <c r="J162" s="269">
        <v>0</v>
      </c>
    </row>
    <row r="163" spans="1:10" ht="40" hidden="1" x14ac:dyDescent="0.25">
      <c r="A163" s="273"/>
      <c r="B163" s="319" t="s">
        <v>549</v>
      </c>
      <c r="C163" s="311"/>
      <c r="D163" s="311" t="s">
        <v>548</v>
      </c>
      <c r="E163" s="311" t="s">
        <v>539</v>
      </c>
      <c r="F163" s="311" t="s">
        <v>547</v>
      </c>
      <c r="G163" s="311"/>
      <c r="H163" s="269">
        <f>H164+H166+H168</f>
        <v>0</v>
      </c>
      <c r="I163" s="529">
        <f>I164+I166+I168</f>
        <v>0</v>
      </c>
      <c r="J163" s="269">
        <f>J164+J166+J168</f>
        <v>0</v>
      </c>
    </row>
    <row r="164" spans="1:10" ht="20" hidden="1" x14ac:dyDescent="0.25">
      <c r="A164" s="273"/>
      <c r="B164" s="285" t="s">
        <v>546</v>
      </c>
      <c r="C164" s="311"/>
      <c r="D164" s="311" t="s">
        <v>452</v>
      </c>
      <c r="E164" s="311" t="s">
        <v>539</v>
      </c>
      <c r="F164" s="311" t="s">
        <v>545</v>
      </c>
      <c r="G164" s="311"/>
      <c r="H164" s="269">
        <f>H165</f>
        <v>0</v>
      </c>
      <c r="I164" s="529">
        <f>I165</f>
        <v>0</v>
      </c>
      <c r="J164" s="269">
        <f>J165</f>
        <v>0</v>
      </c>
    </row>
    <row r="165" spans="1:10" ht="20" hidden="1" x14ac:dyDescent="0.25">
      <c r="A165" s="273"/>
      <c r="B165" s="284" t="s">
        <v>454</v>
      </c>
      <c r="C165" s="311"/>
      <c r="D165" s="311" t="s">
        <v>452</v>
      </c>
      <c r="E165" s="311" t="s">
        <v>539</v>
      </c>
      <c r="F165" s="311" t="s">
        <v>545</v>
      </c>
      <c r="G165" s="271" t="s">
        <v>1</v>
      </c>
      <c r="H165" s="269"/>
      <c r="I165" s="529"/>
      <c r="J165" s="269"/>
    </row>
    <row r="166" spans="1:10" ht="30" hidden="1" x14ac:dyDescent="0.25">
      <c r="A166" s="401"/>
      <c r="B166" s="285" t="s">
        <v>544</v>
      </c>
      <c r="C166" s="311"/>
      <c r="D166" s="311" t="s">
        <v>452</v>
      </c>
      <c r="E166" s="311" t="s">
        <v>539</v>
      </c>
      <c r="F166" s="311" t="s">
        <v>543</v>
      </c>
      <c r="G166" s="311"/>
      <c r="H166" s="269">
        <f>H167</f>
        <v>0</v>
      </c>
      <c r="I166" s="529">
        <f>I167</f>
        <v>0</v>
      </c>
      <c r="J166" s="269">
        <f>J167</f>
        <v>0</v>
      </c>
    </row>
    <row r="167" spans="1:10" ht="20" hidden="1" x14ac:dyDescent="0.25">
      <c r="A167" s="401"/>
      <c r="B167" s="284" t="s">
        <v>454</v>
      </c>
      <c r="C167" s="311"/>
      <c r="D167" s="311" t="s">
        <v>452</v>
      </c>
      <c r="E167" s="311" t="s">
        <v>539</v>
      </c>
      <c r="F167" s="311" t="s">
        <v>543</v>
      </c>
      <c r="G167" s="271" t="s">
        <v>1</v>
      </c>
      <c r="H167" s="269"/>
      <c r="I167" s="529"/>
      <c r="J167" s="269"/>
    </row>
    <row r="168" spans="1:10" ht="40" hidden="1" x14ac:dyDescent="0.25">
      <c r="A168" s="401"/>
      <c r="B168" s="285" t="s">
        <v>542</v>
      </c>
      <c r="C168" s="311"/>
      <c r="D168" s="311" t="s">
        <v>452</v>
      </c>
      <c r="E168" s="311" t="s">
        <v>539</v>
      </c>
      <c r="F168" s="311" t="s">
        <v>541</v>
      </c>
      <c r="G168" s="311"/>
      <c r="H168" s="269">
        <f>H169</f>
        <v>0</v>
      </c>
      <c r="I168" s="529">
        <f>I169</f>
        <v>0</v>
      </c>
      <c r="J168" s="269">
        <f>J169</f>
        <v>0</v>
      </c>
    </row>
    <row r="169" spans="1:10" ht="20" hidden="1" x14ac:dyDescent="0.25">
      <c r="A169" s="401"/>
      <c r="B169" s="284" t="s">
        <v>454</v>
      </c>
      <c r="C169" s="311"/>
      <c r="D169" s="311" t="s">
        <v>452</v>
      </c>
      <c r="E169" s="311" t="s">
        <v>539</v>
      </c>
      <c r="F169" s="311" t="s">
        <v>541</v>
      </c>
      <c r="G169" s="271" t="s">
        <v>1</v>
      </c>
      <c r="H169" s="269"/>
      <c r="I169" s="529"/>
      <c r="J169" s="269"/>
    </row>
    <row r="170" spans="1:10" ht="20" x14ac:dyDescent="0.25">
      <c r="A170" s="332"/>
      <c r="B170" s="285" t="s">
        <v>499</v>
      </c>
      <c r="C170" s="279"/>
      <c r="D170" s="271" t="s">
        <v>452</v>
      </c>
      <c r="E170" s="271" t="s">
        <v>539</v>
      </c>
      <c r="F170" s="271" t="s">
        <v>89</v>
      </c>
      <c r="G170" s="271"/>
      <c r="H170" s="269">
        <f t="shared" ref="H170:J173" si="12">H171</f>
        <v>392.1</v>
      </c>
      <c r="I170" s="841">
        <f t="shared" si="12"/>
        <v>0</v>
      </c>
      <c r="J170" s="276">
        <f t="shared" si="12"/>
        <v>0</v>
      </c>
    </row>
    <row r="171" spans="1:10" x14ac:dyDescent="0.25">
      <c r="A171" s="281"/>
      <c r="B171" s="285" t="s">
        <v>109</v>
      </c>
      <c r="C171" s="279"/>
      <c r="D171" s="271" t="s">
        <v>452</v>
      </c>
      <c r="E171" s="271" t="s">
        <v>539</v>
      </c>
      <c r="F171" s="271" t="s">
        <v>84</v>
      </c>
      <c r="G171" s="271"/>
      <c r="H171" s="269">
        <f t="shared" si="12"/>
        <v>392.1</v>
      </c>
      <c r="I171" s="841">
        <f t="shared" si="12"/>
        <v>0</v>
      </c>
      <c r="J171" s="276">
        <f t="shared" si="12"/>
        <v>0</v>
      </c>
    </row>
    <row r="172" spans="1:10" x14ac:dyDescent="0.25">
      <c r="A172" s="281"/>
      <c r="B172" s="285" t="s">
        <v>109</v>
      </c>
      <c r="C172" s="279"/>
      <c r="D172" s="271" t="s">
        <v>452</v>
      </c>
      <c r="E172" s="271" t="s">
        <v>539</v>
      </c>
      <c r="F172" s="271" t="s">
        <v>82</v>
      </c>
      <c r="G172" s="271"/>
      <c r="H172" s="269">
        <f>H173</f>
        <v>392.1</v>
      </c>
      <c r="I172" s="841">
        <f t="shared" si="12"/>
        <v>0</v>
      </c>
      <c r="J172" s="276">
        <f t="shared" si="12"/>
        <v>0</v>
      </c>
    </row>
    <row r="173" spans="1:10" ht="40" x14ac:dyDescent="0.25">
      <c r="A173" s="401"/>
      <c r="B173" s="285" t="s">
        <v>891</v>
      </c>
      <c r="C173" s="271"/>
      <c r="D173" s="271" t="s">
        <v>452</v>
      </c>
      <c r="E173" s="271" t="s">
        <v>539</v>
      </c>
      <c r="F173" s="349" t="s">
        <v>862</v>
      </c>
      <c r="G173" s="271"/>
      <c r="H173" s="269">
        <f t="shared" si="12"/>
        <v>392.1</v>
      </c>
      <c r="I173" s="529">
        <f t="shared" si="12"/>
        <v>0</v>
      </c>
      <c r="J173" s="269">
        <f t="shared" si="12"/>
        <v>0</v>
      </c>
    </row>
    <row r="174" spans="1:10" ht="20" x14ac:dyDescent="0.25">
      <c r="A174" s="401"/>
      <c r="B174" s="284" t="s">
        <v>454</v>
      </c>
      <c r="C174" s="311"/>
      <c r="D174" s="311" t="s">
        <v>452</v>
      </c>
      <c r="E174" s="311" t="s">
        <v>539</v>
      </c>
      <c r="F174" s="349" t="s">
        <v>862</v>
      </c>
      <c r="G174" s="271" t="s">
        <v>1</v>
      </c>
      <c r="H174" s="269">
        <v>392.1</v>
      </c>
      <c r="I174" s="529"/>
      <c r="J174" s="269"/>
    </row>
    <row r="175" spans="1:10" x14ac:dyDescent="0.25">
      <c r="A175" s="401"/>
      <c r="B175" s="326" t="s">
        <v>51</v>
      </c>
      <c r="C175" s="316"/>
      <c r="D175" s="316" t="s">
        <v>452</v>
      </c>
      <c r="E175" s="316" t="s">
        <v>534</v>
      </c>
      <c r="F175" s="316"/>
      <c r="G175" s="316"/>
      <c r="H175" s="855">
        <f>H176+H180</f>
        <v>3394.8</v>
      </c>
      <c r="I175" s="853">
        <f>I176+I180</f>
        <v>315</v>
      </c>
      <c r="J175" s="400">
        <f>J176+J180</f>
        <v>320</v>
      </c>
    </row>
    <row r="176" spans="1:10" ht="30" x14ac:dyDescent="0.25">
      <c r="A176" s="273"/>
      <c r="B176" s="310" t="s">
        <v>293</v>
      </c>
      <c r="C176" s="271"/>
      <c r="D176" s="271" t="s">
        <v>452</v>
      </c>
      <c r="E176" s="271" t="s">
        <v>534</v>
      </c>
      <c r="F176" s="271" t="s">
        <v>292</v>
      </c>
      <c r="G176" s="271"/>
      <c r="H176" s="269">
        <f t="shared" ref="H176:J178" si="13">H177</f>
        <v>300</v>
      </c>
      <c r="I176" s="529">
        <f t="shared" si="13"/>
        <v>315</v>
      </c>
      <c r="J176" s="270">
        <f t="shared" si="13"/>
        <v>320</v>
      </c>
    </row>
    <row r="177" spans="1:11" ht="30" x14ac:dyDescent="0.25">
      <c r="A177" s="273"/>
      <c r="B177" s="274" t="s">
        <v>289</v>
      </c>
      <c r="C177" s="271"/>
      <c r="D177" s="271" t="s">
        <v>452</v>
      </c>
      <c r="E177" s="271" t="s">
        <v>534</v>
      </c>
      <c r="F177" s="271" t="s">
        <v>286</v>
      </c>
      <c r="G177" s="271"/>
      <c r="H177" s="269">
        <f t="shared" si="13"/>
        <v>300</v>
      </c>
      <c r="I177" s="529">
        <f t="shared" si="13"/>
        <v>315</v>
      </c>
      <c r="J177" s="270">
        <f t="shared" si="13"/>
        <v>320</v>
      </c>
    </row>
    <row r="178" spans="1:11" ht="20" x14ac:dyDescent="0.25">
      <c r="A178" s="273"/>
      <c r="B178" s="334" t="s">
        <v>287</v>
      </c>
      <c r="C178" s="311"/>
      <c r="D178" s="311" t="s">
        <v>452</v>
      </c>
      <c r="E178" s="311" t="s">
        <v>534</v>
      </c>
      <c r="F178" s="311" t="s">
        <v>275</v>
      </c>
      <c r="G178" s="311"/>
      <c r="H178" s="269">
        <f t="shared" si="13"/>
        <v>300</v>
      </c>
      <c r="I178" s="529">
        <f t="shared" si="13"/>
        <v>315</v>
      </c>
      <c r="J178" s="270">
        <f t="shared" si="13"/>
        <v>320</v>
      </c>
    </row>
    <row r="179" spans="1:11" ht="20" x14ac:dyDescent="0.25">
      <c r="A179" s="273"/>
      <c r="B179" s="284" t="s">
        <v>454</v>
      </c>
      <c r="C179" s="311"/>
      <c r="D179" s="311" t="s">
        <v>452</v>
      </c>
      <c r="E179" s="311" t="s">
        <v>534</v>
      </c>
      <c r="F179" s="311" t="s">
        <v>275</v>
      </c>
      <c r="G179" s="271" t="s">
        <v>1</v>
      </c>
      <c r="H179" s="269">
        <f>320-20</f>
        <v>300</v>
      </c>
      <c r="I179" s="529">
        <v>315</v>
      </c>
      <c r="J179" s="269">
        <v>320</v>
      </c>
    </row>
    <row r="180" spans="1:11" ht="20" x14ac:dyDescent="0.25">
      <c r="A180" s="305"/>
      <c r="B180" s="285" t="s">
        <v>499</v>
      </c>
      <c r="C180" s="272"/>
      <c r="D180" s="271" t="s">
        <v>452</v>
      </c>
      <c r="E180" s="271" t="s">
        <v>534</v>
      </c>
      <c r="F180" s="271" t="s">
        <v>89</v>
      </c>
      <c r="G180" s="271"/>
      <c r="H180" s="269">
        <f>H181</f>
        <v>3094.8</v>
      </c>
      <c r="I180" s="529">
        <f t="shared" ref="H180:J181" si="14">I181</f>
        <v>0</v>
      </c>
      <c r="J180" s="270">
        <f t="shared" si="14"/>
        <v>0</v>
      </c>
    </row>
    <row r="181" spans="1:11" x14ac:dyDescent="0.25">
      <c r="A181" s="273"/>
      <c r="B181" s="285" t="s">
        <v>109</v>
      </c>
      <c r="C181" s="272"/>
      <c r="D181" s="271" t="s">
        <v>452</v>
      </c>
      <c r="E181" s="271" t="s">
        <v>534</v>
      </c>
      <c r="F181" s="271" t="s">
        <v>84</v>
      </c>
      <c r="G181" s="271"/>
      <c r="H181" s="269">
        <f t="shared" si="14"/>
        <v>3094.8</v>
      </c>
      <c r="I181" s="529">
        <f t="shared" si="14"/>
        <v>0</v>
      </c>
      <c r="J181" s="270">
        <f t="shared" si="14"/>
        <v>0</v>
      </c>
    </row>
    <row r="182" spans="1:11" x14ac:dyDescent="0.25">
      <c r="A182" s="273"/>
      <c r="B182" s="285" t="s">
        <v>109</v>
      </c>
      <c r="C182" s="272"/>
      <c r="D182" s="271" t="s">
        <v>452</v>
      </c>
      <c r="E182" s="271" t="s">
        <v>534</v>
      </c>
      <c r="F182" s="271" t="s">
        <v>82</v>
      </c>
      <c r="G182" s="271"/>
      <c r="H182" s="269">
        <f>H183+H185+H188+H189</f>
        <v>3094.8</v>
      </c>
      <c r="I182" s="529">
        <f>I183+I185+I188</f>
        <v>0</v>
      </c>
      <c r="J182" s="270">
        <f>J183+J185+J188</f>
        <v>0</v>
      </c>
    </row>
    <row r="183" spans="1:11" x14ac:dyDescent="0.25">
      <c r="A183" s="281"/>
      <c r="B183" s="285" t="s">
        <v>537</v>
      </c>
      <c r="C183" s="271"/>
      <c r="D183" s="271" t="s">
        <v>452</v>
      </c>
      <c r="E183" s="271" t="s">
        <v>534</v>
      </c>
      <c r="F183" s="271" t="s">
        <v>536</v>
      </c>
      <c r="G183" s="271"/>
      <c r="H183" s="269">
        <f>H184</f>
        <v>2000</v>
      </c>
      <c r="I183" s="529">
        <f>I184</f>
        <v>0</v>
      </c>
      <c r="J183" s="270">
        <f>J184</f>
        <v>0</v>
      </c>
    </row>
    <row r="184" spans="1:11" ht="20" x14ac:dyDescent="0.25">
      <c r="A184" s="401"/>
      <c r="B184" s="284" t="s">
        <v>454</v>
      </c>
      <c r="C184" s="311"/>
      <c r="D184" s="311" t="s">
        <v>452</v>
      </c>
      <c r="E184" s="311" t="s">
        <v>534</v>
      </c>
      <c r="F184" s="311" t="s">
        <v>536</v>
      </c>
      <c r="G184" s="271" t="s">
        <v>1</v>
      </c>
      <c r="H184" s="269">
        <f>200+500+1000+300</f>
        <v>2000</v>
      </c>
      <c r="I184" s="529"/>
      <c r="J184" s="270"/>
      <c r="K184" s="1031"/>
    </row>
    <row r="185" spans="1:11" x14ac:dyDescent="0.25">
      <c r="A185" s="281"/>
      <c r="B185" s="285" t="s">
        <v>535</v>
      </c>
      <c r="C185" s="271"/>
      <c r="D185" s="271" t="s">
        <v>452</v>
      </c>
      <c r="E185" s="271" t="s">
        <v>534</v>
      </c>
      <c r="F185" s="271" t="s">
        <v>54</v>
      </c>
      <c r="G185" s="271"/>
      <c r="H185" s="269">
        <f>H186</f>
        <v>94.8</v>
      </c>
      <c r="I185" s="529">
        <f>I186</f>
        <v>0</v>
      </c>
      <c r="J185" s="270">
        <f>J186</f>
        <v>0</v>
      </c>
    </row>
    <row r="186" spans="1:11" ht="20" x14ac:dyDescent="0.25">
      <c r="A186" s="402"/>
      <c r="B186" s="284" t="s">
        <v>454</v>
      </c>
      <c r="C186" s="311"/>
      <c r="D186" s="311" t="s">
        <v>452</v>
      </c>
      <c r="E186" s="311" t="s">
        <v>534</v>
      </c>
      <c r="F186" s="311" t="s">
        <v>54</v>
      </c>
      <c r="G186" s="271" t="s">
        <v>1</v>
      </c>
      <c r="H186" s="269">
        <v>94.8</v>
      </c>
      <c r="I186" s="529"/>
      <c r="J186" s="269"/>
    </row>
    <row r="187" spans="1:11" x14ac:dyDescent="0.25">
      <c r="A187" s="402"/>
      <c r="B187" s="285" t="s">
        <v>53</v>
      </c>
      <c r="C187" s="271"/>
      <c r="D187" s="271" t="s">
        <v>452</v>
      </c>
      <c r="E187" s="271" t="s">
        <v>534</v>
      </c>
      <c r="F187" s="271" t="s">
        <v>50</v>
      </c>
      <c r="G187" s="271"/>
      <c r="H187" s="269">
        <f>H188+H189</f>
        <v>1000</v>
      </c>
      <c r="I187" s="529">
        <f>I188</f>
        <v>0</v>
      </c>
      <c r="J187" s="269">
        <f>J188</f>
        <v>0</v>
      </c>
    </row>
    <row r="188" spans="1:11" ht="20" x14ac:dyDescent="0.25">
      <c r="A188" s="402"/>
      <c r="B188" s="284" t="s">
        <v>454</v>
      </c>
      <c r="C188" s="311"/>
      <c r="D188" s="311" t="s">
        <v>452</v>
      </c>
      <c r="E188" s="311" t="s">
        <v>534</v>
      </c>
      <c r="F188" s="311" t="s">
        <v>50</v>
      </c>
      <c r="G188" s="271" t="s">
        <v>1</v>
      </c>
      <c r="H188" s="269">
        <f>3939.333-2939.333</f>
        <v>1000</v>
      </c>
      <c r="I188" s="529"/>
      <c r="J188" s="269"/>
      <c r="K188" s="1031"/>
    </row>
    <row r="189" spans="1:11" hidden="1" x14ac:dyDescent="0.25">
      <c r="A189" s="402"/>
      <c r="B189" s="284" t="s">
        <v>622</v>
      </c>
      <c r="C189" s="311"/>
      <c r="D189" s="311"/>
      <c r="E189" s="311"/>
      <c r="F189" s="311"/>
      <c r="G189" s="271"/>
      <c r="H189" s="269"/>
      <c r="I189" s="529"/>
      <c r="J189" s="404"/>
    </row>
    <row r="190" spans="1:11" x14ac:dyDescent="0.25">
      <c r="A190" s="402"/>
      <c r="B190" s="326" t="s">
        <v>378</v>
      </c>
      <c r="C190" s="333"/>
      <c r="D190" s="316" t="s">
        <v>463</v>
      </c>
      <c r="E190" s="316" t="s">
        <v>459</v>
      </c>
      <c r="F190" s="316"/>
      <c r="G190" s="316"/>
      <c r="H190" s="855">
        <f>H191+H201+H221</f>
        <v>49974.795999999995</v>
      </c>
      <c r="I190" s="853">
        <f>I191+I201+I221</f>
        <v>40536.79</v>
      </c>
      <c r="J190" s="400">
        <f>J191+J201+J221</f>
        <v>40253.18</v>
      </c>
    </row>
    <row r="191" spans="1:11" x14ac:dyDescent="0.25">
      <c r="A191" s="401"/>
      <c r="B191" s="326" t="s">
        <v>11</v>
      </c>
      <c r="C191" s="316"/>
      <c r="D191" s="316" t="s">
        <v>463</v>
      </c>
      <c r="E191" s="316" t="s">
        <v>456</v>
      </c>
      <c r="F191" s="316"/>
      <c r="G191" s="316"/>
      <c r="H191" s="855">
        <f t="shared" ref="H191:J193" si="15">H192</f>
        <v>775.92</v>
      </c>
      <c r="I191" s="853">
        <f t="shared" si="15"/>
        <v>799.11500000000001</v>
      </c>
      <c r="J191" s="400">
        <f t="shared" si="15"/>
        <v>895.01</v>
      </c>
    </row>
    <row r="192" spans="1:11" ht="20" x14ac:dyDescent="0.25">
      <c r="A192" s="305"/>
      <c r="B192" s="285" t="s">
        <v>499</v>
      </c>
      <c r="C192" s="272"/>
      <c r="D192" s="271" t="s">
        <v>463</v>
      </c>
      <c r="E192" s="271" t="s">
        <v>456</v>
      </c>
      <c r="F192" s="271" t="s">
        <v>89</v>
      </c>
      <c r="G192" s="271"/>
      <c r="H192" s="269">
        <f t="shared" si="15"/>
        <v>775.92</v>
      </c>
      <c r="I192" s="529">
        <f t="shared" si="15"/>
        <v>799.11500000000001</v>
      </c>
      <c r="J192" s="270">
        <f t="shared" si="15"/>
        <v>895.01</v>
      </c>
    </row>
    <row r="193" spans="1:10" x14ac:dyDescent="0.25">
      <c r="A193" s="273"/>
      <c r="B193" s="285" t="s">
        <v>109</v>
      </c>
      <c r="C193" s="272"/>
      <c r="D193" s="271" t="s">
        <v>463</v>
      </c>
      <c r="E193" s="271" t="s">
        <v>456</v>
      </c>
      <c r="F193" s="271" t="s">
        <v>84</v>
      </c>
      <c r="G193" s="271"/>
      <c r="H193" s="269">
        <f t="shared" si="15"/>
        <v>775.92</v>
      </c>
      <c r="I193" s="529">
        <f t="shared" si="15"/>
        <v>799.11500000000001</v>
      </c>
      <c r="J193" s="270">
        <f t="shared" si="15"/>
        <v>895.01</v>
      </c>
    </row>
    <row r="194" spans="1:10" x14ac:dyDescent="0.25">
      <c r="A194" s="273"/>
      <c r="B194" s="285" t="s">
        <v>109</v>
      </c>
      <c r="C194" s="272"/>
      <c r="D194" s="271" t="s">
        <v>463</v>
      </c>
      <c r="E194" s="271" t="s">
        <v>456</v>
      </c>
      <c r="F194" s="271" t="s">
        <v>82</v>
      </c>
      <c r="G194" s="271"/>
      <c r="H194" s="269">
        <f>H195+H197+H199</f>
        <v>775.92</v>
      </c>
      <c r="I194" s="529">
        <f>I195+I197+I199</f>
        <v>799.11500000000001</v>
      </c>
      <c r="J194" s="270">
        <f>J195+J197+J199</f>
        <v>895.01</v>
      </c>
    </row>
    <row r="195" spans="1:10" hidden="1" x14ac:dyDescent="0.25">
      <c r="A195" s="281"/>
      <c r="B195" s="285" t="s">
        <v>533</v>
      </c>
      <c r="C195" s="271"/>
      <c r="D195" s="271" t="s">
        <v>463</v>
      </c>
      <c r="E195" s="271" t="s">
        <v>456</v>
      </c>
      <c r="F195" s="271" t="s">
        <v>30</v>
      </c>
      <c r="G195" s="271"/>
      <c r="H195" s="269">
        <f>H196</f>
        <v>0</v>
      </c>
      <c r="I195" s="529">
        <f>I196</f>
        <v>0</v>
      </c>
      <c r="J195" s="270">
        <f>J196</f>
        <v>0</v>
      </c>
    </row>
    <row r="196" spans="1:10" ht="20" hidden="1" x14ac:dyDescent="0.25">
      <c r="A196" s="401"/>
      <c r="B196" s="284" t="s">
        <v>454</v>
      </c>
      <c r="C196" s="271"/>
      <c r="D196" s="311" t="s">
        <v>463</v>
      </c>
      <c r="E196" s="311" t="s">
        <v>456</v>
      </c>
      <c r="F196" s="271" t="s">
        <v>30</v>
      </c>
      <c r="G196" s="271" t="s">
        <v>1</v>
      </c>
      <c r="H196" s="269">
        <v>0</v>
      </c>
      <c r="I196" s="529"/>
      <c r="J196" s="269"/>
    </row>
    <row r="197" spans="1:10" hidden="1" x14ac:dyDescent="0.25">
      <c r="A197" s="281"/>
      <c r="B197" s="285" t="s">
        <v>532</v>
      </c>
      <c r="C197" s="271"/>
      <c r="D197" s="271" t="s">
        <v>463</v>
      </c>
      <c r="E197" s="271" t="s">
        <v>456</v>
      </c>
      <c r="F197" s="271" t="s">
        <v>531</v>
      </c>
      <c r="G197" s="271"/>
      <c r="H197" s="269">
        <f>H198</f>
        <v>0</v>
      </c>
      <c r="I197" s="529">
        <f>I198</f>
        <v>0</v>
      </c>
      <c r="J197" s="269">
        <f>J198</f>
        <v>0</v>
      </c>
    </row>
    <row r="198" spans="1:10" ht="20" hidden="1" x14ac:dyDescent="0.25">
      <c r="A198" s="401"/>
      <c r="B198" s="284" t="s">
        <v>454</v>
      </c>
      <c r="C198" s="271"/>
      <c r="D198" s="311" t="s">
        <v>463</v>
      </c>
      <c r="E198" s="311" t="s">
        <v>456</v>
      </c>
      <c r="F198" s="311" t="s">
        <v>531</v>
      </c>
      <c r="G198" s="271" t="s">
        <v>1</v>
      </c>
      <c r="H198" s="269"/>
      <c r="I198" s="529"/>
      <c r="J198" s="269"/>
    </row>
    <row r="199" spans="1:10" x14ac:dyDescent="0.25">
      <c r="A199" s="281"/>
      <c r="B199" s="285" t="s">
        <v>12</v>
      </c>
      <c r="C199" s="271"/>
      <c r="D199" s="271" t="s">
        <v>463</v>
      </c>
      <c r="E199" s="271" t="s">
        <v>456</v>
      </c>
      <c r="F199" s="271" t="s">
        <v>10</v>
      </c>
      <c r="G199" s="271"/>
      <c r="H199" s="269">
        <f>H200</f>
        <v>775.92</v>
      </c>
      <c r="I199" s="529">
        <f>I200</f>
        <v>799.11500000000001</v>
      </c>
      <c r="J199" s="269">
        <f>J200</f>
        <v>895.01</v>
      </c>
    </row>
    <row r="200" spans="1:10" ht="20" x14ac:dyDescent="0.25">
      <c r="A200" s="401"/>
      <c r="B200" s="284" t="s">
        <v>454</v>
      </c>
      <c r="C200" s="271"/>
      <c r="D200" s="311" t="s">
        <v>463</v>
      </c>
      <c r="E200" s="311" t="s">
        <v>456</v>
      </c>
      <c r="F200" s="311" t="s">
        <v>10</v>
      </c>
      <c r="G200" s="271" t="s">
        <v>1</v>
      </c>
      <c r="H200" s="269">
        <v>775.92</v>
      </c>
      <c r="I200" s="529">
        <v>799.11500000000001</v>
      </c>
      <c r="J200" s="269">
        <v>895.01</v>
      </c>
    </row>
    <row r="201" spans="1:10" x14ac:dyDescent="0.25">
      <c r="A201" s="402"/>
      <c r="B201" s="326" t="s">
        <v>530</v>
      </c>
      <c r="C201" s="316"/>
      <c r="D201" s="316" t="s">
        <v>463</v>
      </c>
      <c r="E201" s="316" t="s">
        <v>488</v>
      </c>
      <c r="F201" s="316"/>
      <c r="G201" s="316"/>
      <c r="H201" s="855">
        <f>H202+H206+H214</f>
        <v>20348.93</v>
      </c>
      <c r="I201" s="853">
        <f>I202+I206+I214</f>
        <v>3718.8</v>
      </c>
      <c r="J201" s="400">
        <f>J202+J206+J214</f>
        <v>4854</v>
      </c>
    </row>
    <row r="202" spans="1:10" ht="30" x14ac:dyDescent="0.25">
      <c r="A202" s="402"/>
      <c r="B202" s="764" t="s">
        <v>197</v>
      </c>
      <c r="C202" s="271"/>
      <c r="D202" s="271" t="s">
        <v>463</v>
      </c>
      <c r="E202" s="271" t="s">
        <v>488</v>
      </c>
      <c r="F202" s="271" t="s">
        <v>196</v>
      </c>
      <c r="G202" s="271"/>
      <c r="H202" s="269">
        <f t="shared" ref="H202:J204" si="16">H203</f>
        <v>4700</v>
      </c>
      <c r="I202" s="529">
        <f t="shared" si="16"/>
        <v>48</v>
      </c>
      <c r="J202" s="270">
        <f t="shared" si="16"/>
        <v>816.12</v>
      </c>
    </row>
    <row r="203" spans="1:10" x14ac:dyDescent="0.25">
      <c r="A203" s="402"/>
      <c r="B203" s="306" t="s">
        <v>195</v>
      </c>
      <c r="C203" s="271"/>
      <c r="D203" s="311" t="s">
        <v>463</v>
      </c>
      <c r="E203" s="311" t="s">
        <v>488</v>
      </c>
      <c r="F203" s="271" t="s">
        <v>194</v>
      </c>
      <c r="G203" s="271"/>
      <c r="H203" s="269">
        <f t="shared" si="16"/>
        <v>4700</v>
      </c>
      <c r="I203" s="529">
        <f t="shared" si="16"/>
        <v>48</v>
      </c>
      <c r="J203" s="270">
        <f t="shared" si="16"/>
        <v>816.12</v>
      </c>
    </row>
    <row r="204" spans="1:10" ht="20" x14ac:dyDescent="0.25">
      <c r="A204" s="402"/>
      <c r="B204" s="403" t="s">
        <v>193</v>
      </c>
      <c r="C204" s="311"/>
      <c r="D204" s="311" t="s">
        <v>463</v>
      </c>
      <c r="E204" s="311" t="s">
        <v>488</v>
      </c>
      <c r="F204" s="311" t="s">
        <v>191</v>
      </c>
      <c r="G204" s="311"/>
      <c r="H204" s="269">
        <f t="shared" si="16"/>
        <v>4700</v>
      </c>
      <c r="I204" s="529">
        <f t="shared" si="16"/>
        <v>48</v>
      </c>
      <c r="J204" s="270">
        <f t="shared" si="16"/>
        <v>816.12</v>
      </c>
    </row>
    <row r="205" spans="1:10" x14ac:dyDescent="0.25">
      <c r="A205" s="402"/>
      <c r="B205" s="284" t="s">
        <v>481</v>
      </c>
      <c r="C205" s="271"/>
      <c r="D205" s="311" t="s">
        <v>463</v>
      </c>
      <c r="E205" s="311" t="s">
        <v>488</v>
      </c>
      <c r="F205" s="311" t="s">
        <v>191</v>
      </c>
      <c r="G205" s="271" t="s">
        <v>26</v>
      </c>
      <c r="H205" s="269">
        <v>4700</v>
      </c>
      <c r="I205" s="529">
        <v>48</v>
      </c>
      <c r="J205" s="269">
        <v>816.12</v>
      </c>
    </row>
    <row r="206" spans="1:10" ht="45.65" customHeight="1" x14ac:dyDescent="0.25">
      <c r="A206" s="273"/>
      <c r="B206" s="306" t="s">
        <v>529</v>
      </c>
      <c r="C206" s="271"/>
      <c r="D206" s="271" t="s">
        <v>463</v>
      </c>
      <c r="E206" s="271" t="s">
        <v>488</v>
      </c>
      <c r="F206" s="271" t="s">
        <v>181</v>
      </c>
      <c r="G206" s="271"/>
      <c r="H206" s="269">
        <f>H209+H213</f>
        <v>10748.93</v>
      </c>
      <c r="I206" s="529">
        <f>I207</f>
        <v>3670.8</v>
      </c>
      <c r="J206" s="270">
        <f>J207</f>
        <v>4037.88</v>
      </c>
    </row>
    <row r="207" spans="1:10" ht="20" x14ac:dyDescent="0.25">
      <c r="A207" s="320"/>
      <c r="B207" s="274" t="s">
        <v>180</v>
      </c>
      <c r="C207" s="311"/>
      <c r="D207" s="311" t="s">
        <v>463</v>
      </c>
      <c r="E207" s="311" t="s">
        <v>488</v>
      </c>
      <c r="F207" s="311" t="s">
        <v>179</v>
      </c>
      <c r="G207" s="311"/>
      <c r="H207" s="269">
        <f>H208</f>
        <v>3250.8</v>
      </c>
      <c r="I207" s="529">
        <f>I208</f>
        <v>3670.8</v>
      </c>
      <c r="J207" s="270">
        <f>J208</f>
        <v>4037.88</v>
      </c>
    </row>
    <row r="208" spans="1:10" ht="30" customHeight="1" x14ac:dyDescent="0.25">
      <c r="A208" s="320"/>
      <c r="B208" s="337" t="s">
        <v>23</v>
      </c>
      <c r="C208" s="311"/>
      <c r="D208" s="311" t="s">
        <v>463</v>
      </c>
      <c r="E208" s="311" t="s">
        <v>488</v>
      </c>
      <c r="F208" s="311" t="s">
        <v>178</v>
      </c>
      <c r="G208" s="311"/>
      <c r="H208" s="269">
        <f>H209+H210</f>
        <v>3250.8</v>
      </c>
      <c r="I208" s="529">
        <f>I209+I210</f>
        <v>3670.8</v>
      </c>
      <c r="J208" s="270">
        <f>J209+J210</f>
        <v>4037.88</v>
      </c>
    </row>
    <row r="209" spans="1:10" ht="20" x14ac:dyDescent="0.25">
      <c r="A209" s="401"/>
      <c r="B209" s="284" t="s">
        <v>454</v>
      </c>
      <c r="C209" s="311"/>
      <c r="D209" s="311" t="s">
        <v>463</v>
      </c>
      <c r="E209" s="311" t="s">
        <v>488</v>
      </c>
      <c r="F209" s="311" t="s">
        <v>178</v>
      </c>
      <c r="G209" s="271" t="s">
        <v>1</v>
      </c>
      <c r="H209" s="269">
        <v>3250.8</v>
      </c>
      <c r="I209" s="529">
        <v>3670.8</v>
      </c>
      <c r="J209" s="269">
        <v>4037.88</v>
      </c>
    </row>
    <row r="210" spans="1:10" hidden="1" x14ac:dyDescent="0.25">
      <c r="A210" s="401"/>
      <c r="B210" s="285" t="s">
        <v>528</v>
      </c>
      <c r="C210" s="311"/>
      <c r="D210" s="311" t="s">
        <v>463</v>
      </c>
      <c r="E210" s="311" t="s">
        <v>488</v>
      </c>
      <c r="F210" s="311" t="s">
        <v>527</v>
      </c>
      <c r="G210" s="311"/>
      <c r="H210" s="269">
        <f>H211</f>
        <v>0</v>
      </c>
      <c r="I210" s="529">
        <f>I211</f>
        <v>0</v>
      </c>
      <c r="J210" s="269">
        <f>J211</f>
        <v>0</v>
      </c>
    </row>
    <row r="211" spans="1:10" ht="20" hidden="1" x14ac:dyDescent="0.25">
      <c r="A211" s="401"/>
      <c r="B211" s="284" t="s">
        <v>454</v>
      </c>
      <c r="C211" s="271"/>
      <c r="D211" s="311" t="s">
        <v>463</v>
      </c>
      <c r="E211" s="311" t="s">
        <v>488</v>
      </c>
      <c r="F211" s="311" t="s">
        <v>526</v>
      </c>
      <c r="G211" s="271" t="s">
        <v>1</v>
      </c>
      <c r="H211" s="269"/>
      <c r="I211" s="529"/>
      <c r="J211" s="269"/>
    </row>
    <row r="212" spans="1:10" ht="26" x14ac:dyDescent="0.25">
      <c r="A212" s="401"/>
      <c r="B212" s="328" t="s">
        <v>40</v>
      </c>
      <c r="C212" s="271"/>
      <c r="D212" s="311" t="s">
        <v>463</v>
      </c>
      <c r="E212" s="311" t="s">
        <v>488</v>
      </c>
      <c r="F212" s="311" t="s">
        <v>177</v>
      </c>
      <c r="G212" s="271"/>
      <c r="H212" s="269">
        <f>H213</f>
        <v>7498.13</v>
      </c>
      <c r="I212" s="529"/>
      <c r="J212" s="404"/>
    </row>
    <row r="213" spans="1:10" ht="20" x14ac:dyDescent="0.25">
      <c r="A213" s="401"/>
      <c r="B213" s="284" t="s">
        <v>454</v>
      </c>
      <c r="C213" s="271"/>
      <c r="D213" s="311" t="s">
        <v>463</v>
      </c>
      <c r="E213" s="311" t="s">
        <v>488</v>
      </c>
      <c r="F213" s="311" t="s">
        <v>177</v>
      </c>
      <c r="G213" s="271" t="s">
        <v>1</v>
      </c>
      <c r="H213" s="269">
        <v>7498.13</v>
      </c>
      <c r="I213" s="529"/>
      <c r="J213" s="404"/>
    </row>
    <row r="214" spans="1:10" ht="20" x14ac:dyDescent="0.25">
      <c r="A214" s="320"/>
      <c r="B214" s="285" t="s">
        <v>499</v>
      </c>
      <c r="C214" s="311"/>
      <c r="D214" s="311" t="s">
        <v>463</v>
      </c>
      <c r="E214" s="311" t="s">
        <v>488</v>
      </c>
      <c r="F214" s="271" t="s">
        <v>89</v>
      </c>
      <c r="G214" s="311"/>
      <c r="H214" s="269">
        <f>H215</f>
        <v>4900</v>
      </c>
      <c r="I214" s="529">
        <f>I215</f>
        <v>0</v>
      </c>
      <c r="J214" s="270">
        <f>J215</f>
        <v>0</v>
      </c>
    </row>
    <row r="215" spans="1:10" x14ac:dyDescent="0.25">
      <c r="A215" s="320"/>
      <c r="B215" s="272" t="s">
        <v>109</v>
      </c>
      <c r="C215" s="311"/>
      <c r="D215" s="311" t="s">
        <v>463</v>
      </c>
      <c r="E215" s="311" t="s">
        <v>488</v>
      </c>
      <c r="F215" s="271" t="s">
        <v>581</v>
      </c>
      <c r="G215" s="311"/>
      <c r="H215" s="269">
        <f>H216</f>
        <v>4900</v>
      </c>
      <c r="I215" s="529">
        <f t="shared" ref="I215:J217" si="17">I216</f>
        <v>0</v>
      </c>
      <c r="J215" s="270">
        <f t="shared" si="17"/>
        <v>0</v>
      </c>
    </row>
    <row r="216" spans="1:10" x14ac:dyDescent="0.25">
      <c r="A216" s="401"/>
      <c r="B216" s="272" t="s">
        <v>109</v>
      </c>
      <c r="C216" s="311"/>
      <c r="D216" s="311" t="s">
        <v>463</v>
      </c>
      <c r="E216" s="311" t="s">
        <v>488</v>
      </c>
      <c r="F216" s="271" t="s">
        <v>82</v>
      </c>
      <c r="G216" s="311"/>
      <c r="H216" s="269">
        <f>H217</f>
        <v>4900</v>
      </c>
      <c r="I216" s="529">
        <f t="shared" si="17"/>
        <v>0</v>
      </c>
      <c r="J216" s="270">
        <f t="shared" si="17"/>
        <v>0</v>
      </c>
    </row>
    <row r="217" spans="1:10" ht="20" x14ac:dyDescent="0.25">
      <c r="A217" s="402"/>
      <c r="B217" s="329" t="s">
        <v>525</v>
      </c>
      <c r="C217" s="271"/>
      <c r="D217" s="311" t="s">
        <v>463</v>
      </c>
      <c r="E217" s="311" t="s">
        <v>488</v>
      </c>
      <c r="F217" s="271" t="s">
        <v>524</v>
      </c>
      <c r="G217" s="271"/>
      <c r="H217" s="269">
        <f>H218</f>
        <v>4900</v>
      </c>
      <c r="I217" s="529">
        <f t="shared" si="17"/>
        <v>0</v>
      </c>
      <c r="J217" s="270">
        <f t="shared" si="17"/>
        <v>0</v>
      </c>
    </row>
    <row r="218" spans="1:10" x14ac:dyDescent="0.25">
      <c r="A218" s="402"/>
      <c r="B218" s="284" t="s">
        <v>481</v>
      </c>
      <c r="C218" s="311"/>
      <c r="D218" s="311" t="s">
        <v>463</v>
      </c>
      <c r="E218" s="311" t="s">
        <v>488</v>
      </c>
      <c r="F218" s="271" t="s">
        <v>524</v>
      </c>
      <c r="G218" s="271" t="s">
        <v>26</v>
      </c>
      <c r="H218" s="269">
        <v>4900</v>
      </c>
      <c r="I218" s="529"/>
      <c r="J218" s="269"/>
    </row>
    <row r="219" spans="1:10" ht="20" hidden="1" x14ac:dyDescent="0.25">
      <c r="A219" s="402"/>
      <c r="B219" s="284" t="s">
        <v>454</v>
      </c>
      <c r="C219" s="271"/>
      <c r="D219" s="311" t="s">
        <v>463</v>
      </c>
      <c r="E219" s="311" t="s">
        <v>488</v>
      </c>
      <c r="F219" s="311" t="s">
        <v>522</v>
      </c>
      <c r="G219" s="271" t="s">
        <v>1</v>
      </c>
      <c r="H219" s="269"/>
      <c r="I219" s="529"/>
      <c r="J219" s="269"/>
    </row>
    <row r="220" spans="1:10" ht="20" hidden="1" x14ac:dyDescent="0.25">
      <c r="A220" s="402"/>
      <c r="B220" s="284" t="s">
        <v>523</v>
      </c>
      <c r="C220" s="271"/>
      <c r="D220" s="311" t="s">
        <v>463</v>
      </c>
      <c r="E220" s="311" t="s">
        <v>488</v>
      </c>
      <c r="F220" s="311" t="s">
        <v>522</v>
      </c>
      <c r="G220" s="271" t="s">
        <v>521</v>
      </c>
      <c r="H220" s="269"/>
      <c r="I220" s="529"/>
      <c r="J220" s="269"/>
    </row>
    <row r="221" spans="1:10" x14ac:dyDescent="0.25">
      <c r="A221" s="401"/>
      <c r="B221" s="326" t="s">
        <v>34</v>
      </c>
      <c r="C221" s="316"/>
      <c r="D221" s="316" t="s">
        <v>463</v>
      </c>
      <c r="E221" s="316" t="s">
        <v>495</v>
      </c>
      <c r="F221" s="316"/>
      <c r="G221" s="316"/>
      <c r="H221" s="855">
        <f>H222+H228</f>
        <v>28849.945999999996</v>
      </c>
      <c r="I221" s="853">
        <f>I222+I228</f>
        <v>36018.875</v>
      </c>
      <c r="J221" s="400">
        <f>J222+J228</f>
        <v>34504.17</v>
      </c>
    </row>
    <row r="222" spans="1:10" ht="30" x14ac:dyDescent="0.25">
      <c r="A222" s="273"/>
      <c r="B222" s="765" t="s">
        <v>620</v>
      </c>
      <c r="C222" s="271"/>
      <c r="D222" s="271" t="s">
        <v>463</v>
      </c>
      <c r="E222" s="271" t="s">
        <v>495</v>
      </c>
      <c r="F222" s="271" t="s">
        <v>189</v>
      </c>
      <c r="G222" s="271"/>
      <c r="H222" s="269">
        <f>H223</f>
        <v>28849.945999999996</v>
      </c>
      <c r="I222" s="529">
        <f>I223</f>
        <v>32518.875</v>
      </c>
      <c r="J222" s="270">
        <f>J223</f>
        <v>31004.17</v>
      </c>
    </row>
    <row r="223" spans="1:10" ht="30" x14ac:dyDescent="0.25">
      <c r="A223" s="281"/>
      <c r="B223" s="274" t="s">
        <v>188</v>
      </c>
      <c r="C223" s="278"/>
      <c r="D223" s="271" t="s">
        <v>463</v>
      </c>
      <c r="E223" s="271" t="s">
        <v>495</v>
      </c>
      <c r="F223" s="271" t="s">
        <v>187</v>
      </c>
      <c r="G223" s="278"/>
      <c r="H223" s="269">
        <f>H224+H226</f>
        <v>28849.945999999996</v>
      </c>
      <c r="I223" s="529">
        <f>I224+I226</f>
        <v>32518.875</v>
      </c>
      <c r="J223" s="270">
        <f>J224+J226</f>
        <v>31004.17</v>
      </c>
    </row>
    <row r="224" spans="1:10" ht="30" x14ac:dyDescent="0.25">
      <c r="A224" s="273"/>
      <c r="B224" s="310" t="s">
        <v>186</v>
      </c>
      <c r="C224" s="311"/>
      <c r="D224" s="311" t="s">
        <v>463</v>
      </c>
      <c r="E224" s="311" t="s">
        <v>495</v>
      </c>
      <c r="F224" s="311" t="s">
        <v>185</v>
      </c>
      <c r="G224" s="311"/>
      <c r="H224" s="269">
        <f>H225</f>
        <v>6219.4610000000002</v>
      </c>
      <c r="I224" s="529">
        <f>I225</f>
        <v>10043.379999999999</v>
      </c>
      <c r="J224" s="270">
        <f>J225</f>
        <v>6288.7259999999997</v>
      </c>
    </row>
    <row r="225" spans="1:11" ht="20" x14ac:dyDescent="0.25">
      <c r="A225" s="273"/>
      <c r="B225" s="284" t="s">
        <v>454</v>
      </c>
      <c r="C225" s="271"/>
      <c r="D225" s="311" t="s">
        <v>463</v>
      </c>
      <c r="E225" s="311" t="s">
        <v>495</v>
      </c>
      <c r="F225" s="311" t="s">
        <v>185</v>
      </c>
      <c r="G225" s="271" t="s">
        <v>1</v>
      </c>
      <c r="H225" s="269">
        <v>6219.4610000000002</v>
      </c>
      <c r="I225" s="529">
        <v>10043.379999999999</v>
      </c>
      <c r="J225" s="269">
        <v>6288.7259999999997</v>
      </c>
    </row>
    <row r="226" spans="1:11" ht="30" x14ac:dyDescent="0.25">
      <c r="A226" s="273"/>
      <c r="B226" s="310" t="s">
        <v>184</v>
      </c>
      <c r="C226" s="271"/>
      <c r="D226" s="311" t="s">
        <v>463</v>
      </c>
      <c r="E226" s="311" t="s">
        <v>495</v>
      </c>
      <c r="F226" s="311" t="s">
        <v>183</v>
      </c>
      <c r="G226" s="271"/>
      <c r="H226" s="269">
        <f>H227</f>
        <v>22630.484999999997</v>
      </c>
      <c r="I226" s="529">
        <f>I227</f>
        <v>22475.494999999999</v>
      </c>
      <c r="J226" s="269">
        <f>J227</f>
        <v>24715.444</v>
      </c>
    </row>
    <row r="227" spans="1:11" ht="21.75" customHeight="1" x14ac:dyDescent="0.25">
      <c r="A227" s="273"/>
      <c r="B227" s="284" t="s">
        <v>454</v>
      </c>
      <c r="C227" s="271"/>
      <c r="D227" s="311" t="s">
        <v>463</v>
      </c>
      <c r="E227" s="311" t="s">
        <v>495</v>
      </c>
      <c r="F227" s="311" t="s">
        <v>183</v>
      </c>
      <c r="G227" s="271" t="s">
        <v>1</v>
      </c>
      <c r="H227" s="269">
        <f>21991.152+639.333</f>
        <v>22630.484999999997</v>
      </c>
      <c r="I227" s="529">
        <v>22475.494999999999</v>
      </c>
      <c r="J227" s="269">
        <v>24715.444</v>
      </c>
      <c r="K227" s="1032"/>
    </row>
    <row r="228" spans="1:11" ht="42" hidden="1" x14ac:dyDescent="0.25">
      <c r="A228" s="281"/>
      <c r="B228" s="323" t="s">
        <v>176</v>
      </c>
      <c r="C228" s="278"/>
      <c r="D228" s="278" t="s">
        <v>463</v>
      </c>
      <c r="E228" s="278" t="s">
        <v>495</v>
      </c>
      <c r="F228" s="278" t="s">
        <v>175</v>
      </c>
      <c r="G228" s="278"/>
      <c r="H228" s="276">
        <f>H229+H233</f>
        <v>0</v>
      </c>
      <c r="I228" s="841">
        <f>I229+I233</f>
        <v>3500</v>
      </c>
      <c r="J228" s="276">
        <f>J229+J233</f>
        <v>3500</v>
      </c>
    </row>
    <row r="229" spans="1:11" ht="30" hidden="1" x14ac:dyDescent="0.25">
      <c r="A229" s="322"/>
      <c r="B229" s="274" t="s">
        <v>174</v>
      </c>
      <c r="C229" s="311"/>
      <c r="D229" s="311" t="s">
        <v>463</v>
      </c>
      <c r="E229" s="311" t="s">
        <v>495</v>
      </c>
      <c r="F229" s="311" t="s">
        <v>173</v>
      </c>
      <c r="G229" s="311"/>
      <c r="H229" s="269">
        <f>H231</f>
        <v>0</v>
      </c>
      <c r="I229" s="529">
        <f t="shared" ref="H229:J231" si="18">I230</f>
        <v>3500</v>
      </c>
      <c r="J229" s="269">
        <f t="shared" si="18"/>
        <v>3500</v>
      </c>
    </row>
    <row r="230" spans="1:11" hidden="1" x14ac:dyDescent="0.25">
      <c r="A230" s="281"/>
      <c r="B230" s="319" t="s">
        <v>520</v>
      </c>
      <c r="C230" s="278"/>
      <c r="D230" s="271" t="s">
        <v>463</v>
      </c>
      <c r="E230" s="271" t="s">
        <v>495</v>
      </c>
      <c r="F230" s="311" t="s">
        <v>173</v>
      </c>
      <c r="G230" s="278"/>
      <c r="H230" s="269">
        <f t="shared" si="18"/>
        <v>0</v>
      </c>
      <c r="I230" s="529">
        <f t="shared" si="18"/>
        <v>3500</v>
      </c>
      <c r="J230" s="269">
        <f t="shared" si="18"/>
        <v>3500</v>
      </c>
    </row>
    <row r="231" spans="1:11" hidden="1" x14ac:dyDescent="0.25">
      <c r="A231" s="322"/>
      <c r="B231" s="405" t="s">
        <v>172</v>
      </c>
      <c r="C231" s="311"/>
      <c r="D231" s="311" t="s">
        <v>463</v>
      </c>
      <c r="E231" s="311" t="s">
        <v>495</v>
      </c>
      <c r="F231" s="311" t="s">
        <v>159</v>
      </c>
      <c r="G231" s="311"/>
      <c r="H231" s="269">
        <f t="shared" si="18"/>
        <v>0</v>
      </c>
      <c r="I231" s="529">
        <f t="shared" si="18"/>
        <v>3500</v>
      </c>
      <c r="J231" s="269">
        <f t="shared" si="18"/>
        <v>3500</v>
      </c>
    </row>
    <row r="232" spans="1:11" ht="20" hidden="1" x14ac:dyDescent="0.25">
      <c r="A232" s="401"/>
      <c r="B232" s="284" t="s">
        <v>454</v>
      </c>
      <c r="C232" s="271"/>
      <c r="D232" s="311" t="s">
        <v>463</v>
      </c>
      <c r="E232" s="311" t="s">
        <v>495</v>
      </c>
      <c r="F232" s="311" t="s">
        <v>159</v>
      </c>
      <c r="G232" s="271" t="s">
        <v>1</v>
      </c>
      <c r="H232" s="269">
        <v>0</v>
      </c>
      <c r="I232" s="529">
        <v>3500</v>
      </c>
      <c r="J232" s="269">
        <v>3500</v>
      </c>
    </row>
    <row r="233" spans="1:11" ht="20" hidden="1" x14ac:dyDescent="0.25">
      <c r="A233" s="320"/>
      <c r="B233" s="319" t="s">
        <v>519</v>
      </c>
      <c r="C233" s="311"/>
      <c r="D233" s="311" t="s">
        <v>463</v>
      </c>
      <c r="E233" s="311" t="s">
        <v>495</v>
      </c>
      <c r="F233" s="311" t="s">
        <v>518</v>
      </c>
      <c r="G233" s="311"/>
      <c r="H233" s="269">
        <f>H234+H239</f>
        <v>0</v>
      </c>
      <c r="I233" s="529">
        <f>I234+I239</f>
        <v>0</v>
      </c>
      <c r="J233" s="269">
        <f>J234+J239</f>
        <v>0</v>
      </c>
    </row>
    <row r="234" spans="1:11" ht="30" hidden="1" x14ac:dyDescent="0.25">
      <c r="A234" s="320"/>
      <c r="B234" s="319" t="s">
        <v>517</v>
      </c>
      <c r="C234" s="311"/>
      <c r="D234" s="311" t="s">
        <v>463</v>
      </c>
      <c r="E234" s="311" t="s">
        <v>495</v>
      </c>
      <c r="F234" s="311" t="s">
        <v>516</v>
      </c>
      <c r="G234" s="311"/>
      <c r="H234" s="269">
        <f>H235+H237</f>
        <v>0</v>
      </c>
      <c r="I234" s="529">
        <f>I235+I237</f>
        <v>0</v>
      </c>
      <c r="J234" s="269">
        <f>J235+J237</f>
        <v>0</v>
      </c>
    </row>
    <row r="235" spans="1:11" ht="20" hidden="1" x14ac:dyDescent="0.25">
      <c r="A235" s="401"/>
      <c r="B235" s="285" t="s">
        <v>515</v>
      </c>
      <c r="C235" s="311"/>
      <c r="D235" s="311" t="s">
        <v>463</v>
      </c>
      <c r="E235" s="311" t="s">
        <v>495</v>
      </c>
      <c r="F235" s="311" t="s">
        <v>514</v>
      </c>
      <c r="G235" s="311"/>
      <c r="H235" s="269">
        <f>H236</f>
        <v>0</v>
      </c>
      <c r="I235" s="529">
        <f>I236</f>
        <v>0</v>
      </c>
      <c r="J235" s="269">
        <f>J236</f>
        <v>0</v>
      </c>
    </row>
    <row r="236" spans="1:11" ht="20" hidden="1" x14ac:dyDescent="0.25">
      <c r="A236" s="401"/>
      <c r="B236" s="284" t="s">
        <v>454</v>
      </c>
      <c r="C236" s="271"/>
      <c r="D236" s="311" t="s">
        <v>463</v>
      </c>
      <c r="E236" s="311" t="s">
        <v>495</v>
      </c>
      <c r="F236" s="311" t="s">
        <v>514</v>
      </c>
      <c r="G236" s="271" t="s">
        <v>1</v>
      </c>
      <c r="H236" s="269"/>
      <c r="I236" s="529"/>
      <c r="J236" s="269"/>
    </row>
    <row r="237" spans="1:11" ht="20" hidden="1" x14ac:dyDescent="0.25">
      <c r="A237" s="401"/>
      <c r="B237" s="285" t="s">
        <v>513</v>
      </c>
      <c r="C237" s="311"/>
      <c r="D237" s="311" t="s">
        <v>463</v>
      </c>
      <c r="E237" s="311" t="s">
        <v>495</v>
      </c>
      <c r="F237" s="311" t="s">
        <v>512</v>
      </c>
      <c r="G237" s="311"/>
      <c r="H237" s="269">
        <f>H238</f>
        <v>0</v>
      </c>
      <c r="I237" s="529">
        <f>I238</f>
        <v>0</v>
      </c>
      <c r="J237" s="269">
        <f>J238</f>
        <v>0</v>
      </c>
    </row>
    <row r="238" spans="1:11" ht="20" hidden="1" x14ac:dyDescent="0.25">
      <c r="A238" s="401"/>
      <c r="B238" s="284" t="s">
        <v>454</v>
      </c>
      <c r="C238" s="271"/>
      <c r="D238" s="311" t="s">
        <v>463</v>
      </c>
      <c r="E238" s="311" t="s">
        <v>495</v>
      </c>
      <c r="F238" s="311" t="s">
        <v>512</v>
      </c>
      <c r="G238" s="271" t="s">
        <v>1</v>
      </c>
      <c r="H238" s="269"/>
      <c r="I238" s="529"/>
      <c r="J238" s="269"/>
    </row>
    <row r="239" spans="1:11" ht="20" hidden="1" x14ac:dyDescent="0.25">
      <c r="A239" s="273"/>
      <c r="B239" s="317" t="s">
        <v>511</v>
      </c>
      <c r="C239" s="316"/>
      <c r="D239" s="315" t="s">
        <v>463</v>
      </c>
      <c r="E239" s="315" t="s">
        <v>495</v>
      </c>
      <c r="F239" s="315" t="s">
        <v>510</v>
      </c>
      <c r="G239" s="315"/>
      <c r="H239" s="406">
        <f>H240+H244</f>
        <v>0</v>
      </c>
      <c r="I239" s="854">
        <f>I240+I244</f>
        <v>0</v>
      </c>
      <c r="J239" s="406">
        <f>J240+J244</f>
        <v>0</v>
      </c>
    </row>
    <row r="240" spans="1:11" hidden="1" x14ac:dyDescent="0.25">
      <c r="A240" s="281"/>
      <c r="B240" s="312" t="s">
        <v>351</v>
      </c>
      <c r="C240" s="311"/>
      <c r="D240" s="311" t="s">
        <v>463</v>
      </c>
      <c r="E240" s="311" t="s">
        <v>495</v>
      </c>
      <c r="F240" s="311" t="s">
        <v>508</v>
      </c>
      <c r="G240" s="311"/>
      <c r="H240" s="269">
        <f>H241+H242+H243</f>
        <v>0</v>
      </c>
      <c r="I240" s="529">
        <f>I241+I242+I243</f>
        <v>0</v>
      </c>
      <c r="J240" s="269">
        <f>J241+J242+J243</f>
        <v>0</v>
      </c>
    </row>
    <row r="241" spans="1:14" hidden="1" x14ac:dyDescent="0.25">
      <c r="A241" s="273"/>
      <c r="B241" s="284" t="s">
        <v>458</v>
      </c>
      <c r="C241" s="271"/>
      <c r="D241" s="311" t="s">
        <v>463</v>
      </c>
      <c r="E241" s="311" t="s">
        <v>495</v>
      </c>
      <c r="F241" s="311" t="s">
        <v>508</v>
      </c>
      <c r="G241" s="271" t="s">
        <v>255</v>
      </c>
      <c r="H241" s="269"/>
      <c r="I241" s="529"/>
      <c r="J241" s="269"/>
    </row>
    <row r="242" spans="1:14" ht="20" hidden="1" x14ac:dyDescent="0.25">
      <c r="A242" s="273"/>
      <c r="B242" s="284" t="s">
        <v>454</v>
      </c>
      <c r="C242" s="271"/>
      <c r="D242" s="311" t="s">
        <v>463</v>
      </c>
      <c r="E242" s="311" t="s">
        <v>495</v>
      </c>
      <c r="F242" s="311" t="s">
        <v>508</v>
      </c>
      <c r="G242" s="271" t="s">
        <v>1</v>
      </c>
      <c r="H242" s="269"/>
      <c r="I242" s="529"/>
      <c r="J242" s="269"/>
    </row>
    <row r="243" spans="1:14" hidden="1" x14ac:dyDescent="0.25">
      <c r="A243" s="273"/>
      <c r="B243" s="284" t="s">
        <v>457</v>
      </c>
      <c r="C243" s="271"/>
      <c r="D243" s="311" t="s">
        <v>463</v>
      </c>
      <c r="E243" s="311" t="s">
        <v>495</v>
      </c>
      <c r="F243" s="311" t="s">
        <v>508</v>
      </c>
      <c r="G243" s="271" t="s">
        <v>91</v>
      </c>
      <c r="H243" s="269"/>
      <c r="I243" s="529"/>
      <c r="J243" s="269"/>
    </row>
    <row r="244" spans="1:14" ht="20" hidden="1" x14ac:dyDescent="0.25">
      <c r="A244" s="281"/>
      <c r="B244" s="272" t="s">
        <v>509</v>
      </c>
      <c r="C244" s="311"/>
      <c r="D244" s="311" t="s">
        <v>463</v>
      </c>
      <c r="E244" s="311" t="s">
        <v>495</v>
      </c>
      <c r="F244" s="311" t="s">
        <v>508</v>
      </c>
      <c r="G244" s="311"/>
      <c r="H244" s="269">
        <f>H245</f>
        <v>0</v>
      </c>
      <c r="I244" s="529">
        <f>I245</f>
        <v>0</v>
      </c>
      <c r="J244" s="269">
        <f>J245</f>
        <v>0</v>
      </c>
    </row>
    <row r="245" spans="1:14" ht="20" hidden="1" x14ac:dyDescent="0.25">
      <c r="A245" s="273"/>
      <c r="B245" s="284" t="s">
        <v>454</v>
      </c>
      <c r="C245" s="271"/>
      <c r="D245" s="311" t="s">
        <v>463</v>
      </c>
      <c r="E245" s="311" t="s">
        <v>495</v>
      </c>
      <c r="F245" s="311" t="s">
        <v>508</v>
      </c>
      <c r="G245" s="271" t="s">
        <v>1</v>
      </c>
      <c r="H245" s="269"/>
      <c r="I245" s="529"/>
      <c r="J245" s="269"/>
    </row>
    <row r="246" spans="1:14" x14ac:dyDescent="0.25">
      <c r="A246" s="273"/>
      <c r="B246" s="282" t="s">
        <v>348</v>
      </c>
      <c r="C246" s="279"/>
      <c r="D246" s="278" t="s">
        <v>506</v>
      </c>
      <c r="E246" s="278" t="s">
        <v>459</v>
      </c>
      <c r="F246" s="278"/>
      <c r="G246" s="278"/>
      <c r="H246" s="276">
        <f t="shared" ref="H246:J248" si="19">H247</f>
        <v>337</v>
      </c>
      <c r="I246" s="841">
        <f t="shared" si="19"/>
        <v>302</v>
      </c>
      <c r="J246" s="276">
        <f t="shared" si="19"/>
        <v>337</v>
      </c>
    </row>
    <row r="247" spans="1:14" x14ac:dyDescent="0.25">
      <c r="A247" s="281"/>
      <c r="B247" s="282" t="s">
        <v>264</v>
      </c>
      <c r="C247" s="279"/>
      <c r="D247" s="278" t="s">
        <v>506</v>
      </c>
      <c r="E247" s="278" t="s">
        <v>506</v>
      </c>
      <c r="F247" s="278"/>
      <c r="G247" s="278"/>
      <c r="H247" s="276">
        <f t="shared" si="19"/>
        <v>337</v>
      </c>
      <c r="I247" s="841">
        <f t="shared" si="19"/>
        <v>302</v>
      </c>
      <c r="J247" s="276">
        <f t="shared" si="19"/>
        <v>337</v>
      </c>
    </row>
    <row r="248" spans="1:14" ht="30" x14ac:dyDescent="0.25">
      <c r="A248" s="273"/>
      <c r="B248" s="310" t="s">
        <v>621</v>
      </c>
      <c r="C248" s="272"/>
      <c r="D248" s="271" t="s">
        <v>506</v>
      </c>
      <c r="E248" s="271" t="s">
        <v>506</v>
      </c>
      <c r="F248" s="271" t="s">
        <v>273</v>
      </c>
      <c r="G248" s="271"/>
      <c r="H248" s="269">
        <f t="shared" si="19"/>
        <v>337</v>
      </c>
      <c r="I248" s="529">
        <f t="shared" si="19"/>
        <v>302</v>
      </c>
      <c r="J248" s="269">
        <f t="shared" si="19"/>
        <v>337</v>
      </c>
    </row>
    <row r="249" spans="1:14" ht="20" x14ac:dyDescent="0.25">
      <c r="A249" s="273"/>
      <c r="B249" s="310" t="s">
        <v>272</v>
      </c>
      <c r="C249" s="272"/>
      <c r="D249" s="271" t="s">
        <v>506</v>
      </c>
      <c r="E249" s="271" t="s">
        <v>506</v>
      </c>
      <c r="F249" s="271" t="s">
        <v>271</v>
      </c>
      <c r="G249" s="271"/>
      <c r="H249" s="269">
        <f>H250+H253</f>
        <v>337</v>
      </c>
      <c r="I249" s="529">
        <f>I250+I253</f>
        <v>302</v>
      </c>
      <c r="J249" s="269">
        <f>J250+J253</f>
        <v>337</v>
      </c>
    </row>
    <row r="250" spans="1:14" ht="40" hidden="1" x14ac:dyDescent="0.25">
      <c r="A250" s="273"/>
      <c r="B250" s="310" t="s">
        <v>270</v>
      </c>
      <c r="C250" s="272"/>
      <c r="D250" s="271" t="s">
        <v>506</v>
      </c>
      <c r="E250" s="271" t="s">
        <v>506</v>
      </c>
      <c r="F250" s="271" t="s">
        <v>267</v>
      </c>
      <c r="G250" s="271"/>
      <c r="H250" s="269">
        <f t="shared" ref="H250:J251" si="20">H251</f>
        <v>0</v>
      </c>
      <c r="I250" s="529">
        <f t="shared" si="20"/>
        <v>0</v>
      </c>
      <c r="J250" s="269">
        <f t="shared" si="20"/>
        <v>0</v>
      </c>
    </row>
    <row r="251" spans="1:14" ht="20" hidden="1" x14ac:dyDescent="0.25">
      <c r="A251" s="305"/>
      <c r="B251" s="309" t="s">
        <v>4</v>
      </c>
      <c r="C251" s="272"/>
      <c r="D251" s="271" t="s">
        <v>506</v>
      </c>
      <c r="E251" s="271" t="s">
        <v>506</v>
      </c>
      <c r="F251" s="271" t="s">
        <v>507</v>
      </c>
      <c r="G251" s="271"/>
      <c r="H251" s="269">
        <f t="shared" si="20"/>
        <v>0</v>
      </c>
      <c r="I251" s="529">
        <f t="shared" si="20"/>
        <v>0</v>
      </c>
      <c r="J251" s="269">
        <f t="shared" si="20"/>
        <v>0</v>
      </c>
    </row>
    <row r="252" spans="1:14" ht="20" hidden="1" x14ac:dyDescent="0.25">
      <c r="A252" s="305"/>
      <c r="B252" s="274" t="s">
        <v>268</v>
      </c>
      <c r="C252" s="283"/>
      <c r="D252" s="271" t="s">
        <v>506</v>
      </c>
      <c r="E252" s="271" t="s">
        <v>506</v>
      </c>
      <c r="F252" s="271" t="s">
        <v>507</v>
      </c>
      <c r="G252" s="271" t="s">
        <v>1</v>
      </c>
      <c r="H252" s="269"/>
      <c r="I252" s="529"/>
      <c r="J252" s="269"/>
    </row>
    <row r="253" spans="1:14" ht="20" x14ac:dyDescent="0.25">
      <c r="A253" s="305"/>
      <c r="B253" s="285" t="s">
        <v>268</v>
      </c>
      <c r="C253" s="283"/>
      <c r="D253" s="271" t="s">
        <v>506</v>
      </c>
      <c r="E253" s="271" t="s">
        <v>506</v>
      </c>
      <c r="F253" s="271" t="s">
        <v>267</v>
      </c>
      <c r="G253" s="271"/>
      <c r="H253" s="269">
        <f t="shared" ref="H253:J254" si="21">H254</f>
        <v>337</v>
      </c>
      <c r="I253" s="529">
        <f t="shared" si="21"/>
        <v>302</v>
      </c>
      <c r="J253" s="269">
        <f t="shared" si="21"/>
        <v>337</v>
      </c>
    </row>
    <row r="254" spans="1:14" ht="26" x14ac:dyDescent="0.25">
      <c r="A254" s="273"/>
      <c r="B254" s="90" t="s">
        <v>266</v>
      </c>
      <c r="C254" s="272"/>
      <c r="D254" s="271" t="s">
        <v>506</v>
      </c>
      <c r="E254" s="271" t="s">
        <v>506</v>
      </c>
      <c r="F254" s="271" t="s">
        <v>263</v>
      </c>
      <c r="G254" s="271"/>
      <c r="H254" s="269">
        <f t="shared" si="21"/>
        <v>337</v>
      </c>
      <c r="I254" s="529">
        <f t="shared" si="21"/>
        <v>302</v>
      </c>
      <c r="J254" s="269">
        <f t="shared" si="21"/>
        <v>337</v>
      </c>
    </row>
    <row r="255" spans="1:14" ht="20" x14ac:dyDescent="0.25">
      <c r="A255" s="273"/>
      <c r="B255" s="303" t="s">
        <v>454</v>
      </c>
      <c r="C255" s="283"/>
      <c r="D255" s="271" t="s">
        <v>506</v>
      </c>
      <c r="E255" s="271" t="s">
        <v>506</v>
      </c>
      <c r="F255" s="271" t="s">
        <v>263</v>
      </c>
      <c r="G255" s="271" t="s">
        <v>1</v>
      </c>
      <c r="H255" s="269">
        <v>337</v>
      </c>
      <c r="I255" s="529">
        <v>302</v>
      </c>
      <c r="J255" s="269">
        <v>337</v>
      </c>
    </row>
    <row r="256" spans="1:14" s="760" customFormat="1" ht="13" x14ac:dyDescent="0.3">
      <c r="A256" s="281"/>
      <c r="B256" s="856" t="s">
        <v>460</v>
      </c>
      <c r="C256" s="278"/>
      <c r="D256" s="278" t="s">
        <v>453</v>
      </c>
      <c r="E256" s="278" t="s">
        <v>459</v>
      </c>
      <c r="F256" s="278"/>
      <c r="G256" s="278"/>
      <c r="H256" s="276">
        <f>H258+H265+H270</f>
        <v>10330.763999999999</v>
      </c>
      <c r="I256" s="841"/>
      <c r="J256" s="276"/>
      <c r="N256" s="761"/>
    </row>
    <row r="257" spans="1:14" x14ac:dyDescent="0.25">
      <c r="A257" s="273"/>
      <c r="B257" s="290" t="s">
        <v>87</v>
      </c>
      <c r="C257" s="279"/>
      <c r="D257" s="278" t="s">
        <v>453</v>
      </c>
      <c r="E257" s="278" t="s">
        <v>456</v>
      </c>
      <c r="F257" s="278"/>
      <c r="G257" s="278"/>
      <c r="H257" s="276">
        <f>H258</f>
        <v>8391.7639999999992</v>
      </c>
      <c r="I257" s="841">
        <f>I258+I266</f>
        <v>0</v>
      </c>
      <c r="J257" s="276">
        <f>J258+J266</f>
        <v>0</v>
      </c>
    </row>
    <row r="258" spans="1:14" ht="31.5" x14ac:dyDescent="0.25">
      <c r="A258" s="273"/>
      <c r="B258" s="282" t="s">
        <v>621</v>
      </c>
      <c r="C258" s="279"/>
      <c r="D258" s="278" t="s">
        <v>453</v>
      </c>
      <c r="E258" s="278" t="s">
        <v>456</v>
      </c>
      <c r="F258" s="278" t="s">
        <v>273</v>
      </c>
      <c r="G258" s="278"/>
      <c r="H258" s="276">
        <f>H259</f>
        <v>8391.7639999999992</v>
      </c>
      <c r="I258" s="841">
        <f t="shared" ref="I258:J261" si="22">I259</f>
        <v>0</v>
      </c>
      <c r="J258" s="276">
        <f t="shared" si="22"/>
        <v>0</v>
      </c>
    </row>
    <row r="259" spans="1:14" ht="30" x14ac:dyDescent="0.25">
      <c r="A259" s="273"/>
      <c r="B259" s="310" t="s">
        <v>261</v>
      </c>
      <c r="C259" s="272"/>
      <c r="D259" s="271" t="s">
        <v>453</v>
      </c>
      <c r="E259" s="271" t="s">
        <v>456</v>
      </c>
      <c r="F259" s="271" t="s">
        <v>260</v>
      </c>
      <c r="G259" s="271"/>
      <c r="H259" s="269">
        <f>H260</f>
        <v>8391.7639999999992</v>
      </c>
      <c r="I259" s="529">
        <f t="shared" si="22"/>
        <v>0</v>
      </c>
      <c r="J259" s="269">
        <f t="shared" si="22"/>
        <v>0</v>
      </c>
    </row>
    <row r="260" spans="1:14" x14ac:dyDescent="0.25">
      <c r="A260" s="281"/>
      <c r="B260" s="310" t="s">
        <v>259</v>
      </c>
      <c r="C260" s="272"/>
      <c r="D260" s="271" t="s">
        <v>453</v>
      </c>
      <c r="E260" s="271" t="s">
        <v>456</v>
      </c>
      <c r="F260" s="271" t="s">
        <v>258</v>
      </c>
      <c r="G260" s="271"/>
      <c r="H260" s="269">
        <f>H261</f>
        <v>8391.7639999999992</v>
      </c>
      <c r="I260" s="529">
        <f t="shared" si="22"/>
        <v>0</v>
      </c>
      <c r="J260" s="269">
        <f t="shared" si="22"/>
        <v>0</v>
      </c>
    </row>
    <row r="261" spans="1:14" x14ac:dyDescent="0.25">
      <c r="A261" s="281"/>
      <c r="B261" s="274" t="s">
        <v>351</v>
      </c>
      <c r="C261" s="272"/>
      <c r="D261" s="271" t="s">
        <v>453</v>
      </c>
      <c r="E261" s="271" t="s">
        <v>456</v>
      </c>
      <c r="F261" s="271" t="s">
        <v>254</v>
      </c>
      <c r="G261" s="271"/>
      <c r="H261" s="269">
        <f>H262+H263+H264</f>
        <v>8391.7639999999992</v>
      </c>
      <c r="I261" s="529">
        <f t="shared" si="22"/>
        <v>0</v>
      </c>
      <c r="J261" s="269">
        <f t="shared" si="22"/>
        <v>0</v>
      </c>
    </row>
    <row r="262" spans="1:14" x14ac:dyDescent="0.25">
      <c r="A262" s="281"/>
      <c r="B262" s="285" t="s">
        <v>840</v>
      </c>
      <c r="C262" s="272"/>
      <c r="D262" s="271" t="s">
        <v>453</v>
      </c>
      <c r="E262" s="271" t="s">
        <v>456</v>
      </c>
      <c r="F262" s="271" t="s">
        <v>254</v>
      </c>
      <c r="G262" s="271" t="s">
        <v>255</v>
      </c>
      <c r="H262" s="269">
        <v>5705.2879999999996</v>
      </c>
      <c r="I262" s="529">
        <f>I263+I264+I265</f>
        <v>0</v>
      </c>
      <c r="J262" s="269">
        <f>J263+J264+J265</f>
        <v>0</v>
      </c>
    </row>
    <row r="263" spans="1:14" ht="20" x14ac:dyDescent="0.25">
      <c r="A263" s="273"/>
      <c r="B263" s="284" t="s">
        <v>454</v>
      </c>
      <c r="C263" s="283"/>
      <c r="D263" s="271" t="s">
        <v>453</v>
      </c>
      <c r="E263" s="271" t="s">
        <v>456</v>
      </c>
      <c r="F263" s="271" t="s">
        <v>254</v>
      </c>
      <c r="G263" s="271" t="s">
        <v>1</v>
      </c>
      <c r="H263" s="269">
        <f>1764.187+200+421.576+300</f>
        <v>2685.7629999999999</v>
      </c>
      <c r="I263" s="529"/>
      <c r="J263" s="269"/>
      <c r="K263" s="1031"/>
    </row>
    <row r="264" spans="1:14" x14ac:dyDescent="0.25">
      <c r="A264" s="273"/>
      <c r="B264" s="284" t="s">
        <v>457</v>
      </c>
      <c r="C264" s="283"/>
      <c r="D264" s="271" t="s">
        <v>453</v>
      </c>
      <c r="E264" s="271" t="s">
        <v>456</v>
      </c>
      <c r="F264" s="271" t="s">
        <v>254</v>
      </c>
      <c r="G264" s="271" t="s">
        <v>91</v>
      </c>
      <c r="H264" s="269">
        <v>0.71299999999999997</v>
      </c>
      <c r="I264" s="529"/>
      <c r="J264" s="269"/>
    </row>
    <row r="265" spans="1:14" s="760" customFormat="1" ht="31.5" x14ac:dyDescent="0.3">
      <c r="A265" s="281"/>
      <c r="B265" s="888" t="s">
        <v>499</v>
      </c>
      <c r="C265" s="758"/>
      <c r="D265" s="278" t="s">
        <v>453</v>
      </c>
      <c r="E265" s="278" t="s">
        <v>456</v>
      </c>
      <c r="F265" s="278" t="s">
        <v>89</v>
      </c>
      <c r="G265" s="278"/>
      <c r="H265" s="276">
        <f>H266</f>
        <v>851</v>
      </c>
      <c r="I265" s="841"/>
      <c r="J265" s="276"/>
      <c r="K265" s="1"/>
      <c r="N265" s="761"/>
    </row>
    <row r="266" spans="1:14" x14ac:dyDescent="0.25">
      <c r="A266" s="273"/>
      <c r="B266" s="285" t="s">
        <v>109</v>
      </c>
      <c r="C266" s="272"/>
      <c r="D266" s="271" t="s">
        <v>453</v>
      </c>
      <c r="E266" s="271" t="s">
        <v>456</v>
      </c>
      <c r="F266" s="271" t="s">
        <v>84</v>
      </c>
      <c r="G266" s="271"/>
      <c r="H266" s="269">
        <f>H267</f>
        <v>851</v>
      </c>
      <c r="I266" s="529">
        <f t="shared" ref="I266:J267" si="23">I267</f>
        <v>0</v>
      </c>
      <c r="J266" s="269">
        <f t="shared" si="23"/>
        <v>0</v>
      </c>
    </row>
    <row r="267" spans="1:14" x14ac:dyDescent="0.25">
      <c r="A267" s="273"/>
      <c r="B267" s="310" t="s">
        <v>109</v>
      </c>
      <c r="C267" s="272"/>
      <c r="D267" s="271" t="s">
        <v>453</v>
      </c>
      <c r="E267" s="271" t="s">
        <v>456</v>
      </c>
      <c r="F267" s="271" t="s">
        <v>82</v>
      </c>
      <c r="G267" s="271"/>
      <c r="H267" s="269">
        <f>H268</f>
        <v>851</v>
      </c>
      <c r="I267" s="529">
        <f t="shared" si="23"/>
        <v>0</v>
      </c>
      <c r="J267" s="269">
        <f t="shared" si="23"/>
        <v>0</v>
      </c>
    </row>
    <row r="268" spans="1:14" x14ac:dyDescent="0.25">
      <c r="A268" s="273"/>
      <c r="B268" s="310" t="s">
        <v>830</v>
      </c>
      <c r="C268" s="272"/>
      <c r="D268" s="271" t="s">
        <v>453</v>
      </c>
      <c r="E268" s="271" t="s">
        <v>456</v>
      </c>
      <c r="F268" s="271" t="s">
        <v>831</v>
      </c>
      <c r="G268" s="271"/>
      <c r="H268" s="269">
        <f>H269</f>
        <v>851</v>
      </c>
      <c r="I268" s="529">
        <f>I269+I272</f>
        <v>0</v>
      </c>
      <c r="J268" s="269">
        <f>J269+J272</f>
        <v>0</v>
      </c>
    </row>
    <row r="269" spans="1:14" x14ac:dyDescent="0.25">
      <c r="A269" s="273"/>
      <c r="B269" s="274" t="s">
        <v>841</v>
      </c>
      <c r="C269" s="272"/>
      <c r="D269" s="271" t="s">
        <v>453</v>
      </c>
      <c r="E269" s="271" t="s">
        <v>456</v>
      </c>
      <c r="F269" s="271" t="s">
        <v>831</v>
      </c>
      <c r="G269" s="271" t="s">
        <v>255</v>
      </c>
      <c r="H269" s="269">
        <v>851</v>
      </c>
      <c r="I269" s="529">
        <f t="shared" ref="I269:J270" si="24">I270</f>
        <v>0</v>
      </c>
      <c r="J269" s="269">
        <f t="shared" si="24"/>
        <v>0</v>
      </c>
    </row>
    <row r="270" spans="1:14" s="760" customFormat="1" ht="13" x14ac:dyDescent="0.3">
      <c r="A270" s="281"/>
      <c r="B270" s="126" t="s">
        <v>244</v>
      </c>
      <c r="C270" s="279"/>
      <c r="D270" s="278" t="s">
        <v>453</v>
      </c>
      <c r="E270" s="278" t="s">
        <v>452</v>
      </c>
      <c r="F270" s="278"/>
      <c r="G270" s="278"/>
      <c r="H270" s="276">
        <f>H271</f>
        <v>1088</v>
      </c>
      <c r="I270" s="841">
        <f t="shared" si="24"/>
        <v>0</v>
      </c>
      <c r="J270" s="276">
        <f t="shared" si="24"/>
        <v>0</v>
      </c>
      <c r="N270" s="761"/>
    </row>
    <row r="271" spans="1:14" ht="30" x14ac:dyDescent="0.25">
      <c r="A271" s="273"/>
      <c r="B271" s="857" t="s">
        <v>621</v>
      </c>
      <c r="C271" s="283"/>
      <c r="D271" s="271" t="s">
        <v>453</v>
      </c>
      <c r="E271" s="271" t="s">
        <v>452</v>
      </c>
      <c r="F271" s="271" t="s">
        <v>273</v>
      </c>
      <c r="G271" s="271"/>
      <c r="H271" s="269">
        <f>H272</f>
        <v>1088</v>
      </c>
      <c r="I271" s="529"/>
      <c r="J271" s="269"/>
    </row>
    <row r="272" spans="1:14" x14ac:dyDescent="0.25">
      <c r="A272" s="273"/>
      <c r="B272" s="285" t="s">
        <v>836</v>
      </c>
      <c r="C272" s="283"/>
      <c r="D272" s="271" t="s">
        <v>453</v>
      </c>
      <c r="E272" s="271" t="s">
        <v>452</v>
      </c>
      <c r="F272" s="271" t="s">
        <v>251</v>
      </c>
      <c r="G272" s="271"/>
      <c r="H272" s="269">
        <f>H273</f>
        <v>1088</v>
      </c>
      <c r="I272" s="529">
        <f>I273+I275</f>
        <v>0</v>
      </c>
      <c r="J272" s="269">
        <f>J273+J275</f>
        <v>0</v>
      </c>
    </row>
    <row r="273" spans="1:10" x14ac:dyDescent="0.25">
      <c r="A273" s="273"/>
      <c r="B273" s="285" t="s">
        <v>250</v>
      </c>
      <c r="C273" s="272"/>
      <c r="D273" s="271" t="s">
        <v>453</v>
      </c>
      <c r="E273" s="271" t="s">
        <v>452</v>
      </c>
      <c r="F273" s="271" t="s">
        <v>249</v>
      </c>
      <c r="G273" s="271"/>
      <c r="H273" s="269">
        <f>H274</f>
        <v>1088</v>
      </c>
      <c r="I273" s="529">
        <f>I274</f>
        <v>0</v>
      </c>
      <c r="J273" s="269">
        <f>J274</f>
        <v>0</v>
      </c>
    </row>
    <row r="274" spans="1:10" x14ac:dyDescent="0.25">
      <c r="A274" s="273"/>
      <c r="B274" s="284" t="s">
        <v>248</v>
      </c>
      <c r="C274" s="283"/>
      <c r="D274" s="271" t="s">
        <v>453</v>
      </c>
      <c r="E274" s="271" t="s">
        <v>452</v>
      </c>
      <c r="F274" s="271" t="s">
        <v>243</v>
      </c>
      <c r="G274" s="271"/>
      <c r="H274" s="269">
        <f>H275</f>
        <v>1088</v>
      </c>
      <c r="I274" s="529">
        <v>0</v>
      </c>
      <c r="J274" s="269">
        <v>0</v>
      </c>
    </row>
    <row r="275" spans="1:10" ht="20" x14ac:dyDescent="0.25">
      <c r="A275" s="273"/>
      <c r="B275" s="285" t="s">
        <v>454</v>
      </c>
      <c r="C275" s="272"/>
      <c r="D275" s="271" t="s">
        <v>453</v>
      </c>
      <c r="E275" s="271" t="s">
        <v>452</v>
      </c>
      <c r="F275" s="271" t="s">
        <v>243</v>
      </c>
      <c r="G275" s="271" t="s">
        <v>1</v>
      </c>
      <c r="H275" s="269">
        <v>1088</v>
      </c>
      <c r="I275" s="529">
        <f>I276</f>
        <v>0</v>
      </c>
      <c r="J275" s="269">
        <f>J276</f>
        <v>0</v>
      </c>
    </row>
    <row r="276" spans="1:10" ht="20" hidden="1" x14ac:dyDescent="0.25">
      <c r="A276" s="273"/>
      <c r="B276" s="284" t="s">
        <v>454</v>
      </c>
      <c r="C276" s="283"/>
      <c r="D276" s="271" t="s">
        <v>453</v>
      </c>
      <c r="E276" s="271" t="s">
        <v>452</v>
      </c>
      <c r="F276" s="271" t="s">
        <v>500</v>
      </c>
      <c r="G276" s="271" t="s">
        <v>26</v>
      </c>
      <c r="H276" s="269"/>
      <c r="I276" s="529"/>
      <c r="J276" s="269"/>
    </row>
    <row r="277" spans="1:10" x14ac:dyDescent="0.25">
      <c r="A277" s="273"/>
      <c r="B277" s="282" t="s">
        <v>334</v>
      </c>
      <c r="C277" s="279"/>
      <c r="D277" s="278" t="s">
        <v>496</v>
      </c>
      <c r="E277" s="278" t="s">
        <v>459</v>
      </c>
      <c r="F277" s="278"/>
      <c r="G277" s="278"/>
      <c r="H277" s="276">
        <f>H278+H284</f>
        <v>926.39799999999991</v>
      </c>
      <c r="I277" s="841">
        <f>I278+I284</f>
        <v>1117.1999999999998</v>
      </c>
      <c r="J277" s="277">
        <f>J278+J284</f>
        <v>1195.4000000000001</v>
      </c>
    </row>
    <row r="278" spans="1:10" x14ac:dyDescent="0.25">
      <c r="A278" s="273"/>
      <c r="B278" s="282" t="s">
        <v>79</v>
      </c>
      <c r="C278" s="279"/>
      <c r="D278" s="278" t="s">
        <v>496</v>
      </c>
      <c r="E278" s="278" t="s">
        <v>456</v>
      </c>
      <c r="F278" s="278"/>
      <c r="G278" s="278"/>
      <c r="H278" s="276">
        <f t="shared" ref="H278:J282" si="25">H279</f>
        <v>799.18499999999995</v>
      </c>
      <c r="I278" s="841">
        <f t="shared" si="25"/>
        <v>531.38</v>
      </c>
      <c r="J278" s="277">
        <f t="shared" si="25"/>
        <v>584.51300000000003</v>
      </c>
    </row>
    <row r="279" spans="1:10" ht="31.5" x14ac:dyDescent="0.25">
      <c r="A279" s="273"/>
      <c r="B279" s="282" t="s">
        <v>499</v>
      </c>
      <c r="C279" s="279"/>
      <c r="D279" s="278" t="s">
        <v>496</v>
      </c>
      <c r="E279" s="278" t="s">
        <v>456</v>
      </c>
      <c r="F279" s="278" t="s">
        <v>89</v>
      </c>
      <c r="G279" s="278"/>
      <c r="H279" s="276">
        <f t="shared" si="25"/>
        <v>799.18499999999995</v>
      </c>
      <c r="I279" s="841">
        <f t="shared" si="25"/>
        <v>531.38</v>
      </c>
      <c r="J279" s="277">
        <f t="shared" si="25"/>
        <v>584.51300000000003</v>
      </c>
    </row>
    <row r="280" spans="1:10" x14ac:dyDescent="0.25">
      <c r="A280" s="273"/>
      <c r="B280" s="285" t="s">
        <v>109</v>
      </c>
      <c r="C280" s="272"/>
      <c r="D280" s="271" t="s">
        <v>496</v>
      </c>
      <c r="E280" s="271" t="s">
        <v>456</v>
      </c>
      <c r="F280" s="271" t="s">
        <v>84</v>
      </c>
      <c r="G280" s="271"/>
      <c r="H280" s="269">
        <f t="shared" si="25"/>
        <v>799.18499999999995</v>
      </c>
      <c r="I280" s="529">
        <f t="shared" si="25"/>
        <v>531.38</v>
      </c>
      <c r="J280" s="270">
        <f t="shared" si="25"/>
        <v>584.51300000000003</v>
      </c>
    </row>
    <row r="281" spans="1:10" x14ac:dyDescent="0.25">
      <c r="A281" s="273"/>
      <c r="B281" s="285" t="s">
        <v>109</v>
      </c>
      <c r="C281" s="272"/>
      <c r="D281" s="271" t="s">
        <v>496</v>
      </c>
      <c r="E281" s="271" t="s">
        <v>456</v>
      </c>
      <c r="F281" s="271" t="s">
        <v>82</v>
      </c>
      <c r="G281" s="271"/>
      <c r="H281" s="269">
        <f t="shared" si="25"/>
        <v>799.18499999999995</v>
      </c>
      <c r="I281" s="529">
        <f t="shared" si="25"/>
        <v>531.38</v>
      </c>
      <c r="J281" s="270">
        <f t="shared" si="25"/>
        <v>584.51300000000003</v>
      </c>
    </row>
    <row r="282" spans="1:10" x14ac:dyDescent="0.25">
      <c r="A282" s="273"/>
      <c r="B282" s="285" t="s">
        <v>81</v>
      </c>
      <c r="C282" s="272"/>
      <c r="D282" s="271" t="s">
        <v>496</v>
      </c>
      <c r="E282" s="271" t="s">
        <v>456</v>
      </c>
      <c r="F282" s="271" t="s">
        <v>78</v>
      </c>
      <c r="G282" s="271"/>
      <c r="H282" s="269">
        <f t="shared" si="25"/>
        <v>799.18499999999995</v>
      </c>
      <c r="I282" s="529">
        <f t="shared" si="25"/>
        <v>531.38</v>
      </c>
      <c r="J282" s="270">
        <f t="shared" si="25"/>
        <v>584.51300000000003</v>
      </c>
    </row>
    <row r="283" spans="1:10" x14ac:dyDescent="0.25">
      <c r="A283" s="273"/>
      <c r="B283" s="308" t="s">
        <v>497</v>
      </c>
      <c r="C283" s="283"/>
      <c r="D283" s="271" t="s">
        <v>496</v>
      </c>
      <c r="E283" s="271" t="s">
        <v>456</v>
      </c>
      <c r="F283" s="271" t="s">
        <v>78</v>
      </c>
      <c r="G283" s="271" t="s">
        <v>77</v>
      </c>
      <c r="H283" s="269">
        <v>799.18499999999995</v>
      </c>
      <c r="I283" s="529">
        <v>531.38</v>
      </c>
      <c r="J283" s="269">
        <v>584.51300000000003</v>
      </c>
    </row>
    <row r="284" spans="1:10" x14ac:dyDescent="0.25">
      <c r="A284" s="273"/>
      <c r="B284" s="282" t="s">
        <v>45</v>
      </c>
      <c r="C284" s="279"/>
      <c r="D284" s="278" t="s">
        <v>496</v>
      </c>
      <c r="E284" s="278" t="s">
        <v>495</v>
      </c>
      <c r="F284" s="278"/>
      <c r="G284" s="278"/>
      <c r="H284" s="276">
        <f t="shared" ref="H284:J287" si="26">H285</f>
        <v>127.21300000000001</v>
      </c>
      <c r="I284" s="841">
        <f t="shared" si="26"/>
        <v>585.81999999999994</v>
      </c>
      <c r="J284" s="277">
        <f t="shared" si="26"/>
        <v>610.88699999999994</v>
      </c>
    </row>
    <row r="285" spans="1:10" ht="39" x14ac:dyDescent="0.25">
      <c r="A285" s="273"/>
      <c r="B285" s="135" t="s">
        <v>861</v>
      </c>
      <c r="C285" s="279"/>
      <c r="D285" s="278" t="s">
        <v>496</v>
      </c>
      <c r="E285" s="278" t="s">
        <v>495</v>
      </c>
      <c r="F285" s="278" t="s">
        <v>468</v>
      </c>
      <c r="G285" s="278"/>
      <c r="H285" s="276">
        <f>H286+H290</f>
        <v>127.21300000000001</v>
      </c>
      <c r="I285" s="841">
        <f t="shared" si="26"/>
        <v>585.81999999999994</v>
      </c>
      <c r="J285" s="277">
        <f t="shared" si="26"/>
        <v>610.88699999999994</v>
      </c>
    </row>
    <row r="286" spans="1:10" ht="13.5" x14ac:dyDescent="0.25">
      <c r="A286" s="273"/>
      <c r="B286" s="930" t="s">
        <v>849</v>
      </c>
      <c r="C286" s="272"/>
      <c r="D286" s="271" t="s">
        <v>496</v>
      </c>
      <c r="E286" s="271" t="s">
        <v>495</v>
      </c>
      <c r="F286" s="271" t="s">
        <v>854</v>
      </c>
      <c r="G286" s="271"/>
      <c r="H286" s="269">
        <f t="shared" si="26"/>
        <v>102.349</v>
      </c>
      <c r="I286" s="529">
        <f t="shared" si="26"/>
        <v>585.81999999999994</v>
      </c>
      <c r="J286" s="270">
        <f t="shared" si="26"/>
        <v>610.88699999999994</v>
      </c>
    </row>
    <row r="287" spans="1:10" ht="26" x14ac:dyDescent="0.25">
      <c r="A287" s="273"/>
      <c r="B287" s="148" t="s">
        <v>850</v>
      </c>
      <c r="C287" s="272"/>
      <c r="D287" s="271" t="s">
        <v>496</v>
      </c>
      <c r="E287" s="271" t="s">
        <v>495</v>
      </c>
      <c r="F287" s="271" t="s">
        <v>855</v>
      </c>
      <c r="G287" s="271"/>
      <c r="H287" s="269">
        <f t="shared" si="26"/>
        <v>102.349</v>
      </c>
      <c r="I287" s="529">
        <f t="shared" si="26"/>
        <v>585.81999999999994</v>
      </c>
      <c r="J287" s="270">
        <f t="shared" si="26"/>
        <v>610.88699999999994</v>
      </c>
    </row>
    <row r="288" spans="1:10" ht="39" x14ac:dyDescent="0.25">
      <c r="A288" s="273"/>
      <c r="B288" s="104" t="s">
        <v>851</v>
      </c>
      <c r="C288" s="272"/>
      <c r="D288" s="271" t="s">
        <v>496</v>
      </c>
      <c r="E288" s="271" t="s">
        <v>495</v>
      </c>
      <c r="F288" s="941" t="s">
        <v>856</v>
      </c>
      <c r="G288" s="271"/>
      <c r="H288" s="269">
        <f>H289</f>
        <v>102.349</v>
      </c>
      <c r="I288" s="529">
        <f>I289+I293+I294</f>
        <v>585.81999999999994</v>
      </c>
      <c r="J288" s="270">
        <f>J289+J293+J294</f>
        <v>610.88699999999994</v>
      </c>
    </row>
    <row r="289" spans="1:10" ht="13" x14ac:dyDescent="0.25">
      <c r="A289" s="273"/>
      <c r="B289" s="308" t="s">
        <v>497</v>
      </c>
      <c r="C289" s="283"/>
      <c r="D289" s="271" t="s">
        <v>496</v>
      </c>
      <c r="E289" s="271" t="s">
        <v>495</v>
      </c>
      <c r="F289" s="941" t="s">
        <v>856</v>
      </c>
      <c r="G289" s="271" t="s">
        <v>77</v>
      </c>
      <c r="H289" s="942">
        <v>102.349</v>
      </c>
      <c r="I289" s="529">
        <v>31.3</v>
      </c>
      <c r="J289" s="269">
        <v>34.43</v>
      </c>
    </row>
    <row r="290" spans="1:10" ht="40.5" x14ac:dyDescent="0.25">
      <c r="A290" s="273"/>
      <c r="B290" s="930" t="s">
        <v>853</v>
      </c>
      <c r="C290" s="283"/>
      <c r="D290" s="271" t="s">
        <v>496</v>
      </c>
      <c r="E290" s="271" t="s">
        <v>495</v>
      </c>
      <c r="F290" s="941" t="s">
        <v>857</v>
      </c>
      <c r="G290" s="271"/>
      <c r="H290" s="942">
        <f>H291</f>
        <v>24.864000000000001</v>
      </c>
      <c r="I290" s="529"/>
      <c r="J290" s="269"/>
    </row>
    <row r="291" spans="1:10" ht="26" x14ac:dyDescent="0.25">
      <c r="A291" s="273"/>
      <c r="B291" s="148" t="s">
        <v>850</v>
      </c>
      <c r="C291" s="283"/>
      <c r="D291" s="271" t="s">
        <v>496</v>
      </c>
      <c r="E291" s="271" t="s">
        <v>495</v>
      </c>
      <c r="F291" s="271" t="s">
        <v>858</v>
      </c>
      <c r="G291" s="271"/>
      <c r="H291" s="942">
        <f>H292</f>
        <v>24.864000000000001</v>
      </c>
      <c r="I291" s="529"/>
      <c r="J291" s="269"/>
    </row>
    <row r="292" spans="1:10" ht="39" x14ac:dyDescent="0.25">
      <c r="A292" s="273"/>
      <c r="B292" s="104" t="s">
        <v>851</v>
      </c>
      <c r="C292" s="283"/>
      <c r="D292" s="271" t="s">
        <v>496</v>
      </c>
      <c r="E292" s="271" t="s">
        <v>495</v>
      </c>
      <c r="F292" s="941" t="s">
        <v>859</v>
      </c>
      <c r="G292" s="271"/>
      <c r="H292" s="942">
        <f>H293</f>
        <v>24.864000000000001</v>
      </c>
      <c r="I292" s="529"/>
      <c r="J292" s="269"/>
    </row>
    <row r="293" spans="1:10" ht="13" x14ac:dyDescent="0.25">
      <c r="A293" s="273"/>
      <c r="B293" s="308" t="s">
        <v>497</v>
      </c>
      <c r="C293" s="283"/>
      <c r="D293" s="271" t="s">
        <v>496</v>
      </c>
      <c r="E293" s="271" t="s">
        <v>495</v>
      </c>
      <c r="F293" s="941" t="s">
        <v>859</v>
      </c>
      <c r="G293" s="271" t="s">
        <v>77</v>
      </c>
      <c r="H293" s="942">
        <v>24.864000000000001</v>
      </c>
      <c r="I293" s="529">
        <v>554.52</v>
      </c>
      <c r="J293" s="269">
        <v>576.45699999999999</v>
      </c>
    </row>
    <row r="294" spans="1:10" hidden="1" x14ac:dyDescent="0.25">
      <c r="A294" s="273"/>
      <c r="B294" s="284" t="s">
        <v>497</v>
      </c>
      <c r="C294" s="283"/>
      <c r="D294" s="271" t="s">
        <v>496</v>
      </c>
      <c r="E294" s="271" t="s">
        <v>495</v>
      </c>
      <c r="F294" s="271" t="s">
        <v>43</v>
      </c>
      <c r="G294" s="271" t="s">
        <v>77</v>
      </c>
      <c r="H294" s="269"/>
      <c r="I294" s="529"/>
      <c r="J294" s="269"/>
    </row>
    <row r="295" spans="1:10" x14ac:dyDescent="0.25">
      <c r="A295" s="273"/>
      <c r="B295" s="282" t="s">
        <v>331</v>
      </c>
      <c r="C295" s="279"/>
      <c r="D295" s="278" t="s">
        <v>464</v>
      </c>
      <c r="E295" s="278" t="s">
        <v>459</v>
      </c>
      <c r="F295" s="278"/>
      <c r="G295" s="278"/>
      <c r="H295" s="276">
        <f>H296+H304</f>
        <v>500</v>
      </c>
      <c r="I295" s="841">
        <f>I296+I304</f>
        <v>450</v>
      </c>
      <c r="J295" s="277">
        <f>J296+J304</f>
        <v>500</v>
      </c>
    </row>
    <row r="296" spans="1:10" hidden="1" x14ac:dyDescent="0.25">
      <c r="A296" s="273"/>
      <c r="B296" s="282" t="s">
        <v>494</v>
      </c>
      <c r="C296" s="279"/>
      <c r="D296" s="278" t="s">
        <v>464</v>
      </c>
      <c r="E296" s="278" t="s">
        <v>488</v>
      </c>
      <c r="F296" s="278" t="s">
        <v>106</v>
      </c>
      <c r="G296" s="278" t="s">
        <v>106</v>
      </c>
      <c r="H296" s="276">
        <f t="shared" ref="H296:J299" si="27">H297</f>
        <v>0</v>
      </c>
      <c r="I296" s="841">
        <f t="shared" si="27"/>
        <v>0</v>
      </c>
      <c r="J296" s="277">
        <f t="shared" si="27"/>
        <v>0</v>
      </c>
    </row>
    <row r="297" spans="1:10" ht="31.5" hidden="1" x14ac:dyDescent="0.25">
      <c r="A297" s="273"/>
      <c r="B297" s="282" t="s">
        <v>493</v>
      </c>
      <c r="C297" s="279"/>
      <c r="D297" s="278" t="s">
        <v>464</v>
      </c>
      <c r="E297" s="278" t="s">
        <v>488</v>
      </c>
      <c r="F297" s="278" t="s">
        <v>311</v>
      </c>
      <c r="G297" s="278"/>
      <c r="H297" s="276">
        <f t="shared" si="27"/>
        <v>0</v>
      </c>
      <c r="I297" s="841">
        <f t="shared" si="27"/>
        <v>0</v>
      </c>
      <c r="J297" s="277">
        <f t="shared" si="27"/>
        <v>0</v>
      </c>
    </row>
    <row r="298" spans="1:10" ht="20" hidden="1" x14ac:dyDescent="0.25">
      <c r="A298" s="305"/>
      <c r="B298" s="285" t="s">
        <v>492</v>
      </c>
      <c r="C298" s="272"/>
      <c r="D298" s="271" t="s">
        <v>464</v>
      </c>
      <c r="E298" s="271" t="s">
        <v>488</v>
      </c>
      <c r="F298" s="271" t="s">
        <v>491</v>
      </c>
      <c r="G298" s="271"/>
      <c r="H298" s="269">
        <f t="shared" si="27"/>
        <v>0</v>
      </c>
      <c r="I298" s="529">
        <f t="shared" si="27"/>
        <v>0</v>
      </c>
      <c r="J298" s="270">
        <f t="shared" si="27"/>
        <v>0</v>
      </c>
    </row>
    <row r="299" spans="1:10" hidden="1" x14ac:dyDescent="0.25">
      <c r="A299" s="305"/>
      <c r="B299" s="285" t="s">
        <v>490</v>
      </c>
      <c r="C299" s="272"/>
      <c r="D299" s="271" t="s">
        <v>464</v>
      </c>
      <c r="E299" s="271" t="s">
        <v>488</v>
      </c>
      <c r="F299" s="271" t="s">
        <v>489</v>
      </c>
      <c r="G299" s="271"/>
      <c r="H299" s="269">
        <f t="shared" si="27"/>
        <v>0</v>
      </c>
      <c r="I299" s="529">
        <f t="shared" si="27"/>
        <v>0</v>
      </c>
      <c r="J299" s="270">
        <f t="shared" si="27"/>
        <v>0</v>
      </c>
    </row>
    <row r="300" spans="1:10" hidden="1" x14ac:dyDescent="0.25">
      <c r="A300" s="305"/>
      <c r="B300" s="285" t="s">
        <v>351</v>
      </c>
      <c r="C300" s="272"/>
      <c r="D300" s="271" t="s">
        <v>464</v>
      </c>
      <c r="E300" s="271" t="s">
        <v>488</v>
      </c>
      <c r="F300" s="271" t="s">
        <v>487</v>
      </c>
      <c r="G300" s="271"/>
      <c r="H300" s="269">
        <f>H301+H302+H303</f>
        <v>0</v>
      </c>
      <c r="I300" s="529">
        <f>I301+I302+I303</f>
        <v>0</v>
      </c>
      <c r="J300" s="270">
        <f>J301+J302+J303</f>
        <v>0</v>
      </c>
    </row>
    <row r="301" spans="1:10" hidden="1" x14ac:dyDescent="0.25">
      <c r="A301" s="273"/>
      <c r="B301" s="284" t="s">
        <v>458</v>
      </c>
      <c r="C301" s="283"/>
      <c r="D301" s="271" t="s">
        <v>464</v>
      </c>
      <c r="E301" s="271" t="s">
        <v>488</v>
      </c>
      <c r="F301" s="271" t="s">
        <v>487</v>
      </c>
      <c r="G301" s="271" t="s">
        <v>255</v>
      </c>
      <c r="H301" s="269"/>
      <c r="I301" s="529"/>
      <c r="J301" s="270"/>
    </row>
    <row r="302" spans="1:10" ht="20" hidden="1" x14ac:dyDescent="0.25">
      <c r="A302" s="273"/>
      <c r="B302" s="284" t="s">
        <v>454</v>
      </c>
      <c r="C302" s="283"/>
      <c r="D302" s="271" t="s">
        <v>464</v>
      </c>
      <c r="E302" s="271" t="s">
        <v>488</v>
      </c>
      <c r="F302" s="271" t="s">
        <v>487</v>
      </c>
      <c r="G302" s="271" t="s">
        <v>1</v>
      </c>
      <c r="H302" s="269"/>
      <c r="I302" s="529"/>
      <c r="J302" s="270"/>
    </row>
    <row r="303" spans="1:10" hidden="1" x14ac:dyDescent="0.25">
      <c r="A303" s="273"/>
      <c r="B303" s="284" t="s">
        <v>457</v>
      </c>
      <c r="C303" s="283"/>
      <c r="D303" s="271" t="s">
        <v>464</v>
      </c>
      <c r="E303" s="271" t="s">
        <v>488</v>
      </c>
      <c r="F303" s="271" t="s">
        <v>487</v>
      </c>
      <c r="G303" s="271" t="s">
        <v>91</v>
      </c>
      <c r="H303" s="269"/>
      <c r="I303" s="529"/>
      <c r="J303" s="270"/>
    </row>
    <row r="304" spans="1:10" x14ac:dyDescent="0.25">
      <c r="A304" s="273"/>
      <c r="B304" s="282" t="s">
        <v>64</v>
      </c>
      <c r="C304" s="279"/>
      <c r="D304" s="278" t="s">
        <v>464</v>
      </c>
      <c r="E304" s="278" t="s">
        <v>463</v>
      </c>
      <c r="F304" s="278" t="s">
        <v>106</v>
      </c>
      <c r="G304" s="278" t="s">
        <v>106</v>
      </c>
      <c r="H304" s="276">
        <f>H305+H324</f>
        <v>500</v>
      </c>
      <c r="I304" s="841">
        <f>I305+I324</f>
        <v>450</v>
      </c>
      <c r="J304" s="277">
        <f>J305+J324</f>
        <v>500</v>
      </c>
    </row>
    <row r="305" spans="1:10" ht="31.5" x14ac:dyDescent="0.25">
      <c r="A305" s="273"/>
      <c r="B305" s="307" t="s">
        <v>312</v>
      </c>
      <c r="C305" s="279"/>
      <c r="D305" s="278" t="s">
        <v>464</v>
      </c>
      <c r="E305" s="278" t="s">
        <v>463</v>
      </c>
      <c r="F305" s="278" t="s">
        <v>311</v>
      </c>
      <c r="G305" s="278"/>
      <c r="H305" s="276">
        <f>H306+H315</f>
        <v>500</v>
      </c>
      <c r="I305" s="841">
        <f>I306+I315</f>
        <v>450</v>
      </c>
      <c r="J305" s="277">
        <f>J306+J315</f>
        <v>500</v>
      </c>
    </row>
    <row r="306" spans="1:10" ht="20" hidden="1" x14ac:dyDescent="0.25">
      <c r="A306" s="273"/>
      <c r="B306" s="285" t="s">
        <v>486</v>
      </c>
      <c r="C306" s="272"/>
      <c r="D306" s="271" t="s">
        <v>464</v>
      </c>
      <c r="E306" s="271" t="s">
        <v>463</v>
      </c>
      <c r="F306" s="271" t="s">
        <v>485</v>
      </c>
      <c r="G306" s="278"/>
      <c r="H306" s="269">
        <f>H307+H310</f>
        <v>0</v>
      </c>
      <c r="I306" s="529">
        <f>I307+I310</f>
        <v>0</v>
      </c>
      <c r="J306" s="270">
        <f>J307+J310</f>
        <v>0</v>
      </c>
    </row>
    <row r="307" spans="1:10" ht="20" hidden="1" x14ac:dyDescent="0.25">
      <c r="A307" s="273"/>
      <c r="B307" s="285" t="s">
        <v>484</v>
      </c>
      <c r="C307" s="272"/>
      <c r="D307" s="271" t="s">
        <v>464</v>
      </c>
      <c r="E307" s="271" t="s">
        <v>463</v>
      </c>
      <c r="F307" s="271" t="s">
        <v>483</v>
      </c>
      <c r="G307" s="278"/>
      <c r="H307" s="269">
        <f t="shared" ref="H307:J308" si="28">H308</f>
        <v>0</v>
      </c>
      <c r="I307" s="529">
        <f t="shared" si="28"/>
        <v>0</v>
      </c>
      <c r="J307" s="270">
        <f t="shared" si="28"/>
        <v>0</v>
      </c>
    </row>
    <row r="308" spans="1:10" ht="20" hidden="1" x14ac:dyDescent="0.25">
      <c r="A308" s="273"/>
      <c r="B308" s="285" t="s">
        <v>482</v>
      </c>
      <c r="C308" s="272"/>
      <c r="D308" s="271" t="s">
        <v>464</v>
      </c>
      <c r="E308" s="271" t="s">
        <v>463</v>
      </c>
      <c r="F308" s="271" t="s">
        <v>480</v>
      </c>
      <c r="G308" s="271"/>
      <c r="H308" s="269">
        <f t="shared" si="28"/>
        <v>0</v>
      </c>
      <c r="I308" s="529">
        <f t="shared" si="28"/>
        <v>0</v>
      </c>
      <c r="J308" s="270">
        <f t="shared" si="28"/>
        <v>0</v>
      </c>
    </row>
    <row r="309" spans="1:10" hidden="1" x14ac:dyDescent="0.25">
      <c r="A309" s="273"/>
      <c r="B309" s="284" t="s">
        <v>481</v>
      </c>
      <c r="C309" s="283"/>
      <c r="D309" s="271" t="s">
        <v>464</v>
      </c>
      <c r="E309" s="271" t="s">
        <v>463</v>
      </c>
      <c r="F309" s="271" t="s">
        <v>480</v>
      </c>
      <c r="G309" s="271" t="s">
        <v>26</v>
      </c>
      <c r="H309" s="269">
        <v>0</v>
      </c>
      <c r="I309" s="529">
        <v>0</v>
      </c>
      <c r="J309" s="270">
        <v>0</v>
      </c>
    </row>
    <row r="310" spans="1:10" ht="20" hidden="1" x14ac:dyDescent="0.25">
      <c r="A310" s="273"/>
      <c r="B310" s="285" t="s">
        <v>479</v>
      </c>
      <c r="C310" s="272"/>
      <c r="D310" s="271" t="s">
        <v>464</v>
      </c>
      <c r="E310" s="271" t="s">
        <v>463</v>
      </c>
      <c r="F310" s="271" t="s">
        <v>478</v>
      </c>
      <c r="G310" s="278"/>
      <c r="H310" s="269">
        <f>H311+H313</f>
        <v>0</v>
      </c>
      <c r="I310" s="529">
        <f>I311+I313</f>
        <v>0</v>
      </c>
      <c r="J310" s="270">
        <f>J311+J313</f>
        <v>0</v>
      </c>
    </row>
    <row r="311" spans="1:10" hidden="1" x14ac:dyDescent="0.25">
      <c r="A311" s="273"/>
      <c r="B311" s="285" t="s">
        <v>477</v>
      </c>
      <c r="C311" s="272"/>
      <c r="D311" s="271" t="s">
        <v>464</v>
      </c>
      <c r="E311" s="271" t="s">
        <v>463</v>
      </c>
      <c r="F311" s="271" t="s">
        <v>476</v>
      </c>
      <c r="G311" s="271"/>
      <c r="H311" s="269">
        <f>H312</f>
        <v>0</v>
      </c>
      <c r="I311" s="529">
        <f>I312</f>
        <v>0</v>
      </c>
      <c r="J311" s="270">
        <f>J312</f>
        <v>0</v>
      </c>
    </row>
    <row r="312" spans="1:10" ht="20" hidden="1" x14ac:dyDescent="0.25">
      <c r="A312" s="273"/>
      <c r="B312" s="284" t="s">
        <v>454</v>
      </c>
      <c r="C312" s="283"/>
      <c r="D312" s="271" t="s">
        <v>464</v>
      </c>
      <c r="E312" s="271" t="s">
        <v>463</v>
      </c>
      <c r="F312" s="271" t="s">
        <v>476</v>
      </c>
      <c r="G312" s="271" t="s">
        <v>1</v>
      </c>
      <c r="H312" s="269"/>
      <c r="I312" s="529"/>
      <c r="J312" s="270"/>
    </row>
    <row r="313" spans="1:10" hidden="1" x14ac:dyDescent="0.25">
      <c r="A313" s="273"/>
      <c r="B313" s="285" t="s">
        <v>475</v>
      </c>
      <c r="C313" s="272"/>
      <c r="D313" s="271" t="s">
        <v>464</v>
      </c>
      <c r="E313" s="271" t="s">
        <v>463</v>
      </c>
      <c r="F313" s="271" t="s">
        <v>474</v>
      </c>
      <c r="G313" s="271"/>
      <c r="H313" s="269">
        <f>H314</f>
        <v>0</v>
      </c>
      <c r="I313" s="529">
        <f>I314</f>
        <v>0</v>
      </c>
      <c r="J313" s="270">
        <f>J314</f>
        <v>0</v>
      </c>
    </row>
    <row r="314" spans="1:10" ht="20" hidden="1" x14ac:dyDescent="0.25">
      <c r="A314" s="273"/>
      <c r="B314" s="284" t="s">
        <v>454</v>
      </c>
      <c r="C314" s="283"/>
      <c r="D314" s="271" t="s">
        <v>464</v>
      </c>
      <c r="E314" s="271" t="s">
        <v>463</v>
      </c>
      <c r="F314" s="271" t="s">
        <v>474</v>
      </c>
      <c r="G314" s="271" t="s">
        <v>1</v>
      </c>
      <c r="H314" s="269">
        <v>0</v>
      </c>
      <c r="I314" s="529">
        <v>0</v>
      </c>
      <c r="J314" s="270">
        <v>0</v>
      </c>
    </row>
    <row r="315" spans="1:10" ht="30" x14ac:dyDescent="0.25">
      <c r="A315" s="273"/>
      <c r="B315" s="310" t="s">
        <v>300</v>
      </c>
      <c r="C315" s="272"/>
      <c r="D315" s="271" t="s">
        <v>464</v>
      </c>
      <c r="E315" s="271" t="s">
        <v>463</v>
      </c>
      <c r="F315" s="271" t="s">
        <v>299</v>
      </c>
      <c r="G315" s="271"/>
      <c r="H315" s="269">
        <f>H316+H321</f>
        <v>500</v>
      </c>
      <c r="I315" s="529">
        <f>I316+I321</f>
        <v>450</v>
      </c>
      <c r="J315" s="270">
        <f>J316+J321</f>
        <v>500</v>
      </c>
    </row>
    <row r="316" spans="1:10" ht="20" x14ac:dyDescent="0.25">
      <c r="A316" s="273"/>
      <c r="B316" s="306" t="s">
        <v>298</v>
      </c>
      <c r="C316" s="272"/>
      <c r="D316" s="271" t="s">
        <v>464</v>
      </c>
      <c r="E316" s="271" t="s">
        <v>463</v>
      </c>
      <c r="F316" s="271" t="s">
        <v>297</v>
      </c>
      <c r="G316" s="271"/>
      <c r="H316" s="269">
        <f t="shared" ref="H316:J317" si="29">H317</f>
        <v>500</v>
      </c>
      <c r="I316" s="529">
        <f t="shared" si="29"/>
        <v>450</v>
      </c>
      <c r="J316" s="270">
        <f t="shared" si="29"/>
        <v>500</v>
      </c>
    </row>
    <row r="317" spans="1:10" ht="20" x14ac:dyDescent="0.25">
      <c r="A317" s="305"/>
      <c r="B317" s="310" t="s">
        <v>296</v>
      </c>
      <c r="C317" s="272"/>
      <c r="D317" s="271" t="s">
        <v>464</v>
      </c>
      <c r="E317" s="271" t="s">
        <v>463</v>
      </c>
      <c r="F317" s="271" t="s">
        <v>294</v>
      </c>
      <c r="G317" s="271"/>
      <c r="H317" s="269">
        <f t="shared" si="29"/>
        <v>500</v>
      </c>
      <c r="I317" s="529">
        <f t="shared" si="29"/>
        <v>450</v>
      </c>
      <c r="J317" s="270">
        <f t="shared" si="29"/>
        <v>500</v>
      </c>
    </row>
    <row r="318" spans="1:10" ht="20" x14ac:dyDescent="0.25">
      <c r="A318" s="305"/>
      <c r="B318" s="284" t="s">
        <v>454</v>
      </c>
      <c r="C318" s="283"/>
      <c r="D318" s="271" t="s">
        <v>464</v>
      </c>
      <c r="E318" s="271" t="s">
        <v>463</v>
      </c>
      <c r="F318" s="271" t="s">
        <v>294</v>
      </c>
      <c r="G318" s="271" t="s">
        <v>1</v>
      </c>
      <c r="H318" s="269">
        <v>500</v>
      </c>
      <c r="I318" s="529">
        <v>450</v>
      </c>
      <c r="J318" s="269">
        <v>500</v>
      </c>
    </row>
    <row r="319" spans="1:10" ht="31.5" hidden="1" x14ac:dyDescent="0.25">
      <c r="A319" s="305"/>
      <c r="B319" s="282" t="s">
        <v>499</v>
      </c>
      <c r="C319" s="283"/>
      <c r="D319" s="278" t="s">
        <v>464</v>
      </c>
      <c r="E319" s="278" t="s">
        <v>463</v>
      </c>
      <c r="F319" s="278" t="s">
        <v>89</v>
      </c>
      <c r="G319" s="271"/>
      <c r="H319" s="269">
        <f>H320</f>
        <v>0</v>
      </c>
      <c r="I319" s="529"/>
      <c r="J319" s="269"/>
    </row>
    <row r="320" spans="1:10" hidden="1" x14ac:dyDescent="0.25">
      <c r="A320" s="305"/>
      <c r="B320" s="285" t="s">
        <v>109</v>
      </c>
      <c r="C320" s="283"/>
      <c r="D320" s="271" t="s">
        <v>464</v>
      </c>
      <c r="E320" s="271" t="s">
        <v>463</v>
      </c>
      <c r="F320" s="271" t="s">
        <v>84</v>
      </c>
      <c r="G320" s="271"/>
      <c r="H320" s="269">
        <f>H321</f>
        <v>0</v>
      </c>
      <c r="I320" s="529"/>
      <c r="J320" s="269"/>
    </row>
    <row r="321" spans="1:10" hidden="1" x14ac:dyDescent="0.25">
      <c r="A321" s="273"/>
      <c r="B321" s="285" t="s">
        <v>109</v>
      </c>
      <c r="C321" s="272"/>
      <c r="D321" s="271" t="s">
        <v>464</v>
      </c>
      <c r="E321" s="271" t="s">
        <v>463</v>
      </c>
      <c r="F321" s="271" t="s">
        <v>82</v>
      </c>
      <c r="G321" s="271"/>
      <c r="H321" s="269">
        <f t="shared" ref="H321:J321" si="30">H322</f>
        <v>0</v>
      </c>
      <c r="I321" s="529">
        <f t="shared" si="30"/>
        <v>0</v>
      </c>
      <c r="J321" s="269">
        <f t="shared" si="30"/>
        <v>0</v>
      </c>
    </row>
    <row r="322" spans="1:10" ht="20" hidden="1" x14ac:dyDescent="0.25">
      <c r="A322" s="305"/>
      <c r="B322" s="310" t="s">
        <v>296</v>
      </c>
      <c r="C322" s="272"/>
      <c r="D322" s="271" t="s">
        <v>464</v>
      </c>
      <c r="E322" s="271" t="s">
        <v>463</v>
      </c>
      <c r="F322" s="271" t="s">
        <v>624</v>
      </c>
      <c r="G322" s="271"/>
      <c r="H322" s="269">
        <f>H323</f>
        <v>0</v>
      </c>
      <c r="I322" s="529">
        <f>I323</f>
        <v>0</v>
      </c>
      <c r="J322" s="269">
        <f>J323</f>
        <v>0</v>
      </c>
    </row>
    <row r="323" spans="1:10" ht="20.5" hidden="1" thickBot="1" x14ac:dyDescent="0.3">
      <c r="A323" s="778"/>
      <c r="B323" s="267" t="s">
        <v>454</v>
      </c>
      <c r="C323" s="266"/>
      <c r="D323" s="265" t="s">
        <v>464</v>
      </c>
      <c r="E323" s="265" t="s">
        <v>463</v>
      </c>
      <c r="F323" s="265" t="s">
        <v>624</v>
      </c>
      <c r="G323" s="265" t="s">
        <v>1</v>
      </c>
      <c r="H323" s="407">
        <v>0</v>
      </c>
      <c r="I323" s="529"/>
      <c r="J323" s="269"/>
    </row>
    <row r="324" spans="1:10" ht="21" hidden="1" x14ac:dyDescent="0.25">
      <c r="A324" s="291"/>
      <c r="B324" s="290" t="s">
        <v>469</v>
      </c>
      <c r="C324" s="289"/>
      <c r="D324" s="288" t="s">
        <v>464</v>
      </c>
      <c r="E324" s="288" t="s">
        <v>463</v>
      </c>
      <c r="F324" s="288" t="s">
        <v>468</v>
      </c>
      <c r="G324" s="288"/>
      <c r="H324" s="287">
        <f t="shared" ref="H324:J326" si="31">H325</f>
        <v>0</v>
      </c>
      <c r="I324" s="277">
        <f t="shared" si="31"/>
        <v>0</v>
      </c>
      <c r="J324" s="276">
        <f t="shared" si="31"/>
        <v>0</v>
      </c>
    </row>
    <row r="325" spans="1:10" hidden="1" x14ac:dyDescent="0.25">
      <c r="A325" s="273"/>
      <c r="B325" s="285" t="s">
        <v>467</v>
      </c>
      <c r="C325" s="272"/>
      <c r="D325" s="271" t="s">
        <v>464</v>
      </c>
      <c r="E325" s="271" t="s">
        <v>463</v>
      </c>
      <c r="F325" s="271" t="s">
        <v>466</v>
      </c>
      <c r="G325" s="271"/>
      <c r="H325" s="270">
        <f t="shared" si="31"/>
        <v>0</v>
      </c>
      <c r="I325" s="270">
        <f t="shared" si="31"/>
        <v>0</v>
      </c>
      <c r="J325" s="269">
        <f t="shared" si="31"/>
        <v>0</v>
      </c>
    </row>
    <row r="326" spans="1:10" hidden="1" x14ac:dyDescent="0.25">
      <c r="A326" s="305"/>
      <c r="B326" s="285" t="s">
        <v>465</v>
      </c>
      <c r="C326" s="272"/>
      <c r="D326" s="271" t="s">
        <v>464</v>
      </c>
      <c r="E326" s="271" t="s">
        <v>463</v>
      </c>
      <c r="F326" s="271" t="s">
        <v>462</v>
      </c>
      <c r="G326" s="271"/>
      <c r="H326" s="270">
        <f t="shared" si="31"/>
        <v>0</v>
      </c>
      <c r="I326" s="270">
        <f t="shared" si="31"/>
        <v>0</v>
      </c>
      <c r="J326" s="269">
        <f t="shared" si="31"/>
        <v>0</v>
      </c>
    </row>
    <row r="327" spans="1:10" ht="20.5" hidden="1" thickBot="1" x14ac:dyDescent="0.3">
      <c r="A327" s="304"/>
      <c r="B327" s="303" t="s">
        <v>454</v>
      </c>
      <c r="C327" s="302"/>
      <c r="D327" s="301" t="s">
        <v>464</v>
      </c>
      <c r="E327" s="301" t="s">
        <v>463</v>
      </c>
      <c r="F327" s="301" t="s">
        <v>462</v>
      </c>
      <c r="G327" s="301" t="s">
        <v>1</v>
      </c>
      <c r="H327" s="300"/>
      <c r="I327" s="300"/>
      <c r="J327" s="299"/>
    </row>
    <row r="328" spans="1:10" ht="13" hidden="1" thickBot="1" x14ac:dyDescent="0.3">
      <c r="A328" s="437"/>
      <c r="B328" s="438"/>
      <c r="C328" s="439"/>
      <c r="D328" s="440"/>
      <c r="E328" s="440"/>
      <c r="F328" s="440"/>
      <c r="G328" s="440"/>
      <c r="H328" s="441"/>
      <c r="I328" s="441"/>
      <c r="J328" s="442"/>
    </row>
    <row r="329" spans="1:10" ht="13" hidden="1" thickBot="1" x14ac:dyDescent="0.3">
      <c r="A329" s="298">
        <v>3</v>
      </c>
      <c r="B329" s="297" t="s">
        <v>461</v>
      </c>
      <c r="C329" s="296" t="s">
        <v>430</v>
      </c>
      <c r="D329" s="295"/>
      <c r="E329" s="295"/>
      <c r="F329" s="295"/>
      <c r="G329" s="295"/>
      <c r="H329" s="293">
        <f>H330</f>
        <v>9607.1400000000012</v>
      </c>
      <c r="I329" s="293">
        <f>I330</f>
        <v>8212.5999999999985</v>
      </c>
      <c r="J329" s="292">
        <f>J330</f>
        <v>8263</v>
      </c>
    </row>
    <row r="330" spans="1:10" hidden="1" x14ac:dyDescent="0.25">
      <c r="A330" s="291"/>
      <c r="B330" s="290" t="s">
        <v>460</v>
      </c>
      <c r="C330" s="289"/>
      <c r="D330" s="288" t="s">
        <v>453</v>
      </c>
      <c r="E330" s="288" t="s">
        <v>459</v>
      </c>
      <c r="F330" s="288"/>
      <c r="G330" s="288"/>
      <c r="H330" s="287">
        <f>H331+H344+H339</f>
        <v>9607.1400000000012</v>
      </c>
      <c r="I330" s="287">
        <f>I331+I344</f>
        <v>8212.5999999999985</v>
      </c>
      <c r="J330" s="286">
        <f>J331+J344</f>
        <v>8263</v>
      </c>
    </row>
    <row r="331" spans="1:10" hidden="1" x14ac:dyDescent="0.25">
      <c r="A331" s="273"/>
      <c r="B331" s="282" t="s">
        <v>87</v>
      </c>
      <c r="C331" s="279"/>
      <c r="D331" s="278" t="s">
        <v>453</v>
      </c>
      <c r="E331" s="278" t="s">
        <v>456</v>
      </c>
      <c r="F331" s="278"/>
      <c r="G331" s="278"/>
      <c r="H331" s="277">
        <f t="shared" ref="H331:J334" si="32">H332</f>
        <v>7296.08</v>
      </c>
      <c r="I331" s="277">
        <f t="shared" si="32"/>
        <v>6962.0999999999995</v>
      </c>
      <c r="J331" s="276">
        <f t="shared" si="32"/>
        <v>6915</v>
      </c>
    </row>
    <row r="332" spans="1:10" ht="31.5" hidden="1" x14ac:dyDescent="0.25">
      <c r="A332" s="281"/>
      <c r="B332" s="307" t="s">
        <v>621</v>
      </c>
      <c r="C332" s="279"/>
      <c r="D332" s="278" t="s">
        <v>453</v>
      </c>
      <c r="E332" s="278" t="s">
        <v>456</v>
      </c>
      <c r="F332" s="278" t="s">
        <v>273</v>
      </c>
      <c r="G332" s="278"/>
      <c r="H332" s="277">
        <f t="shared" si="32"/>
        <v>7296.08</v>
      </c>
      <c r="I332" s="277">
        <f t="shared" si="32"/>
        <v>6962.0999999999995</v>
      </c>
      <c r="J332" s="276">
        <f t="shared" si="32"/>
        <v>6915</v>
      </c>
    </row>
    <row r="333" spans="1:10" ht="30" hidden="1" x14ac:dyDescent="0.25">
      <c r="A333" s="281"/>
      <c r="B333" s="310" t="s">
        <v>261</v>
      </c>
      <c r="C333" s="272"/>
      <c r="D333" s="271" t="s">
        <v>453</v>
      </c>
      <c r="E333" s="271" t="s">
        <v>456</v>
      </c>
      <c r="F333" s="271" t="s">
        <v>260</v>
      </c>
      <c r="G333" s="271"/>
      <c r="H333" s="270">
        <f t="shared" si="32"/>
        <v>7296.08</v>
      </c>
      <c r="I333" s="270">
        <f t="shared" si="32"/>
        <v>6962.0999999999995</v>
      </c>
      <c r="J333" s="269">
        <f t="shared" si="32"/>
        <v>6915</v>
      </c>
    </row>
    <row r="334" spans="1:10" hidden="1" x14ac:dyDescent="0.25">
      <c r="A334" s="281"/>
      <c r="B334" s="274" t="s">
        <v>259</v>
      </c>
      <c r="C334" s="272"/>
      <c r="D334" s="271" t="s">
        <v>453</v>
      </c>
      <c r="E334" s="271" t="s">
        <v>456</v>
      </c>
      <c r="F334" s="271" t="s">
        <v>258</v>
      </c>
      <c r="G334" s="271"/>
      <c r="H334" s="270">
        <f t="shared" si="32"/>
        <v>7296.08</v>
      </c>
      <c r="I334" s="270">
        <f t="shared" si="32"/>
        <v>6962.0999999999995</v>
      </c>
      <c r="J334" s="269">
        <f t="shared" si="32"/>
        <v>6915</v>
      </c>
    </row>
    <row r="335" spans="1:10" hidden="1" x14ac:dyDescent="0.25">
      <c r="A335" s="281"/>
      <c r="B335" s="285" t="s">
        <v>351</v>
      </c>
      <c r="C335" s="272"/>
      <c r="D335" s="271" t="s">
        <v>453</v>
      </c>
      <c r="E335" s="271" t="s">
        <v>456</v>
      </c>
      <c r="F335" s="271" t="s">
        <v>254</v>
      </c>
      <c r="G335" s="271"/>
      <c r="H335" s="270">
        <f>H336+H337+H338</f>
        <v>7296.08</v>
      </c>
      <c r="I335" s="270">
        <f>I336+I337+I338</f>
        <v>6962.0999999999995</v>
      </c>
      <c r="J335" s="269">
        <f>J336+J337+J338</f>
        <v>6915</v>
      </c>
    </row>
    <row r="336" spans="1:10" hidden="1" x14ac:dyDescent="0.25">
      <c r="A336" s="273"/>
      <c r="B336" s="284" t="s">
        <v>458</v>
      </c>
      <c r="C336" s="283"/>
      <c r="D336" s="271" t="s">
        <v>453</v>
      </c>
      <c r="E336" s="271" t="s">
        <v>456</v>
      </c>
      <c r="F336" s="271" t="s">
        <v>254</v>
      </c>
      <c r="G336" s="271" t="s">
        <v>255</v>
      </c>
      <c r="H336" s="270">
        <f>4510.863-660.6</f>
        <v>3850.2630000000004</v>
      </c>
      <c r="I336" s="270">
        <v>4886.9669999999996</v>
      </c>
      <c r="J336" s="269">
        <v>5375.0079999999998</v>
      </c>
    </row>
    <row r="337" spans="1:11" ht="20" hidden="1" x14ac:dyDescent="0.25">
      <c r="A337" s="273"/>
      <c r="B337" s="284" t="s">
        <v>454</v>
      </c>
      <c r="C337" s="283"/>
      <c r="D337" s="271" t="s">
        <v>453</v>
      </c>
      <c r="E337" s="271" t="s">
        <v>456</v>
      </c>
      <c r="F337" s="271" t="s">
        <v>254</v>
      </c>
      <c r="G337" s="271" t="s">
        <v>1</v>
      </c>
      <c r="H337" s="270">
        <f>1564.263+1880.841</f>
        <v>3445.1039999999998</v>
      </c>
      <c r="I337" s="270">
        <v>2074.1329999999998</v>
      </c>
      <c r="J337" s="269">
        <v>1538.992</v>
      </c>
    </row>
    <row r="338" spans="1:11" hidden="1" x14ac:dyDescent="0.25">
      <c r="A338" s="273"/>
      <c r="B338" s="284" t="s">
        <v>457</v>
      </c>
      <c r="C338" s="283"/>
      <c r="D338" s="271" t="s">
        <v>453</v>
      </c>
      <c r="E338" s="271" t="s">
        <v>456</v>
      </c>
      <c r="F338" s="271" t="s">
        <v>254</v>
      </c>
      <c r="G338" s="271" t="s">
        <v>91</v>
      </c>
      <c r="H338" s="270">
        <v>0.71299999999999997</v>
      </c>
      <c r="I338" s="270">
        <v>1</v>
      </c>
      <c r="J338" s="269">
        <v>1</v>
      </c>
    </row>
    <row r="339" spans="1:11" ht="21" hidden="1" x14ac:dyDescent="0.25">
      <c r="A339" s="732"/>
      <c r="B339" s="752" t="s">
        <v>499</v>
      </c>
      <c r="C339" s="408"/>
      <c r="D339" s="408" t="s">
        <v>453</v>
      </c>
      <c r="E339" s="408" t="s">
        <v>456</v>
      </c>
      <c r="F339" s="408" t="s">
        <v>89</v>
      </c>
      <c r="G339" s="409"/>
      <c r="H339" s="733">
        <f>H340</f>
        <v>660.6</v>
      </c>
      <c r="I339" s="529"/>
      <c r="J339" s="269"/>
      <c r="K339" s="530"/>
    </row>
    <row r="340" spans="1:11" hidden="1" x14ac:dyDescent="0.25">
      <c r="A340" s="732"/>
      <c r="B340" s="753" t="s">
        <v>109</v>
      </c>
      <c r="C340" s="409"/>
      <c r="D340" s="409" t="s">
        <v>453</v>
      </c>
      <c r="E340" s="409" t="s">
        <v>456</v>
      </c>
      <c r="F340" s="409" t="s">
        <v>84</v>
      </c>
      <c r="G340" s="409"/>
      <c r="H340" s="531">
        <f>H341</f>
        <v>660.6</v>
      </c>
      <c r="I340" s="529"/>
      <c r="J340" s="269"/>
      <c r="K340" s="530"/>
    </row>
    <row r="341" spans="1:11" hidden="1" x14ac:dyDescent="0.25">
      <c r="A341" s="732"/>
      <c r="B341" s="753" t="s">
        <v>109</v>
      </c>
      <c r="C341" s="409"/>
      <c r="D341" s="409" t="s">
        <v>453</v>
      </c>
      <c r="E341" s="409" t="s">
        <v>456</v>
      </c>
      <c r="F341" s="409" t="s">
        <v>82</v>
      </c>
      <c r="G341" s="409"/>
      <c r="H341" s="531">
        <f>H342</f>
        <v>660.6</v>
      </c>
      <c r="I341" s="529"/>
      <c r="J341" s="269"/>
      <c r="K341" s="530"/>
    </row>
    <row r="342" spans="1:11" hidden="1" x14ac:dyDescent="0.25">
      <c r="A342" s="732"/>
      <c r="B342" s="887" t="s">
        <v>830</v>
      </c>
      <c r="C342" s="409"/>
      <c r="D342" s="409" t="s">
        <v>453</v>
      </c>
      <c r="E342" s="409" t="s">
        <v>456</v>
      </c>
      <c r="F342" s="409" t="s">
        <v>831</v>
      </c>
      <c r="G342" s="409"/>
      <c r="H342" s="531">
        <f>H343</f>
        <v>660.6</v>
      </c>
      <c r="I342" s="529"/>
      <c r="J342" s="269"/>
      <c r="K342" s="530"/>
    </row>
    <row r="343" spans="1:11" ht="13" hidden="1" x14ac:dyDescent="0.25">
      <c r="A343" s="732"/>
      <c r="B343" s="754" t="s">
        <v>256</v>
      </c>
      <c r="C343" s="409"/>
      <c r="D343" s="409" t="s">
        <v>453</v>
      </c>
      <c r="E343" s="409" t="s">
        <v>456</v>
      </c>
      <c r="F343" s="409" t="s">
        <v>831</v>
      </c>
      <c r="G343" s="409" t="s">
        <v>255</v>
      </c>
      <c r="H343" s="531">
        <v>660.6</v>
      </c>
      <c r="I343" s="529"/>
      <c r="J343" s="269"/>
      <c r="K343" s="530"/>
    </row>
    <row r="344" spans="1:11" hidden="1" x14ac:dyDescent="0.25">
      <c r="A344" s="751"/>
      <c r="B344" s="282" t="s">
        <v>244</v>
      </c>
      <c r="C344" s="279"/>
      <c r="D344" s="278" t="s">
        <v>453</v>
      </c>
      <c r="E344" s="278" t="s">
        <v>452</v>
      </c>
      <c r="F344" s="278"/>
      <c r="G344" s="278"/>
      <c r="H344" s="277">
        <f t="shared" ref="H344:J345" si="33">H345</f>
        <v>1650.46</v>
      </c>
      <c r="I344" s="277">
        <f t="shared" si="33"/>
        <v>1250.5</v>
      </c>
      <c r="J344" s="276">
        <f t="shared" si="33"/>
        <v>1348</v>
      </c>
    </row>
    <row r="345" spans="1:11" ht="31.5" hidden="1" x14ac:dyDescent="0.25">
      <c r="A345" s="281"/>
      <c r="B345" s="307" t="s">
        <v>621</v>
      </c>
      <c r="C345" s="279"/>
      <c r="D345" s="278" t="s">
        <v>453</v>
      </c>
      <c r="E345" s="278" t="s">
        <v>452</v>
      </c>
      <c r="F345" s="278" t="s">
        <v>273</v>
      </c>
      <c r="G345" s="278"/>
      <c r="H345" s="277">
        <f t="shared" si="33"/>
        <v>1650.46</v>
      </c>
      <c r="I345" s="277">
        <f t="shared" si="33"/>
        <v>1250.5</v>
      </c>
      <c r="J345" s="276">
        <f t="shared" si="33"/>
        <v>1348</v>
      </c>
    </row>
    <row r="346" spans="1:11" hidden="1" x14ac:dyDescent="0.25">
      <c r="A346" s="273"/>
      <c r="B346" s="310" t="s">
        <v>836</v>
      </c>
      <c r="C346" s="272"/>
      <c r="D346" s="271" t="s">
        <v>453</v>
      </c>
      <c r="E346" s="271" t="s">
        <v>452</v>
      </c>
      <c r="F346" s="271" t="s">
        <v>251</v>
      </c>
      <c r="G346" s="271"/>
      <c r="H346" s="270">
        <f>H347+H350</f>
        <v>1650.46</v>
      </c>
      <c r="I346" s="270">
        <f>I347+I350</f>
        <v>1250.5</v>
      </c>
      <c r="J346" s="269">
        <f>J347+J350</f>
        <v>1348</v>
      </c>
    </row>
    <row r="347" spans="1:11" hidden="1" x14ac:dyDescent="0.25">
      <c r="A347" s="273"/>
      <c r="B347" s="274" t="s">
        <v>250</v>
      </c>
      <c r="C347" s="272"/>
      <c r="D347" s="271" t="s">
        <v>453</v>
      </c>
      <c r="E347" s="271" t="s">
        <v>452</v>
      </c>
      <c r="F347" s="271" t="s">
        <v>249</v>
      </c>
      <c r="G347" s="271"/>
      <c r="H347" s="270">
        <f t="shared" ref="H347:J348" si="34">H348</f>
        <v>1650.46</v>
      </c>
      <c r="I347" s="270">
        <f t="shared" si="34"/>
        <v>1250.5</v>
      </c>
      <c r="J347" s="269">
        <f t="shared" si="34"/>
        <v>1348</v>
      </c>
    </row>
    <row r="348" spans="1:11" ht="13" hidden="1" x14ac:dyDescent="0.25">
      <c r="A348" s="273"/>
      <c r="B348" s="90" t="s">
        <v>248</v>
      </c>
      <c r="C348" s="272"/>
      <c r="D348" s="271" t="s">
        <v>453</v>
      </c>
      <c r="E348" s="271" t="s">
        <v>452</v>
      </c>
      <c r="F348" s="271" t="s">
        <v>243</v>
      </c>
      <c r="G348" s="271"/>
      <c r="H348" s="270">
        <f t="shared" si="34"/>
        <v>1650.46</v>
      </c>
      <c r="I348" s="270">
        <f t="shared" si="34"/>
        <v>1250.5</v>
      </c>
      <c r="J348" s="269">
        <f t="shared" si="34"/>
        <v>1348</v>
      </c>
    </row>
    <row r="349" spans="1:11" ht="20.5" hidden="1" thickBot="1" x14ac:dyDescent="0.3">
      <c r="A349" s="268"/>
      <c r="B349" s="267" t="s">
        <v>454</v>
      </c>
      <c r="C349" s="266"/>
      <c r="D349" s="265" t="s">
        <v>453</v>
      </c>
      <c r="E349" s="265" t="s">
        <v>452</v>
      </c>
      <c r="F349" s="265" t="s">
        <v>243</v>
      </c>
      <c r="G349" s="265" t="s">
        <v>1</v>
      </c>
      <c r="H349" s="264">
        <v>1650.46</v>
      </c>
      <c r="I349" s="264">
        <v>1250.5</v>
      </c>
      <c r="J349" s="407">
        <v>1348</v>
      </c>
    </row>
    <row r="350" spans="1:11" hidden="1" x14ac:dyDescent="0.25"/>
    <row r="351" spans="1:11" hidden="1" x14ac:dyDescent="0.25"/>
  </sheetData>
  <mergeCells count="4">
    <mergeCell ref="B12:H12"/>
    <mergeCell ref="A13:H13"/>
    <mergeCell ref="A14:H14"/>
    <mergeCell ref="A15:H15"/>
  </mergeCells>
  <pageMargins left="0.59055118110236227" right="0.59055118110236227" top="0.15748031496062992" bottom="0.15748031496062992" header="0.31496062992125984" footer="0.31496062992125984"/>
  <pageSetup scale="71" firstPageNumber="55" fitToHeight="4" orientation="portrait" useFirstPageNumber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V333"/>
  <sheetViews>
    <sheetView view="pageBreakPreview" zoomScaleNormal="90" zoomScaleSheetLayoutView="100" workbookViewId="0">
      <selection activeCell="A15" sqref="A15:L15"/>
    </sheetView>
  </sheetViews>
  <sheetFormatPr defaultColWidth="9.1796875" defaultRowHeight="13" x14ac:dyDescent="0.3"/>
  <cols>
    <col min="1" max="1" width="5.26953125" style="1468" customWidth="1"/>
    <col min="2" max="2" width="57.453125" style="1468" customWidth="1"/>
    <col min="3" max="3" width="5.54296875" style="1468" customWidth="1"/>
    <col min="4" max="4" width="6.54296875" style="1468" customWidth="1"/>
    <col min="5" max="5" width="7.26953125" style="1468" customWidth="1"/>
    <col min="6" max="6" width="11.54296875" style="1468" customWidth="1"/>
    <col min="7" max="7" width="7.1796875" style="1468" customWidth="1"/>
    <col min="8" max="9" width="14.7265625" style="1468" hidden="1" customWidth="1"/>
    <col min="10" max="10" width="15.81640625" style="1468" hidden="1" customWidth="1"/>
    <col min="11" max="11" width="18.7265625" style="1468" customWidth="1"/>
    <col min="12" max="12" width="15.54296875" style="1468" customWidth="1"/>
    <col min="13" max="13" width="11.453125" style="1473" hidden="1" customWidth="1"/>
    <col min="14" max="14" width="15.26953125" style="1473" hidden="1" customWidth="1"/>
    <col min="15" max="15" width="10.81640625" style="1473" hidden="1" customWidth="1"/>
    <col min="16" max="16" width="8.81640625" style="1468" customWidth="1"/>
    <col min="17" max="17" width="15.453125" style="1468" customWidth="1"/>
    <col min="18" max="20" width="9.1796875" style="1468" customWidth="1"/>
    <col min="21" max="21" width="13.54296875" style="1468" hidden="1" customWidth="1"/>
    <col min="22" max="22" width="13.7265625" style="1468" hidden="1" customWidth="1"/>
    <col min="23" max="16384" width="9.1796875" style="1468"/>
  </cols>
  <sheetData>
    <row r="1" spans="1:22" s="1433" customFormat="1" ht="15.5" x14ac:dyDescent="0.35">
      <c r="A1" s="1468"/>
      <c r="L1" s="410" t="s">
        <v>745</v>
      </c>
      <c r="M1" s="1462"/>
      <c r="N1" s="1462"/>
      <c r="O1" s="1462"/>
      <c r="U1" s="1468"/>
      <c r="V1" s="1468"/>
    </row>
    <row r="2" spans="1:22" s="1" customFormat="1" ht="15.5" x14ac:dyDescent="0.35">
      <c r="B2" s="6"/>
      <c r="C2" s="5"/>
      <c r="D2" s="4"/>
      <c r="E2" s="261"/>
      <c r="F2" s="261"/>
      <c r="G2" s="261"/>
      <c r="H2" s="261"/>
      <c r="I2" s="263"/>
      <c r="J2" s="263"/>
      <c r="K2" s="261"/>
      <c r="L2" s="1464" t="s">
        <v>450</v>
      </c>
      <c r="M2" s="1450"/>
      <c r="N2" s="1450"/>
      <c r="O2" s="760"/>
      <c r="P2" s="261"/>
      <c r="Q2" s="261"/>
      <c r="R2" s="261"/>
    </row>
    <row r="3" spans="1:22" s="1" customFormat="1" ht="15.5" x14ac:dyDescent="0.35">
      <c r="B3" s="6"/>
      <c r="C3" s="5"/>
      <c r="D3" s="3162" t="s">
        <v>449</v>
      </c>
      <c r="E3" s="3162"/>
      <c r="F3" s="3162"/>
      <c r="G3" s="3162"/>
      <c r="H3" s="3162"/>
      <c r="I3" s="3162"/>
      <c r="J3" s="3162"/>
      <c r="K3" s="3162"/>
      <c r="L3" s="3162"/>
      <c r="M3" s="1450"/>
      <c r="N3" s="1450"/>
      <c r="O3" s="1450"/>
      <c r="P3" s="261"/>
      <c r="Q3" s="261"/>
      <c r="R3" s="261"/>
      <c r="S3" s="261"/>
      <c r="T3" s="261"/>
    </row>
    <row r="4" spans="1:22" s="1" customFormat="1" ht="15.5" x14ac:dyDescent="0.35">
      <c r="B4" s="6"/>
      <c r="C4" s="5"/>
      <c r="D4" s="4"/>
      <c r="E4" s="261"/>
      <c r="F4" s="261"/>
      <c r="G4" s="261"/>
      <c r="H4" s="261"/>
      <c r="I4" s="263"/>
      <c r="J4" s="263"/>
      <c r="K4" s="261"/>
      <c r="L4" s="1464" t="s">
        <v>448</v>
      </c>
      <c r="M4" s="1450"/>
      <c r="N4" s="1450"/>
      <c r="O4" s="1450"/>
      <c r="P4" s="261"/>
      <c r="Q4" s="261"/>
      <c r="R4" s="261"/>
    </row>
    <row r="5" spans="1:22" s="1" customFormat="1" ht="15.5" x14ac:dyDescent="0.25">
      <c r="B5" s="6"/>
      <c r="C5" s="5"/>
      <c r="D5" s="4"/>
      <c r="E5" s="388"/>
      <c r="F5" s="388"/>
      <c r="G5" s="388"/>
      <c r="H5" s="388"/>
      <c r="I5" s="263"/>
      <c r="J5" s="263"/>
      <c r="K5" s="388"/>
      <c r="L5" s="1465" t="s">
        <v>902</v>
      </c>
      <c r="M5" s="1451"/>
      <c r="N5" s="1451"/>
      <c r="O5" s="1452"/>
      <c r="Q5" s="386"/>
      <c r="R5" s="386"/>
    </row>
    <row r="6" spans="1:22" s="1" customFormat="1" ht="15.5" hidden="1" x14ac:dyDescent="0.35">
      <c r="B6" s="6"/>
      <c r="C6" s="5"/>
      <c r="D6" s="4"/>
      <c r="E6" s="4"/>
      <c r="F6" s="4"/>
      <c r="G6" s="4"/>
      <c r="H6" s="263"/>
      <c r="I6" s="263"/>
      <c r="J6" s="263"/>
      <c r="K6" s="4"/>
      <c r="L6" s="4"/>
      <c r="M6" s="1453"/>
      <c r="N6" s="761"/>
      <c r="O6" s="1454"/>
      <c r="P6" s="1464"/>
      <c r="Q6" s="1464"/>
      <c r="R6" s="1464"/>
    </row>
    <row r="7" spans="1:22" s="1" customFormat="1" ht="15.5" hidden="1" x14ac:dyDescent="0.35">
      <c r="B7" s="6"/>
      <c r="C7" s="5"/>
      <c r="D7" s="385"/>
      <c r="E7" s="385"/>
      <c r="F7" s="254"/>
      <c r="G7" s="254"/>
      <c r="H7" s="1465"/>
      <c r="I7" s="263"/>
      <c r="J7" s="263"/>
      <c r="K7" s="4"/>
      <c r="L7" s="1465" t="s">
        <v>446</v>
      </c>
      <c r="M7" s="1455"/>
      <c r="N7" s="1456"/>
      <c r="O7" s="1454"/>
      <c r="P7" s="1464"/>
      <c r="Q7" s="1464"/>
      <c r="R7" s="1464"/>
    </row>
    <row r="8" spans="1:22" s="1" customFormat="1" ht="15.5" hidden="1" x14ac:dyDescent="0.35">
      <c r="B8" s="6"/>
      <c r="C8" s="5"/>
      <c r="D8" s="4"/>
      <c r="E8" s="254"/>
      <c r="F8" s="254"/>
      <c r="G8" s="254"/>
      <c r="H8" s="384"/>
      <c r="I8" s="263"/>
      <c r="J8" s="263"/>
      <c r="K8" s="4"/>
      <c r="L8" s="254"/>
      <c r="M8" s="1455"/>
      <c r="N8" s="1457"/>
      <c r="O8" s="760"/>
      <c r="P8" s="1464"/>
      <c r="Q8" s="1464"/>
    </row>
    <row r="9" spans="1:22" s="1" customFormat="1" ht="15.5" hidden="1" x14ac:dyDescent="0.35">
      <c r="B9" s="6"/>
      <c r="C9" s="5"/>
      <c r="D9" s="4"/>
      <c r="E9" s="254"/>
      <c r="F9" s="254"/>
      <c r="G9" s="254"/>
      <c r="H9" s="1465"/>
      <c r="I9" s="263"/>
      <c r="J9" s="263"/>
      <c r="K9" s="4"/>
      <c r="L9" s="1465" t="s">
        <v>848</v>
      </c>
      <c r="M9" s="1455"/>
      <c r="N9" s="1456"/>
      <c r="O9" s="1454"/>
      <c r="P9" s="1464"/>
      <c r="Q9" s="1464"/>
      <c r="R9" s="1464"/>
    </row>
    <row r="10" spans="1:22" s="1" customFormat="1" ht="15.5" hidden="1" x14ac:dyDescent="0.35">
      <c r="B10" s="250"/>
      <c r="C10" s="249"/>
      <c r="D10" s="247"/>
      <c r="E10" s="247"/>
      <c r="F10" s="247"/>
      <c r="G10" s="247"/>
      <c r="H10" s="382"/>
      <c r="I10" s="379"/>
      <c r="J10" s="378"/>
      <c r="K10" s="381"/>
      <c r="L10" s="4"/>
      <c r="M10" s="1453"/>
      <c r="N10" s="761"/>
      <c r="O10" s="1454"/>
      <c r="P10" s="1464"/>
      <c r="Q10" s="1464"/>
    </row>
    <row r="11" spans="1:22" s="1" customFormat="1" x14ac:dyDescent="0.3">
      <c r="B11" s="250"/>
      <c r="C11" s="249"/>
      <c r="D11" s="247"/>
      <c r="E11" s="247"/>
      <c r="F11" s="247"/>
      <c r="G11" s="248" t="s">
        <v>442</v>
      </c>
      <c r="H11" s="380" t="e">
        <f>H10-#REF!</f>
        <v>#REF!</v>
      </c>
      <c r="I11" s="379" t="s">
        <v>443</v>
      </c>
      <c r="J11" s="378">
        <v>1804.9</v>
      </c>
      <c r="K11" s="377">
        <v>3685.4</v>
      </c>
      <c r="M11" s="760"/>
      <c r="N11" s="760"/>
      <c r="O11" s="760"/>
    </row>
    <row r="12" spans="1:22" s="1" customFormat="1" ht="15.5" x14ac:dyDescent="0.3">
      <c r="B12" s="3376"/>
      <c r="C12" s="3376"/>
      <c r="D12" s="3376"/>
      <c r="E12" s="3376"/>
      <c r="F12" s="3376"/>
      <c r="G12" s="3376"/>
      <c r="H12" s="3376"/>
      <c r="I12" s="242" t="s">
        <v>442</v>
      </c>
      <c r="J12" s="241" t="e">
        <f>J10-J11-#REF!</f>
        <v>#REF!</v>
      </c>
      <c r="K12" s="240"/>
      <c r="M12" s="1466">
        <f>M18-K18</f>
        <v>0</v>
      </c>
      <c r="N12" s="760"/>
      <c r="O12" s="1466">
        <f>O18-L18</f>
        <v>0</v>
      </c>
    </row>
    <row r="13" spans="1:22" s="1" customFormat="1" ht="15.65" customHeight="1" x14ac:dyDescent="0.3">
      <c r="A13" s="3388" t="s">
        <v>614</v>
      </c>
      <c r="B13" s="3388"/>
      <c r="C13" s="3388"/>
      <c r="D13" s="3388"/>
      <c r="E13" s="3388"/>
      <c r="F13" s="3388"/>
      <c r="G13" s="3388"/>
      <c r="H13" s="3388"/>
      <c r="I13" s="3388"/>
      <c r="J13" s="3388"/>
      <c r="K13" s="3388"/>
      <c r="L13" s="3388"/>
      <c r="M13" s="1442">
        <v>2020</v>
      </c>
      <c r="N13" s="1442"/>
      <c r="O13" s="1442">
        <v>2021</v>
      </c>
    </row>
    <row r="14" spans="1:22" s="1" customFormat="1" ht="15.65" customHeight="1" x14ac:dyDescent="0.3">
      <c r="A14" s="3388" t="s">
        <v>613</v>
      </c>
      <c r="B14" s="3388"/>
      <c r="C14" s="3388"/>
      <c r="D14" s="3388"/>
      <c r="E14" s="3388"/>
      <c r="F14" s="3388"/>
      <c r="G14" s="3388"/>
      <c r="H14" s="3388"/>
      <c r="I14" s="3388"/>
      <c r="J14" s="3388"/>
      <c r="K14" s="3388"/>
      <c r="L14" s="3388"/>
      <c r="M14" s="1458"/>
      <c r="N14" s="760"/>
      <c r="O14" s="760"/>
      <c r="U14" s="376" t="e">
        <f>#REF!-#REF!</f>
        <v>#REF!</v>
      </c>
      <c r="V14" s="376" t="e">
        <f>#REF!-#REF!</f>
        <v>#REF!</v>
      </c>
    </row>
    <row r="15" spans="1:22" s="1" customFormat="1" ht="15" customHeight="1" x14ac:dyDescent="0.3">
      <c r="A15" s="3388" t="s">
        <v>903</v>
      </c>
      <c r="B15" s="3388"/>
      <c r="C15" s="3388"/>
      <c r="D15" s="3388"/>
      <c r="E15" s="3388"/>
      <c r="F15" s="3388"/>
      <c r="G15" s="3388"/>
      <c r="H15" s="3388"/>
      <c r="I15" s="3388"/>
      <c r="J15" s="3388"/>
      <c r="K15" s="3388"/>
      <c r="L15" s="3388"/>
      <c r="M15" s="1459"/>
      <c r="N15" s="760"/>
      <c r="O15" s="1460"/>
      <c r="P15" s="5"/>
      <c r="Q15" s="5"/>
      <c r="R15" s="5"/>
      <c r="S15" s="5"/>
      <c r="T15" s="5"/>
      <c r="U15" s="5">
        <v>2016</v>
      </c>
      <c r="V15" s="5">
        <v>2017</v>
      </c>
    </row>
    <row r="16" spans="1:22" s="1" customFormat="1" ht="16" thickBot="1" x14ac:dyDescent="0.4">
      <c r="A16" s="375"/>
      <c r="B16" s="236"/>
      <c r="C16" s="235"/>
      <c r="D16" s="234"/>
      <c r="E16" s="234"/>
      <c r="F16" s="234"/>
      <c r="G16" s="234"/>
      <c r="H16" s="374" t="s">
        <v>437</v>
      </c>
      <c r="I16" s="374"/>
      <c r="J16" s="374"/>
      <c r="K16" s="374"/>
      <c r="L16" s="396" t="s">
        <v>829</v>
      </c>
      <c r="M16" s="760"/>
      <c r="N16" s="760"/>
      <c r="O16" s="760"/>
      <c r="U16" s="1" t="s">
        <v>612</v>
      </c>
      <c r="V16" s="1" t="s">
        <v>612</v>
      </c>
    </row>
    <row r="17" spans="1:22" s="1" customFormat="1" ht="14.5" x14ac:dyDescent="0.35">
      <c r="A17" s="1358" t="s">
        <v>611</v>
      </c>
      <c r="B17" s="1359" t="s">
        <v>322</v>
      </c>
      <c r="C17" s="1360" t="s">
        <v>610</v>
      </c>
      <c r="D17" s="1361" t="s">
        <v>609</v>
      </c>
      <c r="E17" s="1361" t="s">
        <v>608</v>
      </c>
      <c r="F17" s="1361" t="s">
        <v>607</v>
      </c>
      <c r="G17" s="1361" t="s">
        <v>606</v>
      </c>
      <c r="H17" s="1362" t="s">
        <v>605</v>
      </c>
      <c r="I17" s="1362" t="s">
        <v>604</v>
      </c>
      <c r="J17" s="1362" t="s">
        <v>603</v>
      </c>
      <c r="K17" s="1362" t="s">
        <v>845</v>
      </c>
      <c r="L17" s="1363" t="s">
        <v>904</v>
      </c>
      <c r="M17" s="1462">
        <f>M20-M18</f>
        <v>0</v>
      </c>
      <c r="N17" s="1462"/>
      <c r="O17" s="1462">
        <f>O20-O18</f>
        <v>0</v>
      </c>
      <c r="P17" s="1433"/>
      <c r="Q17" s="1433"/>
      <c r="R17" s="1433"/>
      <c r="S17" s="1433"/>
      <c r="T17" s="1433"/>
      <c r="U17" s="1433"/>
      <c r="V17" s="1433"/>
    </row>
    <row r="18" spans="1:22" s="1" customFormat="1" ht="14.5" x14ac:dyDescent="0.35">
      <c r="A18" s="1364"/>
      <c r="B18" s="1365" t="s">
        <v>602</v>
      </c>
      <c r="C18" s="1366"/>
      <c r="D18" s="1367"/>
      <c r="E18" s="1367"/>
      <c r="F18" s="1367"/>
      <c r="G18" s="1367"/>
      <c r="H18" s="1368">
        <f>H19+H45+H308</f>
        <v>106690.11599999999</v>
      </c>
      <c r="I18" s="1368">
        <f>I19+I45</f>
        <v>265575.86900000001</v>
      </c>
      <c r="J18" s="1368">
        <f>J19+J45</f>
        <v>255263.86200000002</v>
      </c>
      <c r="K18" s="1368">
        <f>K20</f>
        <v>94576.187000000005</v>
      </c>
      <c r="L18" s="1369">
        <f>L20</f>
        <v>94721.560000000012</v>
      </c>
      <c r="M18" s="1462">
        <f>96930-2353.813</f>
        <v>94576.187000000005</v>
      </c>
      <c r="N18" s="1462"/>
      <c r="O18" s="1462">
        <f>99600.5-4878.94</f>
        <v>94721.56</v>
      </c>
      <c r="P18" s="1433"/>
      <c r="Q18" s="1433"/>
      <c r="R18" s="1433"/>
      <c r="S18" s="1433"/>
      <c r="T18" s="1433"/>
      <c r="U18" s="1433"/>
      <c r="V18" s="1433"/>
    </row>
    <row r="19" spans="1:22" s="1" customFormat="1" ht="21" hidden="1" x14ac:dyDescent="0.35">
      <c r="A19" s="1370">
        <v>1</v>
      </c>
      <c r="B19" s="1371" t="s">
        <v>601</v>
      </c>
      <c r="C19" s="1372" t="s">
        <v>430</v>
      </c>
      <c r="D19" s="1372"/>
      <c r="E19" s="1372"/>
      <c r="F19" s="1372"/>
      <c r="G19" s="1372"/>
      <c r="H19" s="1373">
        <f>H21</f>
        <v>2717.9219999999996</v>
      </c>
      <c r="I19" s="1373">
        <f>I21</f>
        <v>6828.98</v>
      </c>
      <c r="J19" s="1373">
        <f>J21</f>
        <v>6828.98</v>
      </c>
      <c r="K19" s="1373">
        <f>K21</f>
        <v>24974.249999999996</v>
      </c>
      <c r="L19" s="1374">
        <f>L21</f>
        <v>25943.338</v>
      </c>
      <c r="M19" s="1462"/>
      <c r="N19" s="1462"/>
      <c r="O19" s="1462"/>
      <c r="P19" s="1433"/>
      <c r="Q19" s="1433"/>
      <c r="R19" s="1433"/>
      <c r="S19" s="1433"/>
      <c r="T19" s="1433"/>
      <c r="U19" s="1433"/>
      <c r="V19" s="1433"/>
    </row>
    <row r="20" spans="1:22" s="1" customFormat="1" ht="21" x14ac:dyDescent="0.35">
      <c r="A20" s="842">
        <v>1</v>
      </c>
      <c r="B20" s="752" t="s">
        <v>584</v>
      </c>
      <c r="C20" s="408" t="s">
        <v>430</v>
      </c>
      <c r="D20" s="408"/>
      <c r="E20" s="408"/>
      <c r="F20" s="408"/>
      <c r="G20" s="408"/>
      <c r="H20" s="1375">
        <f>H21+H107+H133+H182+H238+H255++H276+H291</f>
        <v>16053.921999999999</v>
      </c>
      <c r="I20" s="1375">
        <f>I21+I82+I108+I157+I213+I224+I251+I266+I74</f>
        <v>51195.360000000001</v>
      </c>
      <c r="J20" s="1375">
        <f>J21+J82+J108+J157+J213+J224+J251+J266+J74</f>
        <v>46115.53</v>
      </c>
      <c r="K20" s="29">
        <f>K21+K95+K120+K168+K224+K234+K262+K277+K87+K325</f>
        <v>94576.187000000005</v>
      </c>
      <c r="L20" s="1376">
        <f>L21+L95+L120+L168+L224+L234+L262+L277+L87+L325</f>
        <v>94721.560000000012</v>
      </c>
      <c r="M20" s="1469">
        <f>M23+M46+M69+M75+M76+M87+M98+M114+M121+M153+M156+M163+M167+M178+M183+M187+M203+M205+M211+M215+M233+M235+M263+M300+M331</f>
        <v>94576.187000000005</v>
      </c>
      <c r="N20" s="1469"/>
      <c r="O20" s="1469">
        <f>O23+O46+O69+O75+O76+O87+O98+O114+O121+O153+O156+O163+O167+O178+O183+O187+O203+O205+O211+O215+O233+O235+O263+O300+O331</f>
        <v>94721.56</v>
      </c>
      <c r="P20" s="1433"/>
      <c r="Q20" s="1433"/>
      <c r="R20" s="1433"/>
      <c r="S20" s="1433"/>
      <c r="T20" s="1433"/>
      <c r="U20" s="1433"/>
      <c r="V20" s="1433"/>
    </row>
    <row r="21" spans="1:22" s="1" customFormat="1" ht="14.5" x14ac:dyDescent="0.35">
      <c r="A21" s="1172"/>
      <c r="B21" s="1377" t="s">
        <v>431</v>
      </c>
      <c r="C21" s="1174"/>
      <c r="D21" s="1175" t="s">
        <v>456</v>
      </c>
      <c r="E21" s="1175" t="s">
        <v>459</v>
      </c>
      <c r="F21" s="1175"/>
      <c r="G21" s="1175"/>
      <c r="H21" s="1378">
        <f>H22+H28+H39</f>
        <v>2717.9219999999996</v>
      </c>
      <c r="I21" s="1378">
        <f>I22+I28</f>
        <v>6828.98</v>
      </c>
      <c r="J21" s="1378">
        <f>J22+J28</f>
        <v>6828.98</v>
      </c>
      <c r="K21" s="1378">
        <f>K28+K47++K64+K70+K22</f>
        <v>24974.249999999996</v>
      </c>
      <c r="L21" s="1379">
        <f>L28+L47++L64+L70+L22</f>
        <v>25943.338</v>
      </c>
      <c r="M21" s="1462"/>
      <c r="N21" s="1462"/>
      <c r="O21" s="1462"/>
      <c r="P21" s="1433"/>
      <c r="Q21" s="1433"/>
      <c r="R21" s="1433"/>
      <c r="S21" s="1433"/>
      <c r="T21" s="1433"/>
      <c r="U21" s="1433"/>
      <c r="V21" s="1433"/>
    </row>
    <row r="22" spans="1:22" s="1" customFormat="1" ht="21" x14ac:dyDescent="0.35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408"/>
      <c r="H22" s="1380">
        <f t="shared" ref="H22:L26" si="0">H23</f>
        <v>0</v>
      </c>
      <c r="I22" s="1380">
        <f t="shared" si="0"/>
        <v>1780.07</v>
      </c>
      <c r="J22" s="1380">
        <f t="shared" si="0"/>
        <v>1780.07</v>
      </c>
      <c r="K22" s="1380">
        <f t="shared" si="0"/>
        <v>1764.761</v>
      </c>
      <c r="L22" s="1381">
        <f t="shared" si="0"/>
        <v>1832.232</v>
      </c>
      <c r="M22" s="1462"/>
      <c r="N22" s="1462"/>
      <c r="O22" s="1462"/>
      <c r="P22" s="1433"/>
      <c r="Q22" s="1433"/>
      <c r="R22" s="1433"/>
      <c r="S22" s="1433"/>
      <c r="T22" s="1433"/>
      <c r="U22" s="1433"/>
      <c r="V22" s="1433"/>
    </row>
    <row r="23" spans="1:22" s="1" customFormat="1" ht="21" x14ac:dyDescent="0.35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409"/>
      <c r="H23" s="1382">
        <f t="shared" si="0"/>
        <v>0</v>
      </c>
      <c r="I23" s="1382">
        <f t="shared" si="0"/>
        <v>1780.07</v>
      </c>
      <c r="J23" s="1382">
        <f t="shared" si="0"/>
        <v>1780.07</v>
      </c>
      <c r="K23" s="1382">
        <f t="shared" si="0"/>
        <v>1764.761</v>
      </c>
      <c r="L23" s="1383">
        <f t="shared" si="0"/>
        <v>1832.232</v>
      </c>
      <c r="M23" s="1469">
        <f>M27+M33+M34</f>
        <v>3723.08</v>
      </c>
      <c r="N23" s="1462"/>
      <c r="O23" s="1469">
        <f>O27+O33+O34</f>
        <v>3872.0039999999999</v>
      </c>
      <c r="P23" s="1433"/>
      <c r="Q23" s="1433"/>
      <c r="R23" s="1433"/>
      <c r="S23" s="1433"/>
      <c r="T23" s="1433"/>
      <c r="U23" s="1433"/>
      <c r="V23" s="1433"/>
    </row>
    <row r="24" spans="1:22" s="1" customFormat="1" ht="27" customHeight="1" x14ac:dyDescent="0.35">
      <c r="A24" s="842"/>
      <c r="B24" s="753" t="s">
        <v>865</v>
      </c>
      <c r="C24" s="1180"/>
      <c r="D24" s="409" t="s">
        <v>456</v>
      </c>
      <c r="E24" s="409" t="s">
        <v>488</v>
      </c>
      <c r="F24" s="409" t="s">
        <v>598</v>
      </c>
      <c r="G24" s="409"/>
      <c r="H24" s="1382">
        <f t="shared" si="0"/>
        <v>0</v>
      </c>
      <c r="I24" s="1382">
        <f t="shared" si="0"/>
        <v>1780.07</v>
      </c>
      <c r="J24" s="1382">
        <f t="shared" si="0"/>
        <v>1780.07</v>
      </c>
      <c r="K24" s="1382">
        <f t="shared" si="0"/>
        <v>1764.761</v>
      </c>
      <c r="L24" s="1383">
        <f t="shared" si="0"/>
        <v>1832.232</v>
      </c>
      <c r="M24" s="1462"/>
      <c r="N24" s="1462"/>
      <c r="O24" s="1462"/>
      <c r="P24" s="1433"/>
      <c r="Q24" s="1433"/>
      <c r="R24" s="1433"/>
      <c r="S24" s="1433"/>
      <c r="T24" s="1433"/>
      <c r="U24" s="1433"/>
      <c r="V24" s="1433"/>
    </row>
    <row r="25" spans="1:22" s="1" customFormat="1" ht="13.5" customHeight="1" x14ac:dyDescent="0.35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409"/>
      <c r="H25" s="1382">
        <f t="shared" si="0"/>
        <v>0</v>
      </c>
      <c r="I25" s="1382">
        <f t="shared" si="0"/>
        <v>1780.07</v>
      </c>
      <c r="J25" s="1382">
        <f t="shared" si="0"/>
        <v>1780.07</v>
      </c>
      <c r="K25" s="1382">
        <f t="shared" si="0"/>
        <v>1764.761</v>
      </c>
      <c r="L25" s="1383">
        <f t="shared" si="0"/>
        <v>1832.232</v>
      </c>
      <c r="M25" s="1462"/>
      <c r="N25" s="1462"/>
      <c r="O25" s="1462"/>
      <c r="P25" s="1433"/>
      <c r="Q25" s="1433"/>
      <c r="R25" s="1433"/>
      <c r="S25" s="1433"/>
      <c r="T25" s="1433"/>
      <c r="U25" s="1433"/>
      <c r="V25" s="1433"/>
    </row>
    <row r="26" spans="1:22" s="1" customFormat="1" ht="21" x14ac:dyDescent="0.35">
      <c r="A26" s="842"/>
      <c r="B26" s="753" t="s">
        <v>865</v>
      </c>
      <c r="C26" s="1180"/>
      <c r="D26" s="409" t="s">
        <v>595</v>
      </c>
      <c r="E26" s="409" t="s">
        <v>594</v>
      </c>
      <c r="F26" s="1384" t="s">
        <v>593</v>
      </c>
      <c r="G26" s="409"/>
      <c r="H26" s="1382">
        <f t="shared" si="0"/>
        <v>0</v>
      </c>
      <c r="I26" s="1382">
        <f t="shared" si="0"/>
        <v>1780.07</v>
      </c>
      <c r="J26" s="1382">
        <f t="shared" si="0"/>
        <v>1780.07</v>
      </c>
      <c r="K26" s="1382">
        <f t="shared" si="0"/>
        <v>1764.761</v>
      </c>
      <c r="L26" s="1383">
        <f t="shared" si="0"/>
        <v>1832.232</v>
      </c>
      <c r="M26" s="1462"/>
      <c r="N26" s="1462"/>
      <c r="O26" s="1462"/>
      <c r="P26" s="1433"/>
      <c r="Q26" s="1433"/>
      <c r="R26" s="1433"/>
      <c r="S26" s="1433"/>
      <c r="T26" s="1433"/>
      <c r="U26" s="1433"/>
      <c r="V26" s="1433"/>
    </row>
    <row r="27" spans="1:22" s="1" customFormat="1" ht="14.5" x14ac:dyDescent="0.35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409" t="s">
        <v>5</v>
      </c>
      <c r="H27" s="1382"/>
      <c r="I27" s="1382">
        <v>1780.07</v>
      </c>
      <c r="J27" s="1382">
        <v>1780.07</v>
      </c>
      <c r="K27" s="1382">
        <v>1764.761</v>
      </c>
      <c r="L27" s="1383">
        <v>1832.232</v>
      </c>
      <c r="M27" s="1462">
        <v>1764.761</v>
      </c>
      <c r="N27" s="1462"/>
      <c r="O27" s="1462">
        <v>1832.232</v>
      </c>
      <c r="P27" s="1433"/>
      <c r="Q27" s="1433"/>
      <c r="R27" s="1433"/>
      <c r="S27" s="1433"/>
      <c r="T27" s="1433"/>
      <c r="U27" s="1433"/>
      <c r="V27" s="1433"/>
    </row>
    <row r="28" spans="1:22" s="1" customFormat="1" ht="21.75" customHeight="1" x14ac:dyDescent="0.35">
      <c r="A28" s="842"/>
      <c r="B28" s="752" t="s">
        <v>592</v>
      </c>
      <c r="C28" s="1177"/>
      <c r="D28" s="408" t="s">
        <v>456</v>
      </c>
      <c r="E28" s="408" t="s">
        <v>495</v>
      </c>
      <c r="F28" s="408"/>
      <c r="G28" s="408"/>
      <c r="H28" s="1380">
        <f>H29</f>
        <v>2529.7219999999998</v>
      </c>
      <c r="I28" s="1380">
        <f>I29</f>
        <v>5048.91</v>
      </c>
      <c r="J28" s="1380">
        <f>J29</f>
        <v>5048.91</v>
      </c>
      <c r="K28" s="1380">
        <f>K29</f>
        <v>1958.319</v>
      </c>
      <c r="L28" s="1381">
        <f>L29</f>
        <v>2039.7719999999999</v>
      </c>
      <c r="M28" s="1462"/>
      <c r="N28" s="1462"/>
      <c r="O28" s="1462"/>
      <c r="P28" s="1433"/>
      <c r="Q28" s="1433"/>
      <c r="R28" s="1433"/>
      <c r="S28" s="1433"/>
      <c r="T28" s="1433"/>
      <c r="U28" s="1433"/>
      <c r="V28" s="1433"/>
    </row>
    <row r="29" spans="1:22" s="1" customFormat="1" ht="24.75" customHeight="1" x14ac:dyDescent="0.35">
      <c r="A29" s="1179"/>
      <c r="B29" s="753" t="s">
        <v>588</v>
      </c>
      <c r="C29" s="1180"/>
      <c r="D29" s="409" t="s">
        <v>456</v>
      </c>
      <c r="E29" s="409" t="s">
        <v>495</v>
      </c>
      <c r="F29" s="1384" t="s">
        <v>157</v>
      </c>
      <c r="G29" s="409"/>
      <c r="H29" s="1382">
        <f>H30+H35</f>
        <v>2529.7219999999998</v>
      </c>
      <c r="I29" s="1382">
        <f>I30+I35</f>
        <v>5048.91</v>
      </c>
      <c r="J29" s="1382">
        <f>J30+J35</f>
        <v>5048.91</v>
      </c>
      <c r="K29" s="1382">
        <f>K30+K35</f>
        <v>1958.319</v>
      </c>
      <c r="L29" s="1383">
        <f>L30+L35</f>
        <v>2039.7719999999999</v>
      </c>
      <c r="M29" s="1462"/>
      <c r="N29" s="1462"/>
      <c r="O29" s="1462"/>
      <c r="P29" s="1433"/>
      <c r="Q29" s="1433"/>
      <c r="R29" s="1433"/>
      <c r="S29" s="1433"/>
      <c r="T29" s="1433"/>
      <c r="U29" s="1433"/>
      <c r="V29" s="1433"/>
    </row>
    <row r="30" spans="1:22" s="1" customFormat="1" ht="25.5" customHeight="1" x14ac:dyDescent="0.35">
      <c r="A30" s="842"/>
      <c r="B30" s="753" t="s">
        <v>591</v>
      </c>
      <c r="C30" s="1180"/>
      <c r="D30" s="409" t="s">
        <v>456</v>
      </c>
      <c r="E30" s="409" t="s">
        <v>495</v>
      </c>
      <c r="F30" s="409" t="s">
        <v>155</v>
      </c>
      <c r="G30" s="409"/>
      <c r="H30" s="1382">
        <f t="shared" ref="H30:L31" si="1">H31</f>
        <v>1930.1189999999999</v>
      </c>
      <c r="I30" s="1382">
        <f t="shared" si="1"/>
        <v>3624.87</v>
      </c>
      <c r="J30" s="1382">
        <f t="shared" si="1"/>
        <v>3624.87</v>
      </c>
      <c r="K30" s="1382">
        <f t="shared" si="1"/>
        <v>1958.319</v>
      </c>
      <c r="L30" s="1383">
        <f t="shared" si="1"/>
        <v>2039.7719999999999</v>
      </c>
      <c r="M30" s="1462"/>
      <c r="N30" s="1462"/>
      <c r="O30" s="1462"/>
      <c r="P30" s="1433"/>
      <c r="Q30" s="1433"/>
      <c r="R30" s="1433"/>
      <c r="S30" s="1433"/>
      <c r="T30" s="1433"/>
      <c r="U30" s="1433"/>
      <c r="V30" s="1433"/>
    </row>
    <row r="31" spans="1:22" s="1" customFormat="1" ht="12" customHeight="1" x14ac:dyDescent="0.35">
      <c r="A31" s="842"/>
      <c r="B31" s="753" t="s">
        <v>582</v>
      </c>
      <c r="C31" s="1180"/>
      <c r="D31" s="409" t="s">
        <v>456</v>
      </c>
      <c r="E31" s="409" t="s">
        <v>495</v>
      </c>
      <c r="F31" s="409" t="s">
        <v>154</v>
      </c>
      <c r="G31" s="409"/>
      <c r="H31" s="1382">
        <f t="shared" si="1"/>
        <v>1930.1189999999999</v>
      </c>
      <c r="I31" s="1382">
        <f t="shared" si="1"/>
        <v>3624.87</v>
      </c>
      <c r="J31" s="1382">
        <f t="shared" si="1"/>
        <v>3624.87</v>
      </c>
      <c r="K31" s="1382">
        <f t="shared" si="1"/>
        <v>1958.319</v>
      </c>
      <c r="L31" s="1383">
        <f t="shared" si="1"/>
        <v>2039.7719999999999</v>
      </c>
      <c r="M31" s="1462"/>
      <c r="N31" s="1462"/>
      <c r="O31" s="1462"/>
      <c r="P31" s="1433"/>
      <c r="Q31" s="1433"/>
      <c r="R31" s="1433"/>
      <c r="S31" s="1433"/>
      <c r="T31" s="1433"/>
      <c r="U31" s="1433"/>
      <c r="V31" s="1433"/>
    </row>
    <row r="32" spans="1:22" s="1" customFormat="1" ht="16.5" customHeight="1" x14ac:dyDescent="0.35">
      <c r="A32" s="842"/>
      <c r="B32" s="753" t="s">
        <v>153</v>
      </c>
      <c r="C32" s="1180"/>
      <c r="D32" s="409" t="s">
        <v>456</v>
      </c>
      <c r="E32" s="409" t="s">
        <v>495</v>
      </c>
      <c r="F32" s="409" t="s">
        <v>152</v>
      </c>
      <c r="G32" s="409"/>
      <c r="H32" s="1382">
        <f>H33+H34</f>
        <v>1930.1189999999999</v>
      </c>
      <c r="I32" s="1382">
        <f>I33+I34</f>
        <v>3624.87</v>
      </c>
      <c r="J32" s="1382">
        <f>J33+J34</f>
        <v>3624.87</v>
      </c>
      <c r="K32" s="1382">
        <f>K33+K34</f>
        <v>1958.319</v>
      </c>
      <c r="L32" s="1383">
        <f>L33+L34</f>
        <v>2039.7719999999999</v>
      </c>
      <c r="M32" s="1462"/>
      <c r="N32" s="1462"/>
      <c r="O32" s="1462"/>
      <c r="P32" s="1433"/>
      <c r="Q32" s="1433"/>
      <c r="R32" s="1433"/>
      <c r="S32" s="1433"/>
      <c r="T32" s="1433"/>
      <c r="U32" s="1433"/>
      <c r="V32" s="1433"/>
    </row>
    <row r="33" spans="1:22" s="1" customFormat="1" ht="14.5" x14ac:dyDescent="0.35">
      <c r="A33" s="842"/>
      <c r="B33" s="1182" t="s">
        <v>571</v>
      </c>
      <c r="C33" s="1183"/>
      <c r="D33" s="409" t="s">
        <v>456</v>
      </c>
      <c r="E33" s="409" t="s">
        <v>495</v>
      </c>
      <c r="F33" s="409" t="s">
        <v>152</v>
      </c>
      <c r="G33" s="409" t="s">
        <v>5</v>
      </c>
      <c r="H33" s="1382">
        <v>611.298</v>
      </c>
      <c r="I33" s="1382">
        <v>2113.77</v>
      </c>
      <c r="J33" s="1382">
        <v>2113.77</v>
      </c>
      <c r="K33" s="1382">
        <v>994.03099999999995</v>
      </c>
      <c r="L33" s="1383">
        <v>1033.7919999999999</v>
      </c>
      <c r="M33" s="1462">
        <v>994.03099999999995</v>
      </c>
      <c r="N33" s="1462"/>
      <c r="O33" s="1462">
        <v>1033.7919999999999</v>
      </c>
      <c r="P33" s="1433"/>
      <c r="Q33" s="1433"/>
      <c r="R33" s="1433"/>
      <c r="S33" s="1433"/>
      <c r="T33" s="1433"/>
      <c r="U33" s="1433"/>
      <c r="V33" s="1433"/>
    </row>
    <row r="34" spans="1:22" s="1" customFormat="1" ht="21" x14ac:dyDescent="0.35">
      <c r="A34" s="842"/>
      <c r="B34" s="1182" t="s">
        <v>454</v>
      </c>
      <c r="C34" s="1183"/>
      <c r="D34" s="409" t="s">
        <v>456</v>
      </c>
      <c r="E34" s="409" t="s">
        <v>495</v>
      </c>
      <c r="F34" s="409" t="s">
        <v>152</v>
      </c>
      <c r="G34" s="409" t="s">
        <v>1</v>
      </c>
      <c r="H34" s="1382">
        <v>1318.8209999999999</v>
      </c>
      <c r="I34" s="1382">
        <f>40+1471.1</f>
        <v>1511.1</v>
      </c>
      <c r="J34" s="1382">
        <f>40+1471.1</f>
        <v>1511.1</v>
      </c>
      <c r="K34" s="1382">
        <v>964.28800000000001</v>
      </c>
      <c r="L34" s="1383">
        <v>1005.98</v>
      </c>
      <c r="M34" s="1462">
        <v>964.28800000000001</v>
      </c>
      <c r="N34" s="1462"/>
      <c r="O34" s="1462">
        <v>1005.98</v>
      </c>
      <c r="P34" s="1433"/>
      <c r="Q34" s="1433"/>
      <c r="R34" s="1433"/>
      <c r="S34" s="1433"/>
      <c r="T34" s="1433"/>
      <c r="U34" s="1433"/>
      <c r="V34" s="1433"/>
    </row>
    <row r="35" spans="1:22" s="1" customFormat="1" ht="32" hidden="1" thickBot="1" x14ac:dyDescent="0.4">
      <c r="A35" s="1179"/>
      <c r="B35" s="1117" t="s">
        <v>590</v>
      </c>
      <c r="C35" s="1188"/>
      <c r="D35" s="409" t="s">
        <v>456</v>
      </c>
      <c r="E35" s="409" t="s">
        <v>495</v>
      </c>
      <c r="F35" s="409" t="s">
        <v>117</v>
      </c>
      <c r="G35" s="409"/>
      <c r="H35" s="1382">
        <f t="shared" ref="H35:J37" si="2">H36</f>
        <v>599.60299999999995</v>
      </c>
      <c r="I35" s="1382">
        <f t="shared" si="2"/>
        <v>1424.04</v>
      </c>
      <c r="J35" s="1382">
        <f t="shared" si="2"/>
        <v>1424.04</v>
      </c>
      <c r="K35" s="1382"/>
      <c r="L35" s="1383"/>
      <c r="M35" s="1462"/>
      <c r="N35" s="1462"/>
      <c r="O35" s="1462"/>
      <c r="P35" s="1433"/>
      <c r="Q35" s="1433"/>
      <c r="R35" s="1433"/>
      <c r="S35" s="1433"/>
      <c r="T35" s="1433"/>
      <c r="U35" s="1433"/>
      <c r="V35" s="1433"/>
    </row>
    <row r="36" spans="1:22" s="1" customFormat="1" ht="27.75" hidden="1" customHeight="1" x14ac:dyDescent="0.35">
      <c r="A36" s="1179"/>
      <c r="B36" s="1117" t="s">
        <v>582</v>
      </c>
      <c r="C36" s="1188"/>
      <c r="D36" s="409" t="s">
        <v>456</v>
      </c>
      <c r="E36" s="409" t="s">
        <v>495</v>
      </c>
      <c r="F36" s="409" t="s">
        <v>116</v>
      </c>
      <c r="G36" s="409"/>
      <c r="H36" s="1382">
        <f t="shared" si="2"/>
        <v>599.60299999999995</v>
      </c>
      <c r="I36" s="1382">
        <f t="shared" si="2"/>
        <v>1424.04</v>
      </c>
      <c r="J36" s="1382">
        <f t="shared" si="2"/>
        <v>1424.04</v>
      </c>
      <c r="K36" s="1382"/>
      <c r="L36" s="1383"/>
      <c r="M36" s="1462"/>
      <c r="N36" s="1462"/>
      <c r="O36" s="1462"/>
      <c r="P36" s="1433"/>
      <c r="Q36" s="1433"/>
      <c r="R36" s="1433"/>
      <c r="S36" s="1433"/>
      <c r="T36" s="1433"/>
      <c r="U36" s="1433"/>
      <c r="V36" s="1433"/>
    </row>
    <row r="37" spans="1:22" s="1" customFormat="1" ht="32" hidden="1" thickBot="1" x14ac:dyDescent="0.4">
      <c r="A37" s="1179"/>
      <c r="B37" s="1117" t="s">
        <v>589</v>
      </c>
      <c r="C37" s="1188"/>
      <c r="D37" s="409" t="s">
        <v>456</v>
      </c>
      <c r="E37" s="409" t="s">
        <v>495</v>
      </c>
      <c r="F37" s="409" t="s">
        <v>113</v>
      </c>
      <c r="G37" s="409"/>
      <c r="H37" s="1382">
        <f t="shared" si="2"/>
        <v>599.60299999999995</v>
      </c>
      <c r="I37" s="1382">
        <f t="shared" si="2"/>
        <v>1424.04</v>
      </c>
      <c r="J37" s="1382">
        <f t="shared" si="2"/>
        <v>1424.04</v>
      </c>
      <c r="K37" s="1382"/>
      <c r="L37" s="1383"/>
      <c r="M37" s="1462"/>
      <c r="N37" s="1462"/>
      <c r="O37" s="1462"/>
      <c r="P37" s="1433"/>
      <c r="Q37" s="1433"/>
      <c r="R37" s="1433"/>
      <c r="S37" s="1433"/>
      <c r="T37" s="1433"/>
      <c r="U37" s="1433"/>
      <c r="V37" s="1433"/>
    </row>
    <row r="38" spans="1:22" s="1" customFormat="1" ht="15" hidden="1" thickBot="1" x14ac:dyDescent="0.4">
      <c r="A38" s="842"/>
      <c r="B38" s="1182" t="s">
        <v>571</v>
      </c>
      <c r="C38" s="1183"/>
      <c r="D38" s="409" t="s">
        <v>456</v>
      </c>
      <c r="E38" s="409" t="s">
        <v>495</v>
      </c>
      <c r="F38" s="409" t="s">
        <v>113</v>
      </c>
      <c r="G38" s="409" t="s">
        <v>5</v>
      </c>
      <c r="H38" s="1382">
        <v>599.60299999999995</v>
      </c>
      <c r="I38" s="1382">
        <v>1424.04</v>
      </c>
      <c r="J38" s="1382">
        <v>1424.04</v>
      </c>
      <c r="K38" s="1382"/>
      <c r="L38" s="1383"/>
      <c r="M38" s="1462"/>
      <c r="N38" s="1462"/>
      <c r="O38" s="1462"/>
      <c r="P38" s="1433"/>
      <c r="Q38" s="1433"/>
      <c r="R38" s="1433"/>
      <c r="S38" s="1433"/>
      <c r="T38" s="1433"/>
      <c r="U38" s="1433"/>
      <c r="V38" s="1433"/>
    </row>
    <row r="39" spans="1:22" s="1" customFormat="1" ht="21.5" hidden="1" thickBot="1" x14ac:dyDescent="0.4">
      <c r="A39" s="842"/>
      <c r="B39" s="1117" t="s">
        <v>122</v>
      </c>
      <c r="C39" s="1189"/>
      <c r="D39" s="408" t="s">
        <v>456</v>
      </c>
      <c r="E39" s="408" t="s">
        <v>585</v>
      </c>
      <c r="F39" s="408"/>
      <c r="G39" s="408"/>
      <c r="H39" s="1380">
        <f t="shared" ref="H39:L43" si="3">H40</f>
        <v>188.2</v>
      </c>
      <c r="I39" s="1380">
        <f t="shared" si="3"/>
        <v>1048.4000000000001</v>
      </c>
      <c r="J39" s="1380">
        <f t="shared" si="3"/>
        <v>1048.4000000000001</v>
      </c>
      <c r="K39" s="1380">
        <f t="shared" si="3"/>
        <v>0</v>
      </c>
      <c r="L39" s="1381">
        <f t="shared" si="3"/>
        <v>0</v>
      </c>
      <c r="M39" s="1462"/>
      <c r="N39" s="1462"/>
      <c r="O39" s="1462"/>
      <c r="P39" s="1433"/>
      <c r="Q39" s="1433"/>
      <c r="R39" s="1433"/>
      <c r="S39" s="1433"/>
      <c r="T39" s="1433"/>
      <c r="U39" s="1433"/>
      <c r="V39" s="1433"/>
    </row>
    <row r="40" spans="1:22" s="1" customFormat="1" ht="32" hidden="1" thickBot="1" x14ac:dyDescent="0.4">
      <c r="A40" s="1179"/>
      <c r="B40" s="753" t="s">
        <v>588</v>
      </c>
      <c r="C40" s="1180"/>
      <c r="D40" s="409" t="s">
        <v>456</v>
      </c>
      <c r="E40" s="409" t="s">
        <v>585</v>
      </c>
      <c r="F40" s="409" t="s">
        <v>157</v>
      </c>
      <c r="G40" s="409"/>
      <c r="H40" s="1382">
        <f t="shared" si="3"/>
        <v>188.2</v>
      </c>
      <c r="I40" s="1382">
        <f t="shared" si="3"/>
        <v>1048.4000000000001</v>
      </c>
      <c r="J40" s="1382">
        <f t="shared" si="3"/>
        <v>1048.4000000000001</v>
      </c>
      <c r="K40" s="1382">
        <f t="shared" si="3"/>
        <v>0</v>
      </c>
      <c r="L40" s="1383">
        <f t="shared" si="3"/>
        <v>0</v>
      </c>
      <c r="M40" s="1462"/>
      <c r="N40" s="1462"/>
      <c r="O40" s="1462"/>
      <c r="P40" s="1433"/>
      <c r="Q40" s="1433"/>
      <c r="R40" s="1433"/>
      <c r="S40" s="1433"/>
      <c r="T40" s="1433"/>
      <c r="U40" s="1433"/>
      <c r="V40" s="1433"/>
    </row>
    <row r="41" spans="1:22" s="1" customFormat="1" ht="21.5" hidden="1" thickBot="1" x14ac:dyDescent="0.4">
      <c r="A41" s="842"/>
      <c r="B41" s="753" t="s">
        <v>587</v>
      </c>
      <c r="C41" s="1180"/>
      <c r="D41" s="409" t="s">
        <v>456</v>
      </c>
      <c r="E41" s="409" t="s">
        <v>585</v>
      </c>
      <c r="F41" s="409" t="s">
        <v>155</v>
      </c>
      <c r="G41" s="409"/>
      <c r="H41" s="1382">
        <f t="shared" si="3"/>
        <v>188.2</v>
      </c>
      <c r="I41" s="1382">
        <f t="shared" si="3"/>
        <v>1048.4000000000001</v>
      </c>
      <c r="J41" s="1382">
        <f t="shared" si="3"/>
        <v>1048.4000000000001</v>
      </c>
      <c r="K41" s="1382">
        <f t="shared" si="3"/>
        <v>0</v>
      </c>
      <c r="L41" s="1383">
        <f t="shared" si="3"/>
        <v>0</v>
      </c>
      <c r="M41" s="1462"/>
      <c r="N41" s="1462"/>
      <c r="O41" s="1462"/>
      <c r="P41" s="1433"/>
      <c r="Q41" s="1433"/>
      <c r="R41" s="1433"/>
      <c r="S41" s="1433"/>
      <c r="T41" s="1433"/>
      <c r="U41" s="1433"/>
      <c r="V41" s="1433"/>
    </row>
    <row r="42" spans="1:22" s="1" customFormat="1" ht="15" hidden="1" thickBot="1" x14ac:dyDescent="0.4">
      <c r="A42" s="842"/>
      <c r="B42" s="753" t="s">
        <v>582</v>
      </c>
      <c r="C42" s="1180"/>
      <c r="D42" s="409" t="s">
        <v>456</v>
      </c>
      <c r="E42" s="409" t="s">
        <v>585</v>
      </c>
      <c r="F42" s="409" t="s">
        <v>154</v>
      </c>
      <c r="G42" s="409"/>
      <c r="H42" s="1382">
        <f t="shared" si="3"/>
        <v>188.2</v>
      </c>
      <c r="I42" s="1382">
        <f t="shared" si="3"/>
        <v>1048.4000000000001</v>
      </c>
      <c r="J42" s="1382">
        <f t="shared" si="3"/>
        <v>1048.4000000000001</v>
      </c>
      <c r="K42" s="1382">
        <f t="shared" si="3"/>
        <v>0</v>
      </c>
      <c r="L42" s="1383">
        <f t="shared" si="3"/>
        <v>0</v>
      </c>
      <c r="M42" s="1462"/>
      <c r="N42" s="1462"/>
      <c r="O42" s="1462"/>
      <c r="P42" s="1433"/>
      <c r="Q42" s="1433"/>
      <c r="R42" s="1433"/>
      <c r="S42" s="1433"/>
      <c r="T42" s="1433"/>
      <c r="U42" s="1433"/>
      <c r="V42" s="1433"/>
    </row>
    <row r="43" spans="1:22" s="1" customFormat="1" ht="21.5" hidden="1" thickBot="1" x14ac:dyDescent="0.4">
      <c r="A43" s="842"/>
      <c r="B43" s="1117" t="s">
        <v>586</v>
      </c>
      <c r="C43" s="1188"/>
      <c r="D43" s="409" t="s">
        <v>456</v>
      </c>
      <c r="E43" s="409" t="s">
        <v>585</v>
      </c>
      <c r="F43" s="409" t="s">
        <v>129</v>
      </c>
      <c r="G43" s="409"/>
      <c r="H43" s="1382">
        <f t="shared" si="3"/>
        <v>188.2</v>
      </c>
      <c r="I43" s="1382">
        <f t="shared" si="3"/>
        <v>1048.4000000000001</v>
      </c>
      <c r="J43" s="1382">
        <f t="shared" si="3"/>
        <v>1048.4000000000001</v>
      </c>
      <c r="K43" s="1382">
        <f t="shared" si="3"/>
        <v>0</v>
      </c>
      <c r="L43" s="1383">
        <f t="shared" si="3"/>
        <v>0</v>
      </c>
      <c r="M43" s="1462"/>
      <c r="N43" s="1462"/>
      <c r="O43" s="1462"/>
      <c r="P43" s="1433"/>
      <c r="Q43" s="1433"/>
      <c r="R43" s="1433"/>
      <c r="S43" s="1433"/>
      <c r="T43" s="1433"/>
      <c r="U43" s="1433"/>
      <c r="V43" s="1433"/>
    </row>
    <row r="44" spans="1:22" s="1" customFormat="1" ht="15" hidden="1" thickBot="1" x14ac:dyDescent="0.4">
      <c r="A44" s="1190"/>
      <c r="B44" s="1191" t="s">
        <v>575</v>
      </c>
      <c r="C44" s="1192"/>
      <c r="D44" s="1193" t="s">
        <v>456</v>
      </c>
      <c r="E44" s="1193" t="s">
        <v>585</v>
      </c>
      <c r="F44" s="1193" t="s">
        <v>129</v>
      </c>
      <c r="G44" s="1193" t="s">
        <v>120</v>
      </c>
      <c r="H44" s="1385">
        <v>188.2</v>
      </c>
      <c r="I44" s="1385">
        <v>1048.4000000000001</v>
      </c>
      <c r="J44" s="1385">
        <v>1048.4000000000001</v>
      </c>
      <c r="K44" s="1385"/>
      <c r="L44" s="1386"/>
      <c r="M44" s="1462"/>
      <c r="N44" s="1462"/>
      <c r="O44" s="1462"/>
      <c r="P44" s="1433"/>
      <c r="Q44" s="1433"/>
      <c r="R44" s="1433"/>
      <c r="S44" s="1433"/>
      <c r="T44" s="1433"/>
      <c r="U44" s="1433"/>
      <c r="V44" s="1433"/>
    </row>
    <row r="45" spans="1:22" s="1" customFormat="1" ht="21.5" hidden="1" thickBot="1" x14ac:dyDescent="0.4">
      <c r="A45" s="1168">
        <v>2</v>
      </c>
      <c r="B45" s="1387" t="s">
        <v>584</v>
      </c>
      <c r="C45" s="1161" t="s">
        <v>430</v>
      </c>
      <c r="D45" s="1161"/>
      <c r="E45" s="1161"/>
      <c r="F45" s="1161"/>
      <c r="G45" s="1161"/>
      <c r="H45" s="1388">
        <f>H46+H95+H120+H168+H224+H235+H262+H277+H87</f>
        <v>95773.693999999989</v>
      </c>
      <c r="I45" s="1388">
        <f>I46+I95+I120+I168+I224+I235+I262+I277</f>
        <v>258746.88900000002</v>
      </c>
      <c r="J45" s="1388">
        <f>J46+J95+J120+J168+J224+J235+J262+J277</f>
        <v>248434.88200000001</v>
      </c>
      <c r="K45" s="1388">
        <f>K46+K95+K120+K168+K224+K235+K262+K277+K87</f>
        <v>86635.706999999995</v>
      </c>
      <c r="L45" s="1389">
        <f>L46+L95+L120+L168+L224+L235+L262+L277+L87</f>
        <v>86311.556000000011</v>
      </c>
      <c r="M45" s="1462"/>
      <c r="N45" s="1462"/>
      <c r="O45" s="1462"/>
      <c r="P45" s="1433"/>
      <c r="Q45" s="1433"/>
      <c r="R45" s="1433"/>
      <c r="S45" s="1433"/>
      <c r="T45" s="1433"/>
      <c r="U45" s="1433"/>
      <c r="V45" s="1433"/>
    </row>
    <row r="46" spans="1:22" s="1" customFormat="1" ht="14.5" hidden="1" x14ac:dyDescent="0.35">
      <c r="A46" s="1195"/>
      <c r="B46" s="1377" t="s">
        <v>431</v>
      </c>
      <c r="C46" s="1174"/>
      <c r="D46" s="1175" t="s">
        <v>456</v>
      </c>
      <c r="E46" s="1175" t="s">
        <v>459</v>
      </c>
      <c r="F46" s="1175"/>
      <c r="G46" s="1175"/>
      <c r="H46" s="1378">
        <f>H47+H64+H70</f>
        <v>19259.577000000001</v>
      </c>
      <c r="I46" s="1378">
        <f>I47+I64+I70</f>
        <v>7819.76</v>
      </c>
      <c r="J46" s="1378">
        <f>J47+J64+J70</f>
        <v>5319.76</v>
      </c>
      <c r="K46" s="1378">
        <f>K47+K64+K70</f>
        <v>21251.17</v>
      </c>
      <c r="L46" s="1379">
        <f>L47+L64+L70</f>
        <v>22071.333999999999</v>
      </c>
      <c r="M46" s="1462">
        <v>17851.169999999998</v>
      </c>
      <c r="N46" s="1462"/>
      <c r="O46" s="1462">
        <v>18491.333999999999</v>
      </c>
      <c r="P46" s="1433"/>
      <c r="Q46" s="1433"/>
      <c r="R46" s="1433"/>
      <c r="S46" s="1433"/>
      <c r="T46" s="1433"/>
      <c r="U46" s="1433"/>
      <c r="V46" s="1433"/>
    </row>
    <row r="47" spans="1:22" s="1" customFormat="1" ht="32.5" x14ac:dyDescent="0.35">
      <c r="A47" s="842"/>
      <c r="B47" s="1390" t="s">
        <v>105</v>
      </c>
      <c r="C47" s="1189"/>
      <c r="D47" s="408" t="s">
        <v>456</v>
      </c>
      <c r="E47" s="408" t="s">
        <v>452</v>
      </c>
      <c r="F47" s="408"/>
      <c r="G47" s="408"/>
      <c r="H47" s="1380">
        <f>H48</f>
        <v>15321.947</v>
      </c>
      <c r="I47" s="1380">
        <f>I48</f>
        <v>1048.4000000000001</v>
      </c>
      <c r="J47" s="1380">
        <f>J48</f>
        <v>1048.4000000000001</v>
      </c>
      <c r="K47" s="1380">
        <f>K48</f>
        <v>17851.169999999998</v>
      </c>
      <c r="L47" s="1381">
        <f>L48</f>
        <v>18491.333999999999</v>
      </c>
      <c r="M47" s="1469">
        <f>M52+M53+M63</f>
        <v>17851.169999999998</v>
      </c>
      <c r="N47" s="1462"/>
      <c r="O47" s="1469">
        <f>O52+O53+O63</f>
        <v>18491.333999999999</v>
      </c>
      <c r="P47" s="1433"/>
      <c r="Q47" s="1433"/>
      <c r="R47" s="1433"/>
      <c r="S47" s="1433"/>
      <c r="T47" s="1433"/>
      <c r="U47" s="1433"/>
      <c r="V47" s="1433"/>
    </row>
    <row r="48" spans="1:22" s="1" customFormat="1" ht="27.75" customHeight="1" x14ac:dyDescent="0.35">
      <c r="A48" s="1179"/>
      <c r="B48" s="753" t="s">
        <v>583</v>
      </c>
      <c r="C48" s="1180"/>
      <c r="D48" s="409" t="s">
        <v>456</v>
      </c>
      <c r="E48" s="409" t="s">
        <v>452</v>
      </c>
      <c r="F48" s="409" t="s">
        <v>157</v>
      </c>
      <c r="G48" s="409"/>
      <c r="H48" s="1382">
        <f>H49+H60</f>
        <v>15321.947</v>
      </c>
      <c r="I48" s="1382">
        <f t="shared" ref="I48:J51" si="4">I49</f>
        <v>1048.4000000000001</v>
      </c>
      <c r="J48" s="1382">
        <f t="shared" si="4"/>
        <v>1048.4000000000001</v>
      </c>
      <c r="K48" s="1382">
        <f>K49+K60</f>
        <v>17851.169999999998</v>
      </c>
      <c r="L48" s="1383">
        <f>L49+L60</f>
        <v>18491.333999999999</v>
      </c>
      <c r="M48" s="1462"/>
      <c r="N48" s="1462"/>
      <c r="O48" s="1462"/>
      <c r="P48" s="1433"/>
      <c r="Q48" s="1433"/>
      <c r="R48" s="1433"/>
      <c r="S48" s="1433"/>
      <c r="T48" s="1433"/>
      <c r="U48" s="1433"/>
      <c r="V48" s="1433"/>
    </row>
    <row r="49" spans="1:22" s="1" customFormat="1" ht="27.75" customHeight="1" x14ac:dyDescent="0.35">
      <c r="A49" s="842"/>
      <c r="B49" s="1197" t="s">
        <v>156</v>
      </c>
      <c r="C49" s="1180"/>
      <c r="D49" s="409" t="s">
        <v>456</v>
      </c>
      <c r="E49" s="409" t="s">
        <v>452</v>
      </c>
      <c r="F49" s="409" t="s">
        <v>155</v>
      </c>
      <c r="G49" s="409"/>
      <c r="H49" s="1382">
        <f>H50</f>
        <v>13871.081</v>
      </c>
      <c r="I49" s="1382">
        <f t="shared" si="4"/>
        <v>1048.4000000000001</v>
      </c>
      <c r="J49" s="1382">
        <f t="shared" si="4"/>
        <v>1048.4000000000001</v>
      </c>
      <c r="K49" s="1382">
        <f>K50</f>
        <v>16278.065999999999</v>
      </c>
      <c r="L49" s="1383">
        <f>L50</f>
        <v>16855.306</v>
      </c>
      <c r="M49" s="1462"/>
      <c r="N49" s="1462"/>
      <c r="O49" s="1462"/>
      <c r="P49" s="1433"/>
      <c r="Q49" s="1433"/>
      <c r="R49" s="1433"/>
      <c r="S49" s="1433"/>
      <c r="T49" s="1433"/>
      <c r="U49" s="1433"/>
      <c r="V49" s="1433"/>
    </row>
    <row r="50" spans="1:22" s="1" customFormat="1" ht="15" customHeight="1" x14ac:dyDescent="0.35">
      <c r="A50" s="842"/>
      <c r="B50" s="753" t="s">
        <v>582</v>
      </c>
      <c r="C50" s="1180"/>
      <c r="D50" s="409" t="s">
        <v>456</v>
      </c>
      <c r="E50" s="409" t="s">
        <v>452</v>
      </c>
      <c r="F50" s="409" t="s">
        <v>154</v>
      </c>
      <c r="G50" s="409"/>
      <c r="H50" s="1382">
        <f>H51+H54+H56+H58</f>
        <v>13871.081</v>
      </c>
      <c r="I50" s="1382">
        <f t="shared" si="4"/>
        <v>1048.4000000000001</v>
      </c>
      <c r="J50" s="1382">
        <f t="shared" si="4"/>
        <v>1048.4000000000001</v>
      </c>
      <c r="K50" s="1382">
        <f>K51+K54+K56+K58</f>
        <v>16278.065999999999</v>
      </c>
      <c r="L50" s="1383">
        <f>L51+L54+L56+L58</f>
        <v>16855.306</v>
      </c>
      <c r="M50" s="1462"/>
      <c r="N50" s="1462"/>
      <c r="O50" s="1462"/>
      <c r="P50" s="1433"/>
      <c r="Q50" s="1433"/>
      <c r="R50" s="1433"/>
      <c r="S50" s="1433"/>
      <c r="T50" s="1433"/>
      <c r="U50" s="1433"/>
      <c r="V50" s="1433"/>
    </row>
    <row r="51" spans="1:22" s="1" customFormat="1" ht="16.5" customHeight="1" x14ac:dyDescent="0.35">
      <c r="A51" s="842"/>
      <c r="B51" s="337" t="s">
        <v>153</v>
      </c>
      <c r="C51" s="1188"/>
      <c r="D51" s="409" t="s">
        <v>456</v>
      </c>
      <c r="E51" s="409" t="s">
        <v>452</v>
      </c>
      <c r="F51" s="409" t="s">
        <v>152</v>
      </c>
      <c r="G51" s="409"/>
      <c r="H51" s="1382">
        <f>H52+H53</f>
        <v>13321.521000000001</v>
      </c>
      <c r="I51" s="1382">
        <f t="shared" si="4"/>
        <v>1048.4000000000001</v>
      </c>
      <c r="J51" s="1382">
        <f t="shared" si="4"/>
        <v>1048.4000000000001</v>
      </c>
      <c r="K51" s="1382">
        <f>K52+K53</f>
        <v>16278.065999999999</v>
      </c>
      <c r="L51" s="1383">
        <f>L52+L53</f>
        <v>16855.306</v>
      </c>
      <c r="M51" s="1462"/>
      <c r="N51" s="1462"/>
      <c r="O51" s="1462"/>
      <c r="P51" s="1433"/>
      <c r="Q51" s="1433"/>
      <c r="R51" s="1433"/>
      <c r="S51" s="1433"/>
      <c r="T51" s="1433"/>
      <c r="U51" s="1433"/>
      <c r="V51" s="1433"/>
    </row>
    <row r="52" spans="1:22" s="1" customFormat="1" ht="14.5" x14ac:dyDescent="0.35">
      <c r="A52" s="842"/>
      <c r="B52" s="1182" t="s">
        <v>571</v>
      </c>
      <c r="C52" s="1183"/>
      <c r="D52" s="409" t="s">
        <v>456</v>
      </c>
      <c r="E52" s="409" t="s">
        <v>452</v>
      </c>
      <c r="F52" s="409" t="s">
        <v>152</v>
      </c>
      <c r="G52" s="409" t="s">
        <v>5</v>
      </c>
      <c r="H52" s="1382">
        <v>8247.4490000000005</v>
      </c>
      <c r="I52" s="1382">
        <v>1048.4000000000001</v>
      </c>
      <c r="J52" s="1382">
        <v>1048.4000000000001</v>
      </c>
      <c r="K52" s="1382">
        <v>14292.312</v>
      </c>
      <c r="L52" s="1383">
        <v>14864</v>
      </c>
      <c r="M52" s="1462">
        <v>14292.312</v>
      </c>
      <c r="N52" s="1462"/>
      <c r="O52" s="1462">
        <v>14864</v>
      </c>
      <c r="P52" s="1433"/>
      <c r="Q52" s="1433"/>
      <c r="R52" s="1433"/>
      <c r="S52" s="1433"/>
      <c r="T52" s="1433"/>
      <c r="U52" s="1433"/>
      <c r="V52" s="1433"/>
    </row>
    <row r="53" spans="1:22" s="1" customFormat="1" ht="21" x14ac:dyDescent="0.35">
      <c r="A53" s="842"/>
      <c r="B53" s="1182" t="s">
        <v>454</v>
      </c>
      <c r="C53" s="1183"/>
      <c r="D53" s="409" t="s">
        <v>456</v>
      </c>
      <c r="E53" s="409" t="s">
        <v>452</v>
      </c>
      <c r="F53" s="409" t="s">
        <v>152</v>
      </c>
      <c r="G53" s="409" t="s">
        <v>1</v>
      </c>
      <c r="H53" s="1382">
        <v>5074.0720000000001</v>
      </c>
      <c r="I53" s="1382"/>
      <c r="J53" s="1382"/>
      <c r="K53" s="1382">
        <v>1985.7539999999999</v>
      </c>
      <c r="L53" s="1383">
        <v>1991.306</v>
      </c>
      <c r="M53" s="1462">
        <v>1985.7539999999999</v>
      </c>
      <c r="N53" s="1462"/>
      <c r="O53" s="1462">
        <v>1991.306</v>
      </c>
      <c r="P53" s="1433"/>
      <c r="Q53" s="1433"/>
      <c r="R53" s="1433"/>
      <c r="S53" s="1433"/>
      <c r="T53" s="1433"/>
      <c r="U53" s="1433"/>
      <c r="V53" s="1433"/>
    </row>
    <row r="54" spans="1:22" s="1" customFormat="1" ht="22" hidden="1" x14ac:dyDescent="0.35">
      <c r="A54" s="842"/>
      <c r="B54" s="1199" t="s">
        <v>151</v>
      </c>
      <c r="C54" s="1188"/>
      <c r="D54" s="409" t="s">
        <v>456</v>
      </c>
      <c r="E54" s="409" t="s">
        <v>452</v>
      </c>
      <c r="F54" s="409" t="s">
        <v>150</v>
      </c>
      <c r="G54" s="409"/>
      <c r="H54" s="1391">
        <f>H55</f>
        <v>47.06</v>
      </c>
      <c r="I54" s="1391">
        <f>I55</f>
        <v>293.3</v>
      </c>
      <c r="J54" s="1391">
        <f>J55</f>
        <v>293.3</v>
      </c>
      <c r="K54" s="1391">
        <f>K55</f>
        <v>0</v>
      </c>
      <c r="L54" s="1392">
        <f>L55</f>
        <v>0</v>
      </c>
      <c r="M54" s="1462"/>
      <c r="N54" s="1462"/>
      <c r="O54" s="1462"/>
      <c r="P54" s="1433"/>
      <c r="Q54" s="1433"/>
      <c r="R54" s="1433"/>
      <c r="S54" s="1433"/>
      <c r="T54" s="1433"/>
      <c r="U54" s="1433"/>
      <c r="V54" s="1433"/>
    </row>
    <row r="55" spans="1:22" s="1" customFormat="1" ht="14.5" hidden="1" x14ac:dyDescent="0.35">
      <c r="A55" s="842"/>
      <c r="B55" s="1182" t="s">
        <v>575</v>
      </c>
      <c r="C55" s="1183"/>
      <c r="D55" s="409" t="s">
        <v>456</v>
      </c>
      <c r="E55" s="409" t="s">
        <v>452</v>
      </c>
      <c r="F55" s="409" t="s">
        <v>150</v>
      </c>
      <c r="G55" s="409" t="s">
        <v>120</v>
      </c>
      <c r="H55" s="1391">
        <v>47.06</v>
      </c>
      <c r="I55" s="1391">
        <v>293.3</v>
      </c>
      <c r="J55" s="1391">
        <v>293.3</v>
      </c>
      <c r="K55" s="1391"/>
      <c r="L55" s="1392"/>
      <c r="M55" s="1462"/>
      <c r="N55" s="1462"/>
      <c r="O55" s="1462"/>
      <c r="P55" s="1433"/>
      <c r="Q55" s="1433"/>
      <c r="R55" s="1433"/>
      <c r="S55" s="1433"/>
      <c r="T55" s="1433"/>
      <c r="U55" s="1433"/>
      <c r="V55" s="1433"/>
    </row>
    <row r="56" spans="1:22" s="1" customFormat="1" ht="21" hidden="1" x14ac:dyDescent="0.35">
      <c r="A56" s="842"/>
      <c r="B56" s="1201" t="s">
        <v>149</v>
      </c>
      <c r="C56" s="1188"/>
      <c r="D56" s="409" t="s">
        <v>456</v>
      </c>
      <c r="E56" s="409" t="s">
        <v>452</v>
      </c>
      <c r="F56" s="409" t="s">
        <v>148</v>
      </c>
      <c r="G56" s="409"/>
      <c r="H56" s="1391">
        <f>H57</f>
        <v>304.5</v>
      </c>
      <c r="I56" s="1391">
        <f>I57</f>
        <v>293.3</v>
      </c>
      <c r="J56" s="1391">
        <f>J57</f>
        <v>293.3</v>
      </c>
      <c r="K56" s="1391">
        <f>K57</f>
        <v>0</v>
      </c>
      <c r="L56" s="1392">
        <f>L57</f>
        <v>0</v>
      </c>
      <c r="M56" s="1462"/>
      <c r="N56" s="1462"/>
      <c r="O56" s="1462"/>
      <c r="P56" s="1433"/>
      <c r="Q56" s="1433"/>
      <c r="R56" s="1433"/>
      <c r="S56" s="1433"/>
      <c r="T56" s="1433"/>
      <c r="U56" s="1433"/>
      <c r="V56" s="1433"/>
    </row>
    <row r="57" spans="1:22" s="1" customFormat="1" ht="14.5" hidden="1" x14ac:dyDescent="0.35">
      <c r="A57" s="842"/>
      <c r="B57" s="1182" t="s">
        <v>575</v>
      </c>
      <c r="C57" s="1183"/>
      <c r="D57" s="409" t="s">
        <v>456</v>
      </c>
      <c r="E57" s="409" t="s">
        <v>452</v>
      </c>
      <c r="F57" s="409" t="s">
        <v>148</v>
      </c>
      <c r="G57" s="409" t="s">
        <v>120</v>
      </c>
      <c r="H57" s="1391">
        <v>304.5</v>
      </c>
      <c r="I57" s="1391">
        <v>293.3</v>
      </c>
      <c r="J57" s="1391">
        <v>293.3</v>
      </c>
      <c r="K57" s="1391"/>
      <c r="L57" s="1392"/>
      <c r="M57" s="1462"/>
      <c r="N57" s="1462"/>
      <c r="O57" s="1462"/>
      <c r="P57" s="1433"/>
      <c r="Q57" s="1433"/>
      <c r="R57" s="1433"/>
      <c r="S57" s="1433"/>
      <c r="T57" s="1433"/>
      <c r="U57" s="1433"/>
      <c r="V57" s="1433"/>
    </row>
    <row r="58" spans="1:22" s="1" customFormat="1" ht="42" hidden="1" x14ac:dyDescent="0.35">
      <c r="A58" s="842"/>
      <c r="B58" s="1202" t="s">
        <v>145</v>
      </c>
      <c r="C58" s="1183"/>
      <c r="D58" s="409" t="s">
        <v>456</v>
      </c>
      <c r="E58" s="409" t="s">
        <v>452</v>
      </c>
      <c r="F58" s="409" t="s">
        <v>144</v>
      </c>
      <c r="G58" s="409"/>
      <c r="H58" s="1391">
        <f>H59</f>
        <v>198</v>
      </c>
      <c r="I58" s="1391"/>
      <c r="J58" s="1391"/>
      <c r="K58" s="1391">
        <f>K59</f>
        <v>0</v>
      </c>
      <c r="L58" s="1392">
        <f>L59</f>
        <v>0</v>
      </c>
      <c r="M58" s="1462"/>
      <c r="N58" s="1462"/>
      <c r="O58" s="1462"/>
      <c r="P58" s="1433"/>
      <c r="Q58" s="1433"/>
      <c r="R58" s="1433"/>
      <c r="S58" s="1433"/>
      <c r="T58" s="1433"/>
      <c r="U58" s="1433"/>
      <c r="V58" s="1433"/>
    </row>
    <row r="59" spans="1:22" s="1" customFormat="1" ht="14.5" hidden="1" x14ac:dyDescent="0.35">
      <c r="A59" s="842"/>
      <c r="B59" s="1182" t="s">
        <v>575</v>
      </c>
      <c r="C59" s="1183"/>
      <c r="D59" s="409" t="s">
        <v>456</v>
      </c>
      <c r="E59" s="409" t="s">
        <v>452</v>
      </c>
      <c r="F59" s="409" t="s">
        <v>144</v>
      </c>
      <c r="G59" s="409" t="s">
        <v>120</v>
      </c>
      <c r="H59" s="1391">
        <v>198</v>
      </c>
      <c r="I59" s="1391"/>
      <c r="J59" s="1391"/>
      <c r="K59" s="1391"/>
      <c r="L59" s="1392"/>
      <c r="M59" s="1462"/>
      <c r="N59" s="1462"/>
      <c r="O59" s="1462"/>
      <c r="P59" s="1433"/>
      <c r="Q59" s="1433"/>
      <c r="R59" s="1433"/>
      <c r="S59" s="1433"/>
      <c r="T59" s="1433"/>
      <c r="U59" s="1433"/>
      <c r="V59" s="1433"/>
    </row>
    <row r="60" spans="1:22" s="1" customFormat="1" ht="31.5" x14ac:dyDescent="0.35">
      <c r="A60" s="842"/>
      <c r="B60" s="1203" t="s">
        <v>111</v>
      </c>
      <c r="C60" s="1183"/>
      <c r="D60" s="409" t="s">
        <v>456</v>
      </c>
      <c r="E60" s="409" t="s">
        <v>452</v>
      </c>
      <c r="F60" s="1231" t="s">
        <v>110</v>
      </c>
      <c r="G60" s="409"/>
      <c r="H60" s="1391">
        <f>H61</f>
        <v>1450.866</v>
      </c>
      <c r="I60" s="1391"/>
      <c r="J60" s="1391"/>
      <c r="K60" s="1391">
        <f t="shared" ref="K60:L62" si="5">K61</f>
        <v>1573.104</v>
      </c>
      <c r="L60" s="1392">
        <f t="shared" si="5"/>
        <v>1636.028</v>
      </c>
      <c r="M60" s="1462"/>
      <c r="N60" s="1462"/>
      <c r="O60" s="1462"/>
      <c r="P60" s="1433"/>
      <c r="Q60" s="1433"/>
      <c r="R60" s="1433"/>
      <c r="S60" s="1433"/>
      <c r="T60" s="1433"/>
      <c r="U60" s="1433"/>
      <c r="V60" s="1433"/>
    </row>
    <row r="61" spans="1:22" s="1" customFormat="1" ht="14.5" x14ac:dyDescent="0.35">
      <c r="A61" s="842"/>
      <c r="B61" s="1197" t="s">
        <v>109</v>
      </c>
      <c r="C61" s="1183"/>
      <c r="D61" s="409" t="s">
        <v>456</v>
      </c>
      <c r="E61" s="409" t="s">
        <v>452</v>
      </c>
      <c r="F61" s="1231" t="s">
        <v>108</v>
      </c>
      <c r="G61" s="409"/>
      <c r="H61" s="1391">
        <f>H62</f>
        <v>1450.866</v>
      </c>
      <c r="I61" s="1391"/>
      <c r="J61" s="1391"/>
      <c r="K61" s="1391">
        <f t="shared" si="5"/>
        <v>1573.104</v>
      </c>
      <c r="L61" s="1392">
        <f t="shared" si="5"/>
        <v>1636.028</v>
      </c>
      <c r="M61" s="1462"/>
      <c r="N61" s="1462"/>
      <c r="O61" s="1462"/>
      <c r="P61" s="1433"/>
      <c r="Q61" s="1433"/>
      <c r="R61" s="1433"/>
      <c r="S61" s="1433"/>
      <c r="T61" s="1433"/>
      <c r="U61" s="1433"/>
      <c r="V61" s="1433"/>
    </row>
    <row r="62" spans="1:22" s="1" customFormat="1" ht="21" x14ac:dyDescent="0.35">
      <c r="A62" s="842"/>
      <c r="B62" s="1393" t="s">
        <v>107</v>
      </c>
      <c r="C62" s="1183"/>
      <c r="D62" s="409" t="s">
        <v>456</v>
      </c>
      <c r="E62" s="409" t="s">
        <v>452</v>
      </c>
      <c r="F62" s="1231" t="s">
        <v>104</v>
      </c>
      <c r="G62" s="409"/>
      <c r="H62" s="1391">
        <f>H63</f>
        <v>1450.866</v>
      </c>
      <c r="I62" s="1391"/>
      <c r="J62" s="1391"/>
      <c r="K62" s="1391">
        <f t="shared" si="5"/>
        <v>1573.104</v>
      </c>
      <c r="L62" s="1392">
        <f t="shared" si="5"/>
        <v>1636.028</v>
      </c>
      <c r="M62" s="1462"/>
      <c r="N62" s="1462"/>
      <c r="O62" s="1462"/>
      <c r="P62" s="1433"/>
      <c r="Q62" s="1433"/>
      <c r="R62" s="1433"/>
      <c r="S62" s="1433"/>
      <c r="T62" s="1433"/>
      <c r="U62" s="1433"/>
      <c r="V62" s="1433"/>
    </row>
    <row r="63" spans="1:22" s="1" customFormat="1" ht="14.5" x14ac:dyDescent="0.35">
      <c r="A63" s="842"/>
      <c r="B63" s="1182" t="s">
        <v>571</v>
      </c>
      <c r="C63" s="1183"/>
      <c r="D63" s="409" t="s">
        <v>456</v>
      </c>
      <c r="E63" s="409" t="s">
        <v>452</v>
      </c>
      <c r="F63" s="1231" t="s">
        <v>104</v>
      </c>
      <c r="G63" s="409" t="s">
        <v>5</v>
      </c>
      <c r="H63" s="1391">
        <v>1450.866</v>
      </c>
      <c r="I63" s="1391"/>
      <c r="J63" s="1391"/>
      <c r="K63" s="1391">
        <v>1573.104</v>
      </c>
      <c r="L63" s="1392">
        <v>1636.028</v>
      </c>
      <c r="M63" s="1462">
        <v>1573.104</v>
      </c>
      <c r="N63" s="1462"/>
      <c r="O63" s="1462">
        <v>1636.028</v>
      </c>
      <c r="P63" s="1433"/>
      <c r="Q63" s="1433"/>
      <c r="R63" s="1433"/>
      <c r="S63" s="1433"/>
      <c r="T63" s="1433"/>
      <c r="U63" s="1433"/>
      <c r="V63" s="1433"/>
    </row>
    <row r="64" spans="1:22" s="1" customFormat="1" ht="14.5" x14ac:dyDescent="0.35">
      <c r="A64" s="842"/>
      <c r="B64" s="752" t="s">
        <v>68</v>
      </c>
      <c r="C64" s="1177"/>
      <c r="D64" s="408" t="s">
        <v>456</v>
      </c>
      <c r="E64" s="408" t="s">
        <v>464</v>
      </c>
      <c r="F64" s="408"/>
      <c r="G64" s="408"/>
      <c r="H64" s="1375">
        <f t="shared" ref="H64:L68" si="6">H65</f>
        <v>3045.93</v>
      </c>
      <c r="I64" s="1375">
        <f t="shared" si="6"/>
        <v>1000</v>
      </c>
      <c r="J64" s="1375">
        <f t="shared" si="6"/>
        <v>1000</v>
      </c>
      <c r="K64" s="1375">
        <f t="shared" si="6"/>
        <v>2900</v>
      </c>
      <c r="L64" s="1394">
        <f t="shared" si="6"/>
        <v>2980</v>
      </c>
      <c r="M64" s="1462"/>
      <c r="N64" s="1462"/>
      <c r="O64" s="1462"/>
      <c r="P64" s="1433"/>
      <c r="Q64" s="1433"/>
      <c r="R64" s="1433"/>
      <c r="S64" s="1433"/>
      <c r="T64" s="1433"/>
      <c r="U64" s="1433"/>
      <c r="V64" s="1433"/>
    </row>
    <row r="65" spans="1:22" s="1" customFormat="1" ht="27.75" customHeight="1" x14ac:dyDescent="0.35">
      <c r="A65" s="1179"/>
      <c r="B65" s="753" t="s">
        <v>499</v>
      </c>
      <c r="C65" s="1180"/>
      <c r="D65" s="409" t="s">
        <v>456</v>
      </c>
      <c r="E65" s="409" t="s">
        <v>464</v>
      </c>
      <c r="F65" s="409" t="s">
        <v>89</v>
      </c>
      <c r="G65" s="409"/>
      <c r="H65" s="1391">
        <f t="shared" si="6"/>
        <v>3045.93</v>
      </c>
      <c r="I65" s="1391">
        <f t="shared" si="6"/>
        <v>1000</v>
      </c>
      <c r="J65" s="1391">
        <f t="shared" si="6"/>
        <v>1000</v>
      </c>
      <c r="K65" s="1391">
        <f t="shared" si="6"/>
        <v>2900</v>
      </c>
      <c r="L65" s="1392">
        <f t="shared" si="6"/>
        <v>2980</v>
      </c>
      <c r="M65" s="1462"/>
      <c r="N65" s="1462"/>
      <c r="O65" s="1462"/>
      <c r="P65" s="1433"/>
      <c r="Q65" s="1433"/>
      <c r="R65" s="1433"/>
      <c r="S65" s="1433"/>
      <c r="T65" s="1433"/>
      <c r="U65" s="1433"/>
      <c r="V65" s="1433"/>
    </row>
    <row r="66" spans="1:22" s="1" customFormat="1" ht="13.5" customHeight="1" x14ac:dyDescent="0.35">
      <c r="A66" s="842"/>
      <c r="B66" s="1180" t="s">
        <v>109</v>
      </c>
      <c r="C66" s="1180"/>
      <c r="D66" s="409" t="s">
        <v>456</v>
      </c>
      <c r="E66" s="409" t="s">
        <v>464</v>
      </c>
      <c r="F66" s="409" t="s">
        <v>581</v>
      </c>
      <c r="G66" s="409"/>
      <c r="H66" s="1391">
        <f t="shared" si="6"/>
        <v>3045.93</v>
      </c>
      <c r="I66" s="1391">
        <f t="shared" si="6"/>
        <v>1000</v>
      </c>
      <c r="J66" s="1391">
        <f t="shared" si="6"/>
        <v>1000</v>
      </c>
      <c r="K66" s="1391">
        <f t="shared" si="6"/>
        <v>2900</v>
      </c>
      <c r="L66" s="1392">
        <f t="shared" si="6"/>
        <v>2980</v>
      </c>
      <c r="M66" s="1462"/>
      <c r="N66" s="1462"/>
      <c r="O66" s="1462"/>
      <c r="P66" s="1433"/>
      <c r="Q66" s="1433"/>
      <c r="R66" s="1433"/>
      <c r="S66" s="1433"/>
      <c r="T66" s="1433"/>
      <c r="U66" s="1433"/>
      <c r="V66" s="1433"/>
    </row>
    <row r="67" spans="1:22" s="1" customFormat="1" ht="14.25" customHeight="1" x14ac:dyDescent="0.35">
      <c r="A67" s="842"/>
      <c r="B67" s="1180" t="s">
        <v>109</v>
      </c>
      <c r="C67" s="1180"/>
      <c r="D67" s="409" t="s">
        <v>456</v>
      </c>
      <c r="E67" s="409" t="s">
        <v>464</v>
      </c>
      <c r="F67" s="409" t="s">
        <v>82</v>
      </c>
      <c r="G67" s="409"/>
      <c r="H67" s="1391">
        <f t="shared" si="6"/>
        <v>3045.93</v>
      </c>
      <c r="I67" s="1391">
        <f t="shared" si="6"/>
        <v>1000</v>
      </c>
      <c r="J67" s="1391">
        <f t="shared" si="6"/>
        <v>1000</v>
      </c>
      <c r="K67" s="1391">
        <f t="shared" si="6"/>
        <v>2900</v>
      </c>
      <c r="L67" s="1392">
        <f t="shared" si="6"/>
        <v>2980</v>
      </c>
      <c r="M67" s="1462"/>
      <c r="N67" s="1462"/>
      <c r="O67" s="1462"/>
      <c r="P67" s="1433"/>
      <c r="Q67" s="1433"/>
      <c r="R67" s="1433"/>
      <c r="S67" s="1433"/>
      <c r="T67" s="1433"/>
      <c r="U67" s="1433"/>
      <c r="V67" s="1433"/>
    </row>
    <row r="68" spans="1:22" s="1" customFormat="1" ht="24.75" customHeight="1" x14ac:dyDescent="0.35">
      <c r="A68" s="842"/>
      <c r="B68" s="1180" t="s">
        <v>72</v>
      </c>
      <c r="C68" s="1180"/>
      <c r="D68" s="409" t="s">
        <v>456</v>
      </c>
      <c r="E68" s="409" t="s">
        <v>464</v>
      </c>
      <c r="F68" s="409" t="s">
        <v>67</v>
      </c>
      <c r="G68" s="409"/>
      <c r="H68" s="1391">
        <f t="shared" si="6"/>
        <v>3045.93</v>
      </c>
      <c r="I68" s="1391">
        <f t="shared" si="6"/>
        <v>1000</v>
      </c>
      <c r="J68" s="1391">
        <f t="shared" si="6"/>
        <v>1000</v>
      </c>
      <c r="K68" s="1391">
        <f t="shared" si="6"/>
        <v>2900</v>
      </c>
      <c r="L68" s="1392">
        <f t="shared" si="6"/>
        <v>2980</v>
      </c>
      <c r="M68" s="1462"/>
      <c r="N68" s="1462"/>
      <c r="O68" s="1462"/>
      <c r="P68" s="1433"/>
      <c r="Q68" s="1433"/>
      <c r="R68" s="1433"/>
      <c r="S68" s="1433"/>
      <c r="T68" s="1433"/>
      <c r="U68" s="1433"/>
      <c r="V68" s="1433"/>
    </row>
    <row r="69" spans="1:22" s="1" customFormat="1" ht="13.5" customHeight="1" x14ac:dyDescent="0.35">
      <c r="A69" s="842"/>
      <c r="B69" s="1182" t="s">
        <v>580</v>
      </c>
      <c r="C69" s="1183"/>
      <c r="D69" s="409" t="s">
        <v>456</v>
      </c>
      <c r="E69" s="409" t="s">
        <v>464</v>
      </c>
      <c r="F69" s="409" t="s">
        <v>67</v>
      </c>
      <c r="G69" s="409" t="s">
        <v>579</v>
      </c>
      <c r="H69" s="1391">
        <v>3045.93</v>
      </c>
      <c r="I69" s="1391">
        <v>1000</v>
      </c>
      <c r="J69" s="1391">
        <v>1000</v>
      </c>
      <c r="K69" s="1391">
        <v>2900</v>
      </c>
      <c r="L69" s="1392">
        <v>2980</v>
      </c>
      <c r="M69" s="1462">
        <v>2900</v>
      </c>
      <c r="N69" s="1462"/>
      <c r="O69" s="1462">
        <v>2980</v>
      </c>
      <c r="P69" s="1433"/>
      <c r="Q69" s="1433"/>
      <c r="R69" s="1433"/>
      <c r="S69" s="1433"/>
      <c r="T69" s="1433"/>
      <c r="U69" s="1433"/>
      <c r="V69" s="1433"/>
    </row>
    <row r="70" spans="1:22" s="1" customFormat="1" ht="14.5" x14ac:dyDescent="0.35">
      <c r="A70" s="842"/>
      <c r="B70" s="752" t="s">
        <v>93</v>
      </c>
      <c r="C70" s="1177"/>
      <c r="D70" s="408" t="s">
        <v>456</v>
      </c>
      <c r="E70" s="408" t="s">
        <v>573</v>
      </c>
      <c r="F70" s="408"/>
      <c r="G70" s="408"/>
      <c r="H70" s="1375">
        <f>H71+H77</f>
        <v>891.7</v>
      </c>
      <c r="I70" s="1375">
        <f>I71+I77</f>
        <v>5771.3600000000006</v>
      </c>
      <c r="J70" s="1375">
        <f>J71+J77</f>
        <v>3271.36</v>
      </c>
      <c r="K70" s="1375">
        <f>K71+K77</f>
        <v>500</v>
      </c>
      <c r="L70" s="1394">
        <f>L71+L77</f>
        <v>600</v>
      </c>
      <c r="M70" s="1462"/>
      <c r="N70" s="1462"/>
      <c r="O70" s="1462"/>
      <c r="P70" s="1433"/>
      <c r="Q70" s="1433"/>
      <c r="R70" s="1433"/>
      <c r="S70" s="1433"/>
      <c r="T70" s="1433"/>
      <c r="U70" s="1433"/>
      <c r="V70" s="1433"/>
    </row>
    <row r="71" spans="1:22" s="1" customFormat="1" ht="11.25" customHeight="1" x14ac:dyDescent="0.35">
      <c r="A71" s="1179"/>
      <c r="B71" s="753" t="s">
        <v>102</v>
      </c>
      <c r="C71" s="1180"/>
      <c r="D71" s="409" t="s">
        <v>456</v>
      </c>
      <c r="E71" s="409" t="s">
        <v>573</v>
      </c>
      <c r="F71" s="409" t="s">
        <v>101</v>
      </c>
      <c r="G71" s="409"/>
      <c r="H71" s="1391">
        <f t="shared" ref="H71:L73" si="7">H72</f>
        <v>293.2</v>
      </c>
      <c r="I71" s="1391">
        <f t="shared" si="7"/>
        <v>4856</v>
      </c>
      <c r="J71" s="1391">
        <f t="shared" si="7"/>
        <v>2356</v>
      </c>
      <c r="K71" s="1391">
        <f t="shared" si="7"/>
        <v>500</v>
      </c>
      <c r="L71" s="1392">
        <f t="shared" si="7"/>
        <v>600</v>
      </c>
      <c r="M71" s="1462"/>
      <c r="N71" s="1462"/>
      <c r="O71" s="1462"/>
      <c r="P71" s="1433"/>
      <c r="Q71" s="1433"/>
      <c r="R71" s="1433"/>
      <c r="S71" s="1433"/>
      <c r="T71" s="1433"/>
      <c r="U71" s="1433"/>
      <c r="V71" s="1433"/>
    </row>
    <row r="72" spans="1:22" s="1" customFormat="1" ht="14.25" customHeight="1" x14ac:dyDescent="0.35">
      <c r="A72" s="1179"/>
      <c r="B72" s="753" t="s">
        <v>109</v>
      </c>
      <c r="C72" s="1180"/>
      <c r="D72" s="409" t="s">
        <v>456</v>
      </c>
      <c r="E72" s="409" t="s">
        <v>573</v>
      </c>
      <c r="F72" s="409" t="s">
        <v>100</v>
      </c>
      <c r="G72" s="409"/>
      <c r="H72" s="1391">
        <f t="shared" si="7"/>
        <v>293.2</v>
      </c>
      <c r="I72" s="1391">
        <f t="shared" si="7"/>
        <v>4856</v>
      </c>
      <c r="J72" s="1391">
        <f t="shared" si="7"/>
        <v>2356</v>
      </c>
      <c r="K72" s="1391">
        <f t="shared" si="7"/>
        <v>500</v>
      </c>
      <c r="L72" s="1392">
        <f t="shared" si="7"/>
        <v>600</v>
      </c>
      <c r="M72" s="1462"/>
      <c r="N72" s="1462"/>
      <c r="O72" s="1462"/>
      <c r="P72" s="1433"/>
      <c r="Q72" s="1433"/>
      <c r="R72" s="1433"/>
      <c r="S72" s="1433"/>
      <c r="T72" s="1433"/>
      <c r="U72" s="1433"/>
      <c r="V72" s="1433"/>
    </row>
    <row r="73" spans="1:22" s="1" customFormat="1" ht="12" customHeight="1" x14ac:dyDescent="0.35">
      <c r="A73" s="1179"/>
      <c r="B73" s="753" t="s">
        <v>109</v>
      </c>
      <c r="C73" s="1180"/>
      <c r="D73" s="409" t="s">
        <v>456</v>
      </c>
      <c r="E73" s="409" t="s">
        <v>573</v>
      </c>
      <c r="F73" s="409" t="s">
        <v>99</v>
      </c>
      <c r="G73" s="409"/>
      <c r="H73" s="1391">
        <f t="shared" si="7"/>
        <v>293.2</v>
      </c>
      <c r="I73" s="1391">
        <f t="shared" si="7"/>
        <v>4856</v>
      </c>
      <c r="J73" s="1391">
        <f t="shared" si="7"/>
        <v>2356</v>
      </c>
      <c r="K73" s="1391">
        <f t="shared" si="7"/>
        <v>500</v>
      </c>
      <c r="L73" s="1392">
        <f t="shared" si="7"/>
        <v>600</v>
      </c>
      <c r="M73" s="1462"/>
      <c r="N73" s="1462"/>
      <c r="O73" s="1462"/>
      <c r="P73" s="1433"/>
      <c r="Q73" s="1433"/>
      <c r="R73" s="1433"/>
      <c r="S73" s="1433"/>
      <c r="T73" s="1433"/>
      <c r="U73" s="1433"/>
      <c r="V73" s="1433"/>
    </row>
    <row r="74" spans="1:22" s="1" customFormat="1" ht="12.75" customHeight="1" x14ac:dyDescent="0.35">
      <c r="A74" s="1179"/>
      <c r="B74" s="753" t="s">
        <v>577</v>
      </c>
      <c r="C74" s="1180"/>
      <c r="D74" s="409" t="s">
        <v>456</v>
      </c>
      <c r="E74" s="409" t="s">
        <v>573</v>
      </c>
      <c r="F74" s="409" t="s">
        <v>92</v>
      </c>
      <c r="G74" s="409"/>
      <c r="H74" s="1391">
        <f>H75+H76</f>
        <v>293.2</v>
      </c>
      <c r="I74" s="1391">
        <f>I75+I76</f>
        <v>4856</v>
      </c>
      <c r="J74" s="1391">
        <f>J75+J76</f>
        <v>2356</v>
      </c>
      <c r="K74" s="1391">
        <f>K75+K76</f>
        <v>500</v>
      </c>
      <c r="L74" s="1392">
        <f>L75+L76</f>
        <v>600</v>
      </c>
      <c r="M74" s="1462"/>
      <c r="N74" s="1462"/>
      <c r="O74" s="1462"/>
      <c r="P74" s="1433"/>
      <c r="Q74" s="1433"/>
      <c r="R74" s="1433"/>
      <c r="S74" s="1433"/>
      <c r="T74" s="1433"/>
      <c r="U74" s="1433"/>
      <c r="V74" s="1433"/>
    </row>
    <row r="75" spans="1:22" s="1" customFormat="1" ht="21" x14ac:dyDescent="0.35">
      <c r="A75" s="842"/>
      <c r="B75" s="1182" t="s">
        <v>454</v>
      </c>
      <c r="C75" s="1183"/>
      <c r="D75" s="409" t="s">
        <v>456</v>
      </c>
      <c r="E75" s="409" t="s">
        <v>573</v>
      </c>
      <c r="F75" s="409" t="s">
        <v>92</v>
      </c>
      <c r="G75" s="409" t="s">
        <v>1</v>
      </c>
      <c r="H75" s="1391">
        <v>260</v>
      </c>
      <c r="I75" s="1391">
        <v>4756</v>
      </c>
      <c r="J75" s="1391">
        <v>2256</v>
      </c>
      <c r="K75" s="1391">
        <v>400</v>
      </c>
      <c r="L75" s="1392">
        <v>500</v>
      </c>
      <c r="M75" s="1462">
        <v>400</v>
      </c>
      <c r="N75" s="1462"/>
      <c r="O75" s="1462">
        <v>500</v>
      </c>
      <c r="P75" s="1433"/>
      <c r="Q75" s="1433"/>
      <c r="R75" s="1433"/>
      <c r="S75" s="1433"/>
      <c r="T75" s="1433"/>
      <c r="U75" s="1433"/>
      <c r="V75" s="1433"/>
    </row>
    <row r="76" spans="1:22" s="1" customFormat="1" ht="12.75" customHeight="1" x14ac:dyDescent="0.35">
      <c r="A76" s="842"/>
      <c r="B76" s="1182" t="s">
        <v>457</v>
      </c>
      <c r="C76" s="1183"/>
      <c r="D76" s="409" t="s">
        <v>456</v>
      </c>
      <c r="E76" s="409" t="s">
        <v>573</v>
      </c>
      <c r="F76" s="1384" t="s">
        <v>92</v>
      </c>
      <c r="G76" s="409" t="s">
        <v>91</v>
      </c>
      <c r="H76" s="1391">
        <v>33.200000000000003</v>
      </c>
      <c r="I76" s="1391">
        <f>20+80</f>
        <v>100</v>
      </c>
      <c r="J76" s="1391">
        <f>20+80</f>
        <v>100</v>
      </c>
      <c r="K76" s="1391">
        <v>100</v>
      </c>
      <c r="L76" s="1392">
        <v>100</v>
      </c>
      <c r="M76" s="1462">
        <v>100</v>
      </c>
      <c r="N76" s="1462"/>
      <c r="O76" s="1462">
        <v>100</v>
      </c>
      <c r="P76" s="1433"/>
      <c r="Q76" s="1433"/>
      <c r="R76" s="1433"/>
      <c r="S76" s="1433"/>
      <c r="T76" s="1433"/>
      <c r="U76" s="1433"/>
      <c r="V76" s="1433"/>
    </row>
    <row r="77" spans="1:22" s="1" customFormat="1" ht="39" hidden="1" x14ac:dyDescent="0.35">
      <c r="A77" s="1211"/>
      <c r="B77" s="348" t="s">
        <v>126</v>
      </c>
      <c r="C77" s="1177"/>
      <c r="D77" s="408" t="s">
        <v>456</v>
      </c>
      <c r="E77" s="408" t="s">
        <v>573</v>
      </c>
      <c r="F77" s="408" t="s">
        <v>157</v>
      </c>
      <c r="G77" s="408"/>
      <c r="H77" s="1375">
        <f t="shared" ref="H77:L78" si="8">H78</f>
        <v>598.5</v>
      </c>
      <c r="I77" s="1375">
        <f t="shared" si="8"/>
        <v>915.36000000000013</v>
      </c>
      <c r="J77" s="1375">
        <f t="shared" si="8"/>
        <v>915.36000000000013</v>
      </c>
      <c r="K77" s="1375">
        <f t="shared" si="8"/>
        <v>0</v>
      </c>
      <c r="L77" s="1394">
        <f t="shared" si="8"/>
        <v>0</v>
      </c>
      <c r="M77" s="1462"/>
      <c r="N77" s="1462"/>
      <c r="O77" s="1462"/>
      <c r="P77" s="1433"/>
      <c r="Q77" s="1433"/>
      <c r="R77" s="1433"/>
      <c r="S77" s="1433"/>
      <c r="T77" s="1433"/>
      <c r="U77" s="1433"/>
      <c r="V77" s="1433"/>
    </row>
    <row r="78" spans="1:22" s="1" customFormat="1" ht="39" hidden="1" x14ac:dyDescent="0.35">
      <c r="A78" s="1179"/>
      <c r="B78" s="347" t="s">
        <v>578</v>
      </c>
      <c r="C78" s="1180"/>
      <c r="D78" s="409" t="s">
        <v>456</v>
      </c>
      <c r="E78" s="409" t="s">
        <v>573</v>
      </c>
      <c r="F78" s="409" t="s">
        <v>155</v>
      </c>
      <c r="G78" s="409"/>
      <c r="H78" s="1391">
        <f t="shared" si="8"/>
        <v>598.5</v>
      </c>
      <c r="I78" s="1391">
        <f t="shared" si="8"/>
        <v>915.36000000000013</v>
      </c>
      <c r="J78" s="1391">
        <f t="shared" si="8"/>
        <v>915.36000000000013</v>
      </c>
      <c r="K78" s="1391">
        <f t="shared" si="8"/>
        <v>0</v>
      </c>
      <c r="L78" s="1392">
        <f t="shared" si="8"/>
        <v>0</v>
      </c>
      <c r="M78" s="1462"/>
      <c r="N78" s="1462"/>
      <c r="O78" s="1462"/>
      <c r="P78" s="1433"/>
      <c r="Q78" s="1433"/>
      <c r="R78" s="1433"/>
      <c r="S78" s="1433"/>
      <c r="T78" s="1433"/>
      <c r="U78" s="1433"/>
      <c r="V78" s="1433"/>
    </row>
    <row r="79" spans="1:22" s="1" customFormat="1" ht="21.75" hidden="1" customHeight="1" x14ac:dyDescent="0.35">
      <c r="A79" s="1179"/>
      <c r="B79" s="753" t="s">
        <v>109</v>
      </c>
      <c r="C79" s="1180"/>
      <c r="D79" s="409" t="s">
        <v>456</v>
      </c>
      <c r="E79" s="409" t="s">
        <v>573</v>
      </c>
      <c r="F79" s="409" t="s">
        <v>154</v>
      </c>
      <c r="G79" s="409"/>
      <c r="H79" s="1391">
        <f>H84</f>
        <v>598.5</v>
      </c>
      <c r="I79" s="1391">
        <f>I80+I82+I84</f>
        <v>915.36000000000013</v>
      </c>
      <c r="J79" s="1391">
        <f>J80+J82+J84</f>
        <v>915.36000000000013</v>
      </c>
      <c r="K79" s="1391">
        <f>K84</f>
        <v>0</v>
      </c>
      <c r="L79" s="1392">
        <f>L84</f>
        <v>0</v>
      </c>
      <c r="M79" s="1462"/>
      <c r="N79" s="1462"/>
      <c r="O79" s="1462"/>
      <c r="P79" s="1433"/>
      <c r="Q79" s="1433"/>
      <c r="R79" s="1433"/>
      <c r="S79" s="1433"/>
      <c r="T79" s="1433"/>
      <c r="U79" s="1433"/>
      <c r="V79" s="1433"/>
    </row>
    <row r="80" spans="1:22" s="1" customFormat="1" ht="14.5" hidden="1" x14ac:dyDescent="0.35">
      <c r="A80" s="1179"/>
      <c r="B80" s="753" t="s">
        <v>577</v>
      </c>
      <c r="C80" s="1180"/>
      <c r="D80" s="409" t="s">
        <v>456</v>
      </c>
      <c r="E80" s="409" t="s">
        <v>573</v>
      </c>
      <c r="F80" s="409" t="s">
        <v>576</v>
      </c>
      <c r="G80" s="409"/>
      <c r="H80" s="1391">
        <f>H81</f>
        <v>0</v>
      </c>
      <c r="I80" s="1391">
        <f>I81</f>
        <v>0</v>
      </c>
      <c r="J80" s="1391">
        <f>J81</f>
        <v>0</v>
      </c>
      <c r="K80" s="1391">
        <f>K81</f>
        <v>0</v>
      </c>
      <c r="L80" s="1392">
        <f>L81</f>
        <v>0</v>
      </c>
      <c r="M80" s="1462"/>
      <c r="N80" s="1462"/>
      <c r="O80" s="1462"/>
      <c r="P80" s="1433"/>
      <c r="Q80" s="1433"/>
      <c r="R80" s="1433"/>
      <c r="S80" s="1433"/>
      <c r="T80" s="1433"/>
      <c r="U80" s="1433"/>
      <c r="V80" s="1433"/>
    </row>
    <row r="81" spans="1:22" s="1" customFormat="1" ht="21" hidden="1" x14ac:dyDescent="0.35">
      <c r="A81" s="842"/>
      <c r="B81" s="1182" t="s">
        <v>454</v>
      </c>
      <c r="C81" s="1183"/>
      <c r="D81" s="409" t="s">
        <v>456</v>
      </c>
      <c r="E81" s="409" t="s">
        <v>573</v>
      </c>
      <c r="F81" s="409" t="s">
        <v>576</v>
      </c>
      <c r="G81" s="409" t="s">
        <v>1</v>
      </c>
      <c r="H81" s="1391"/>
      <c r="I81" s="1391">
        <v>0</v>
      </c>
      <c r="J81" s="1391">
        <v>0</v>
      </c>
      <c r="K81" s="1391"/>
      <c r="L81" s="1392"/>
      <c r="M81" s="1462"/>
      <c r="N81" s="1462"/>
      <c r="O81" s="1462"/>
      <c r="P81" s="1433"/>
      <c r="Q81" s="1433"/>
      <c r="R81" s="1433"/>
      <c r="S81" s="1433"/>
      <c r="T81" s="1433"/>
      <c r="U81" s="1433"/>
      <c r="V81" s="1433"/>
    </row>
    <row r="82" spans="1:22" s="1" customFormat="1" ht="22" hidden="1" x14ac:dyDescent="0.35">
      <c r="A82" s="842"/>
      <c r="B82" s="1199" t="s">
        <v>151</v>
      </c>
      <c r="C82" s="1188"/>
      <c r="D82" s="409" t="s">
        <v>456</v>
      </c>
      <c r="E82" s="409" t="s">
        <v>452</v>
      </c>
      <c r="F82" s="409" t="s">
        <v>150</v>
      </c>
      <c r="G82" s="409"/>
      <c r="H82" s="1391">
        <f>H83</f>
        <v>0</v>
      </c>
      <c r="I82" s="1391">
        <f>I83</f>
        <v>293.3</v>
      </c>
      <c r="J82" s="1391">
        <f>J83</f>
        <v>293.3</v>
      </c>
      <c r="K82" s="1391">
        <f>K83</f>
        <v>0</v>
      </c>
      <c r="L82" s="1392">
        <f>L83</f>
        <v>0</v>
      </c>
      <c r="M82" s="1462"/>
      <c r="N82" s="1462"/>
      <c r="O82" s="1462"/>
      <c r="P82" s="1433"/>
      <c r="Q82" s="1433"/>
      <c r="R82" s="1433"/>
      <c r="S82" s="1433"/>
      <c r="T82" s="1433"/>
      <c r="U82" s="1433"/>
      <c r="V82" s="1433"/>
    </row>
    <row r="83" spans="1:22" s="1" customFormat="1" ht="14.5" hidden="1" x14ac:dyDescent="0.35">
      <c r="A83" s="842"/>
      <c r="B83" s="1182" t="s">
        <v>575</v>
      </c>
      <c r="C83" s="1183"/>
      <c r="D83" s="409" t="s">
        <v>456</v>
      </c>
      <c r="E83" s="409" t="s">
        <v>452</v>
      </c>
      <c r="F83" s="409" t="s">
        <v>150</v>
      </c>
      <c r="G83" s="409" t="s">
        <v>120</v>
      </c>
      <c r="H83" s="1391"/>
      <c r="I83" s="1391">
        <v>293.3</v>
      </c>
      <c r="J83" s="1391">
        <v>293.3</v>
      </c>
      <c r="K83" s="1391"/>
      <c r="L83" s="1392"/>
      <c r="M83" s="1462"/>
      <c r="N83" s="1462"/>
      <c r="O83" s="1462"/>
      <c r="P83" s="1433"/>
      <c r="Q83" s="1433"/>
      <c r="R83" s="1433"/>
      <c r="S83" s="1433"/>
      <c r="T83" s="1433"/>
      <c r="U83" s="1433"/>
      <c r="V83" s="1433"/>
    </row>
    <row r="84" spans="1:22" s="1" customFormat="1" ht="39" hidden="1" x14ac:dyDescent="0.35">
      <c r="A84" s="842"/>
      <c r="B84" s="398" t="s">
        <v>835</v>
      </c>
      <c r="C84" s="1188"/>
      <c r="D84" s="409" t="s">
        <v>456</v>
      </c>
      <c r="E84" s="409" t="s">
        <v>573</v>
      </c>
      <c r="F84" s="409" t="s">
        <v>127</v>
      </c>
      <c r="G84" s="409"/>
      <c r="H84" s="1391">
        <f>H85+H86</f>
        <v>598.5</v>
      </c>
      <c r="I84" s="1391">
        <f>I85+I86</f>
        <v>622.06000000000006</v>
      </c>
      <c r="J84" s="1391">
        <f>J85+J86</f>
        <v>622.06000000000006</v>
      </c>
      <c r="K84" s="1391">
        <f>K85+K86</f>
        <v>0</v>
      </c>
      <c r="L84" s="1392">
        <f>L85+L86</f>
        <v>0</v>
      </c>
      <c r="M84" s="1462"/>
      <c r="N84" s="1462"/>
      <c r="O84" s="1462"/>
      <c r="P84" s="1433"/>
      <c r="Q84" s="1433"/>
      <c r="R84" s="1433"/>
      <c r="S84" s="1433"/>
      <c r="T84" s="1433"/>
      <c r="U84" s="1433"/>
      <c r="V84" s="1433"/>
    </row>
    <row r="85" spans="1:22" s="1" customFormat="1" ht="14.5" hidden="1" x14ac:dyDescent="0.35">
      <c r="A85" s="842"/>
      <c r="B85" s="1182" t="s">
        <v>571</v>
      </c>
      <c r="C85" s="1183"/>
      <c r="D85" s="409" t="s">
        <v>456</v>
      </c>
      <c r="E85" s="409" t="s">
        <v>573</v>
      </c>
      <c r="F85" s="409" t="s">
        <v>127</v>
      </c>
      <c r="G85" s="409" t="s">
        <v>5</v>
      </c>
      <c r="H85" s="1391">
        <v>561.29999999999995</v>
      </c>
      <c r="I85" s="1391">
        <v>581.86</v>
      </c>
      <c r="J85" s="1391">
        <v>581.86</v>
      </c>
      <c r="K85" s="1391"/>
      <c r="L85" s="1392"/>
      <c r="M85" s="1462"/>
      <c r="N85" s="1462"/>
      <c r="O85" s="1462"/>
      <c r="P85" s="1433"/>
      <c r="Q85" s="1433"/>
      <c r="R85" s="1433"/>
      <c r="S85" s="1433"/>
      <c r="T85" s="1433"/>
      <c r="U85" s="1433"/>
      <c r="V85" s="1433"/>
    </row>
    <row r="86" spans="1:22" s="1" customFormat="1" ht="21" hidden="1" x14ac:dyDescent="0.35">
      <c r="A86" s="842"/>
      <c r="B86" s="1182" t="s">
        <v>454</v>
      </c>
      <c r="C86" s="1183"/>
      <c r="D86" s="409" t="s">
        <v>456</v>
      </c>
      <c r="E86" s="409" t="s">
        <v>573</v>
      </c>
      <c r="F86" s="409" t="s">
        <v>127</v>
      </c>
      <c r="G86" s="409" t="s">
        <v>1</v>
      </c>
      <c r="H86" s="1391">
        <v>37.200000000000003</v>
      </c>
      <c r="I86" s="1391">
        <v>40.200000000000003</v>
      </c>
      <c r="J86" s="1391">
        <v>40.200000000000003</v>
      </c>
      <c r="K86" s="1391"/>
      <c r="L86" s="1392"/>
      <c r="M86" s="1462"/>
      <c r="N86" s="1462"/>
      <c r="O86" s="1462"/>
      <c r="P86" s="1433"/>
      <c r="Q86" s="1433"/>
      <c r="R86" s="1433"/>
      <c r="S86" s="1433"/>
      <c r="T86" s="1433"/>
      <c r="U86" s="1433"/>
      <c r="V86" s="1433"/>
    </row>
    <row r="87" spans="1:22" s="1" customFormat="1" ht="12.75" customHeight="1" x14ac:dyDescent="0.35">
      <c r="A87" s="842"/>
      <c r="B87" s="1395" t="s">
        <v>412</v>
      </c>
      <c r="C87" s="1183"/>
      <c r="D87" s="408" t="s">
        <v>488</v>
      </c>
      <c r="E87" s="408" t="s">
        <v>459</v>
      </c>
      <c r="F87" s="409"/>
      <c r="G87" s="409"/>
      <c r="H87" s="1375">
        <f>H88</f>
        <v>640.20000000000005</v>
      </c>
      <c r="I87" s="1375"/>
      <c r="J87" s="1375"/>
      <c r="K87" s="1375">
        <f t="shared" ref="K87:L91" si="9">K88</f>
        <v>755.8</v>
      </c>
      <c r="L87" s="1394">
        <f t="shared" si="9"/>
        <v>0</v>
      </c>
      <c r="M87" s="1469">
        <f>M93+M94</f>
        <v>755.8</v>
      </c>
      <c r="N87" s="1462"/>
      <c r="O87" s="1462">
        <v>0</v>
      </c>
      <c r="P87" s="1433"/>
      <c r="Q87" s="1433"/>
      <c r="R87" s="1433"/>
      <c r="S87" s="1433"/>
      <c r="T87" s="1433"/>
      <c r="U87" s="1433"/>
      <c r="V87" s="1433"/>
    </row>
    <row r="88" spans="1:22" s="1" customFormat="1" ht="12" customHeight="1" x14ac:dyDescent="0.35">
      <c r="A88" s="842"/>
      <c r="B88" s="1395" t="s">
        <v>6</v>
      </c>
      <c r="C88" s="1183"/>
      <c r="D88" s="408" t="s">
        <v>488</v>
      </c>
      <c r="E88" s="408" t="s">
        <v>495</v>
      </c>
      <c r="F88" s="409"/>
      <c r="G88" s="409"/>
      <c r="H88" s="1375">
        <f>H89</f>
        <v>640.20000000000005</v>
      </c>
      <c r="I88" s="1375"/>
      <c r="J88" s="1375"/>
      <c r="K88" s="1375">
        <f t="shared" si="9"/>
        <v>755.8</v>
      </c>
      <c r="L88" s="1394">
        <f t="shared" si="9"/>
        <v>0</v>
      </c>
      <c r="M88" s="1462"/>
      <c r="N88" s="1462"/>
      <c r="O88" s="1462"/>
      <c r="P88" s="1433"/>
      <c r="Q88" s="1433"/>
      <c r="R88" s="1433"/>
      <c r="S88" s="1433"/>
      <c r="T88" s="1433"/>
      <c r="U88" s="1433"/>
      <c r="V88" s="1433"/>
    </row>
    <row r="89" spans="1:22" s="1" customFormat="1" ht="21" x14ac:dyDescent="0.35">
      <c r="A89" s="842"/>
      <c r="B89" s="752" t="s">
        <v>572</v>
      </c>
      <c r="C89" s="1183"/>
      <c r="D89" s="408" t="s">
        <v>488</v>
      </c>
      <c r="E89" s="408" t="s">
        <v>495</v>
      </c>
      <c r="F89" s="408" t="s">
        <v>89</v>
      </c>
      <c r="G89" s="409"/>
      <c r="H89" s="1375">
        <f>H90</f>
        <v>640.20000000000005</v>
      </c>
      <c r="I89" s="1375"/>
      <c r="J89" s="1375"/>
      <c r="K89" s="1375">
        <f t="shared" si="9"/>
        <v>755.8</v>
      </c>
      <c r="L89" s="1394">
        <f t="shared" si="9"/>
        <v>0</v>
      </c>
      <c r="M89" s="1462"/>
      <c r="N89" s="1462"/>
      <c r="O89" s="1462"/>
      <c r="P89" s="1433"/>
      <c r="Q89" s="1433"/>
      <c r="R89" s="1433"/>
      <c r="S89" s="1433"/>
      <c r="T89" s="1433"/>
      <c r="U89" s="1433"/>
      <c r="V89" s="1433"/>
    </row>
    <row r="90" spans="1:22" s="1" customFormat="1" ht="13.5" customHeight="1" x14ac:dyDescent="0.35">
      <c r="A90" s="842"/>
      <c r="B90" s="753" t="s">
        <v>109</v>
      </c>
      <c r="C90" s="1183"/>
      <c r="D90" s="409" t="s">
        <v>488</v>
      </c>
      <c r="E90" s="409" t="s">
        <v>495</v>
      </c>
      <c r="F90" s="409" t="s">
        <v>84</v>
      </c>
      <c r="G90" s="409"/>
      <c r="H90" s="1391">
        <f>H91</f>
        <v>640.20000000000005</v>
      </c>
      <c r="I90" s="1391"/>
      <c r="J90" s="1391"/>
      <c r="K90" s="1391">
        <f t="shared" si="9"/>
        <v>755.8</v>
      </c>
      <c r="L90" s="1392">
        <f t="shared" si="9"/>
        <v>0</v>
      </c>
      <c r="M90" s="1462"/>
      <c r="N90" s="1462"/>
      <c r="O90" s="1462"/>
      <c r="P90" s="1433"/>
      <c r="Q90" s="1433"/>
      <c r="R90" s="1433"/>
      <c r="S90" s="1433"/>
      <c r="T90" s="1433"/>
      <c r="U90" s="1433"/>
      <c r="V90" s="1433"/>
    </row>
    <row r="91" spans="1:22" s="1" customFormat="1" ht="14.25" customHeight="1" x14ac:dyDescent="0.35">
      <c r="A91" s="842"/>
      <c r="B91" s="753" t="s">
        <v>109</v>
      </c>
      <c r="C91" s="1183"/>
      <c r="D91" s="409" t="s">
        <v>488</v>
      </c>
      <c r="E91" s="409" t="s">
        <v>495</v>
      </c>
      <c r="F91" s="409" t="s">
        <v>82</v>
      </c>
      <c r="G91" s="409"/>
      <c r="H91" s="1391">
        <f>H92</f>
        <v>640.20000000000005</v>
      </c>
      <c r="I91" s="1391"/>
      <c r="J91" s="1391"/>
      <c r="K91" s="1391">
        <f t="shared" si="9"/>
        <v>755.8</v>
      </c>
      <c r="L91" s="1392">
        <f t="shared" si="9"/>
        <v>0</v>
      </c>
      <c r="M91" s="1462"/>
      <c r="N91" s="1462"/>
      <c r="O91" s="1462"/>
      <c r="P91" s="1433"/>
      <c r="Q91" s="1433"/>
      <c r="R91" s="1433"/>
      <c r="S91" s="1433"/>
      <c r="T91" s="1433"/>
      <c r="U91" s="1433"/>
      <c r="V91" s="1433"/>
    </row>
    <row r="92" spans="1:22" s="1" customFormat="1" ht="21" x14ac:dyDescent="0.35">
      <c r="A92" s="842"/>
      <c r="B92" s="1213" t="s">
        <v>8</v>
      </c>
      <c r="C92" s="1183"/>
      <c r="D92" s="409" t="s">
        <v>488</v>
      </c>
      <c r="E92" s="409" t="s">
        <v>495</v>
      </c>
      <c r="F92" s="409" t="s">
        <v>2</v>
      </c>
      <c r="G92" s="409"/>
      <c r="H92" s="1391">
        <f>H93+H94</f>
        <v>640.20000000000005</v>
      </c>
      <c r="I92" s="1391"/>
      <c r="J92" s="1391"/>
      <c r="K92" s="1391">
        <f>K93+K94</f>
        <v>755.8</v>
      </c>
      <c r="L92" s="1392">
        <f>L93+L94</f>
        <v>0</v>
      </c>
      <c r="M92" s="1462"/>
      <c r="N92" s="1462"/>
      <c r="O92" s="1462"/>
      <c r="P92" s="1433"/>
      <c r="Q92" s="1433"/>
      <c r="R92" s="1433"/>
      <c r="S92" s="1433"/>
      <c r="T92" s="1433"/>
      <c r="U92" s="1433"/>
      <c r="V92" s="1433"/>
    </row>
    <row r="93" spans="1:22" s="1" customFormat="1" ht="14.5" x14ac:dyDescent="0.35">
      <c r="A93" s="842"/>
      <c r="B93" s="1182" t="s">
        <v>571</v>
      </c>
      <c r="C93" s="1183"/>
      <c r="D93" s="409" t="s">
        <v>488</v>
      </c>
      <c r="E93" s="409" t="s">
        <v>495</v>
      </c>
      <c r="F93" s="409" t="s">
        <v>2</v>
      </c>
      <c r="G93" s="409" t="s">
        <v>5</v>
      </c>
      <c r="H93" s="1391">
        <v>638.005</v>
      </c>
      <c r="I93" s="1391"/>
      <c r="J93" s="1391"/>
      <c r="K93" s="1391">
        <v>728.23299999999995</v>
      </c>
      <c r="L93" s="1392"/>
      <c r="M93" s="1462">
        <v>728.23299999999995</v>
      </c>
      <c r="N93" s="1462"/>
      <c r="O93" s="1462">
        <v>0</v>
      </c>
      <c r="P93" s="1433"/>
      <c r="Q93" s="1433"/>
      <c r="R93" s="1433"/>
      <c r="S93" s="1433"/>
      <c r="T93" s="1433"/>
      <c r="U93" s="1433"/>
      <c r="V93" s="1433"/>
    </row>
    <row r="94" spans="1:22" s="1" customFormat="1" ht="21" x14ac:dyDescent="0.35">
      <c r="A94" s="842"/>
      <c r="B94" s="1182" t="s">
        <v>454</v>
      </c>
      <c r="C94" s="1183"/>
      <c r="D94" s="409" t="s">
        <v>488</v>
      </c>
      <c r="E94" s="409" t="s">
        <v>495</v>
      </c>
      <c r="F94" s="409" t="s">
        <v>2</v>
      </c>
      <c r="G94" s="409" t="s">
        <v>1</v>
      </c>
      <c r="H94" s="1391">
        <v>2.1949999999999998</v>
      </c>
      <c r="I94" s="1391"/>
      <c r="J94" s="1391"/>
      <c r="K94" s="1391">
        <v>27.567</v>
      </c>
      <c r="L94" s="1392"/>
      <c r="M94" s="1462">
        <v>27.567</v>
      </c>
      <c r="N94" s="1462"/>
      <c r="O94" s="1462">
        <v>0</v>
      </c>
      <c r="P94" s="1433"/>
      <c r="Q94" s="1433"/>
      <c r="R94" s="1433"/>
      <c r="S94" s="1433"/>
      <c r="T94" s="1433"/>
      <c r="U94" s="1433"/>
      <c r="V94" s="1433"/>
    </row>
    <row r="95" spans="1:22" s="1" customFormat="1" ht="14.5" x14ac:dyDescent="0.35">
      <c r="A95" s="1179"/>
      <c r="B95" s="1396" t="s">
        <v>407</v>
      </c>
      <c r="C95" s="1177"/>
      <c r="D95" s="408" t="s">
        <v>495</v>
      </c>
      <c r="E95" s="408" t="s">
        <v>459</v>
      </c>
      <c r="F95" s="408"/>
      <c r="G95" s="408"/>
      <c r="H95" s="1375">
        <f>H96</f>
        <v>2376.0160000000001</v>
      </c>
      <c r="I95" s="1375">
        <f>I96</f>
        <v>7939.5500000000011</v>
      </c>
      <c r="J95" s="1375">
        <f>J96</f>
        <v>6036.2</v>
      </c>
      <c r="K95" s="1375">
        <f>K97+K114</f>
        <v>1858</v>
      </c>
      <c r="L95" s="1394">
        <f>L97+L114</f>
        <v>1906.04</v>
      </c>
      <c r="M95" s="1462"/>
      <c r="N95" s="1462"/>
      <c r="O95" s="1462"/>
      <c r="P95" s="1433"/>
      <c r="Q95" s="1433"/>
      <c r="R95" s="1433"/>
      <c r="S95" s="1433"/>
      <c r="T95" s="1433"/>
      <c r="U95" s="1433"/>
      <c r="V95" s="1433"/>
    </row>
    <row r="96" spans="1:22" s="1" customFormat="1" ht="21" x14ac:dyDescent="0.35">
      <c r="A96" s="842"/>
      <c r="B96" s="752" t="s">
        <v>570</v>
      </c>
      <c r="C96" s="1177"/>
      <c r="D96" s="408" t="s">
        <v>495</v>
      </c>
      <c r="E96" s="408" t="s">
        <v>539</v>
      </c>
      <c r="F96" s="408"/>
      <c r="G96" s="408"/>
      <c r="H96" s="1375">
        <f>H97+H116</f>
        <v>2376.0160000000001</v>
      </c>
      <c r="I96" s="1375">
        <f>I97+I116</f>
        <v>7939.5500000000011</v>
      </c>
      <c r="J96" s="1375">
        <f>J97+J116</f>
        <v>6036.2</v>
      </c>
      <c r="K96" s="1375">
        <f>K97</f>
        <v>1202</v>
      </c>
      <c r="L96" s="1394">
        <f>L97</f>
        <v>1250.04</v>
      </c>
      <c r="M96" s="1462"/>
      <c r="N96" s="1462"/>
      <c r="O96" s="1462"/>
      <c r="P96" s="1433"/>
      <c r="Q96" s="1433"/>
      <c r="R96" s="1433"/>
      <c r="S96" s="1433"/>
      <c r="T96" s="1433"/>
      <c r="U96" s="1433"/>
      <c r="V96" s="1433"/>
    </row>
    <row r="97" spans="1:22" s="1" customFormat="1" ht="24.75" customHeight="1" x14ac:dyDescent="0.35">
      <c r="A97" s="1179"/>
      <c r="B97" s="1393" t="s">
        <v>912</v>
      </c>
      <c r="C97" s="1215"/>
      <c r="D97" s="409" t="s">
        <v>495</v>
      </c>
      <c r="E97" s="409" t="s">
        <v>539</v>
      </c>
      <c r="F97" s="1384" t="s">
        <v>240</v>
      </c>
      <c r="G97" s="409"/>
      <c r="H97" s="1391">
        <f>H98+H110</f>
        <v>1777.508</v>
      </c>
      <c r="I97" s="1391">
        <f>I98+I110</f>
        <v>7857.2000000000007</v>
      </c>
      <c r="J97" s="1391">
        <f>J98+J110</f>
        <v>5976.2</v>
      </c>
      <c r="K97" s="1391">
        <f>K101+K108+K113</f>
        <v>1202</v>
      </c>
      <c r="L97" s="1392">
        <f>L101+L108+L113</f>
        <v>1250.04</v>
      </c>
      <c r="M97" s="1462"/>
      <c r="N97" s="1462"/>
      <c r="O97" s="1462"/>
      <c r="P97" s="1433"/>
      <c r="Q97" s="1433"/>
      <c r="R97" s="1433"/>
      <c r="S97" s="1433"/>
      <c r="T97" s="1433"/>
      <c r="U97" s="1433"/>
      <c r="V97" s="1433"/>
    </row>
    <row r="98" spans="1:22" s="1" customFormat="1" ht="38.5" customHeight="1" x14ac:dyDescent="0.35">
      <c r="A98" s="1179"/>
      <c r="B98" s="1397" t="s">
        <v>937</v>
      </c>
      <c r="C98" s="1215"/>
      <c r="D98" s="1217" t="s">
        <v>495</v>
      </c>
      <c r="E98" s="1217" t="s">
        <v>539</v>
      </c>
      <c r="F98" s="1398" t="s">
        <v>238</v>
      </c>
      <c r="G98" s="1217"/>
      <c r="H98" s="1391">
        <f>H99+H106</f>
        <v>473</v>
      </c>
      <c r="I98" s="1391">
        <f>I99+I106</f>
        <v>6343.4000000000005</v>
      </c>
      <c r="J98" s="1391">
        <f>J99+J106</f>
        <v>4462.3999999999996</v>
      </c>
      <c r="K98" s="1391">
        <f>K99+K106</f>
        <v>606</v>
      </c>
      <c r="L98" s="1392">
        <f>L99+L106</f>
        <v>630.20000000000005</v>
      </c>
      <c r="M98" s="1469">
        <f>M101+M108+M113</f>
        <v>1202</v>
      </c>
      <c r="N98" s="1462"/>
      <c r="O98" s="1469">
        <f>O101+O108+O113</f>
        <v>1250.04</v>
      </c>
      <c r="P98" s="1433"/>
      <c r="Q98" s="1433"/>
      <c r="R98" s="1433"/>
      <c r="S98" s="1433"/>
      <c r="T98" s="1433"/>
      <c r="U98" s="1433"/>
      <c r="V98" s="1433"/>
    </row>
    <row r="99" spans="1:22" s="1" customFormat="1" ht="21.75" customHeight="1" x14ac:dyDescent="0.35">
      <c r="A99" s="1179"/>
      <c r="B99" s="1197" t="s">
        <v>236</v>
      </c>
      <c r="C99" s="1215"/>
      <c r="D99" s="1217" t="s">
        <v>495</v>
      </c>
      <c r="E99" s="1217" t="s">
        <v>539</v>
      </c>
      <c r="F99" s="1217" t="s">
        <v>235</v>
      </c>
      <c r="G99" s="1217"/>
      <c r="H99" s="1391">
        <f>H100+H102+H104</f>
        <v>240</v>
      </c>
      <c r="I99" s="1391">
        <f>I100+I102+I104</f>
        <v>4935.1000000000004</v>
      </c>
      <c r="J99" s="1391">
        <f>J100+J102+J104</f>
        <v>3024.1</v>
      </c>
      <c r="K99" s="1391">
        <f>K100+K102+K104</f>
        <v>376</v>
      </c>
      <c r="L99" s="1392">
        <f>L100+L102+L104</f>
        <v>391</v>
      </c>
      <c r="M99" s="1462"/>
      <c r="N99" s="1462"/>
      <c r="O99" s="1462"/>
      <c r="P99" s="1433"/>
      <c r="Q99" s="1433"/>
      <c r="R99" s="1433"/>
      <c r="S99" s="1433"/>
      <c r="T99" s="1433"/>
      <c r="U99" s="1433"/>
      <c r="V99" s="1433"/>
    </row>
    <row r="100" spans="1:22" s="1" customFormat="1" ht="21" x14ac:dyDescent="0.35">
      <c r="A100" s="1179"/>
      <c r="B100" s="1218" t="s">
        <v>938</v>
      </c>
      <c r="C100" s="1215"/>
      <c r="D100" s="1217" t="s">
        <v>495</v>
      </c>
      <c r="E100" s="1217" t="s">
        <v>539</v>
      </c>
      <c r="F100" s="1217" t="s">
        <v>233</v>
      </c>
      <c r="G100" s="1217"/>
      <c r="H100" s="1391">
        <f>H101</f>
        <v>240</v>
      </c>
      <c r="I100" s="1391">
        <f>I101</f>
        <v>684.5</v>
      </c>
      <c r="J100" s="1391">
        <f>J101</f>
        <v>773.5</v>
      </c>
      <c r="K100" s="1391">
        <f>K101</f>
        <v>376</v>
      </c>
      <c r="L100" s="1392">
        <f>L101</f>
        <v>391</v>
      </c>
      <c r="M100" s="1462"/>
      <c r="N100" s="1462"/>
      <c r="O100" s="1462"/>
      <c r="P100" s="1433"/>
      <c r="Q100" s="1433"/>
      <c r="R100" s="1433"/>
      <c r="S100" s="1433"/>
      <c r="T100" s="1433"/>
      <c r="U100" s="1433"/>
      <c r="V100" s="1433"/>
    </row>
    <row r="101" spans="1:22" s="1" customFormat="1" ht="21" x14ac:dyDescent="0.35">
      <c r="A101" s="1179"/>
      <c r="B101" s="1182" t="s">
        <v>454</v>
      </c>
      <c r="C101" s="1183"/>
      <c r="D101" s="1217" t="s">
        <v>495</v>
      </c>
      <c r="E101" s="1217" t="s">
        <v>539</v>
      </c>
      <c r="F101" s="1217" t="s">
        <v>233</v>
      </c>
      <c r="G101" s="409" t="s">
        <v>1</v>
      </c>
      <c r="H101" s="1391">
        <v>240</v>
      </c>
      <c r="I101" s="1391">
        <f>4935.1-250.6-4000</f>
        <v>684.5</v>
      </c>
      <c r="J101" s="1391">
        <f>3024.1-250.6-2000</f>
        <v>773.5</v>
      </c>
      <c r="K101" s="1391">
        <v>376</v>
      </c>
      <c r="L101" s="1392">
        <v>391</v>
      </c>
      <c r="M101" s="1462">
        <v>376</v>
      </c>
      <c r="N101" s="1462"/>
      <c r="O101" s="1462">
        <v>391</v>
      </c>
      <c r="P101" s="1433"/>
      <c r="Q101" s="1433"/>
      <c r="R101" s="1433"/>
      <c r="S101" s="1433"/>
      <c r="T101" s="1433"/>
      <c r="U101" s="1433"/>
      <c r="V101" s="1433"/>
    </row>
    <row r="102" spans="1:22" s="1" customFormat="1" ht="14.5" hidden="1" x14ac:dyDescent="0.35">
      <c r="A102" s="1179"/>
      <c r="B102" s="1219" t="s">
        <v>568</v>
      </c>
      <c r="C102" s="1215"/>
      <c r="D102" s="1217" t="s">
        <v>495</v>
      </c>
      <c r="E102" s="1217" t="s">
        <v>539</v>
      </c>
      <c r="F102" s="1217" t="s">
        <v>567</v>
      </c>
      <c r="G102" s="1217"/>
      <c r="H102" s="1391">
        <f>H103</f>
        <v>0</v>
      </c>
      <c r="I102" s="1391">
        <f>I103</f>
        <v>250.6</v>
      </c>
      <c r="J102" s="1391">
        <f>J103</f>
        <v>250.6</v>
      </c>
      <c r="K102" s="1391">
        <f>K103</f>
        <v>0</v>
      </c>
      <c r="L102" s="1392">
        <f>L103</f>
        <v>0</v>
      </c>
      <c r="M102" s="1462"/>
      <c r="N102" s="1462"/>
      <c r="O102" s="1462"/>
      <c r="P102" s="1433"/>
      <c r="Q102" s="1433"/>
      <c r="R102" s="1433"/>
      <c r="S102" s="1433"/>
      <c r="T102" s="1433"/>
      <c r="U102" s="1433"/>
      <c r="V102" s="1433"/>
    </row>
    <row r="103" spans="1:22" s="1" customFormat="1" ht="21" hidden="1" x14ac:dyDescent="0.35">
      <c r="A103" s="1179"/>
      <c r="B103" s="1182" t="s">
        <v>454</v>
      </c>
      <c r="C103" s="1183"/>
      <c r="D103" s="1217" t="s">
        <v>495</v>
      </c>
      <c r="E103" s="1217" t="s">
        <v>539</v>
      </c>
      <c r="F103" s="1217" t="s">
        <v>567</v>
      </c>
      <c r="G103" s="409" t="s">
        <v>1</v>
      </c>
      <c r="H103" s="1391"/>
      <c r="I103" s="1391">
        <v>250.6</v>
      </c>
      <c r="J103" s="1391">
        <v>250.6</v>
      </c>
      <c r="K103" s="1391"/>
      <c r="L103" s="1392"/>
      <c r="M103" s="1462"/>
      <c r="N103" s="1462"/>
      <c r="O103" s="1462"/>
      <c r="P103" s="1433"/>
      <c r="Q103" s="1433"/>
      <c r="R103" s="1433"/>
      <c r="S103" s="1433"/>
      <c r="T103" s="1433"/>
      <c r="U103" s="1433"/>
      <c r="V103" s="1433"/>
    </row>
    <row r="104" spans="1:22" s="1" customFormat="1" ht="14.5" hidden="1" x14ac:dyDescent="0.35">
      <c r="A104" s="1179"/>
      <c r="B104" s="1219" t="s">
        <v>566</v>
      </c>
      <c r="C104" s="1215"/>
      <c r="D104" s="1217" t="s">
        <v>495</v>
      </c>
      <c r="E104" s="1217" t="s">
        <v>539</v>
      </c>
      <c r="F104" s="1217" t="s">
        <v>565</v>
      </c>
      <c r="G104" s="1217"/>
      <c r="H104" s="1391">
        <f>H105</f>
        <v>0</v>
      </c>
      <c r="I104" s="1391">
        <f>I105</f>
        <v>4000</v>
      </c>
      <c r="J104" s="1391">
        <f>J105</f>
        <v>2000</v>
      </c>
      <c r="K104" s="1391">
        <f>K105</f>
        <v>0</v>
      </c>
      <c r="L104" s="1392">
        <f>L105</f>
        <v>0</v>
      </c>
      <c r="M104" s="1462"/>
      <c r="N104" s="1462"/>
      <c r="O104" s="1462"/>
      <c r="P104" s="1433"/>
      <c r="Q104" s="1433"/>
      <c r="R104" s="1433"/>
      <c r="S104" s="1433"/>
      <c r="T104" s="1433"/>
      <c r="U104" s="1433"/>
      <c r="V104" s="1433"/>
    </row>
    <row r="105" spans="1:22" s="1" customFormat="1" ht="21" hidden="1" x14ac:dyDescent="0.35">
      <c r="A105" s="1179"/>
      <c r="B105" s="1182" t="s">
        <v>454</v>
      </c>
      <c r="C105" s="1183"/>
      <c r="D105" s="1217" t="s">
        <v>495</v>
      </c>
      <c r="E105" s="1217" t="s">
        <v>539</v>
      </c>
      <c r="F105" s="1217" t="s">
        <v>565</v>
      </c>
      <c r="G105" s="409" t="s">
        <v>1</v>
      </c>
      <c r="H105" s="1391"/>
      <c r="I105" s="1391">
        <v>4000</v>
      </c>
      <c r="J105" s="1391">
        <v>2000</v>
      </c>
      <c r="K105" s="1391"/>
      <c r="L105" s="1392"/>
      <c r="M105" s="1462"/>
      <c r="N105" s="1462"/>
      <c r="O105" s="1462"/>
      <c r="P105" s="1433"/>
      <c r="Q105" s="1433"/>
      <c r="R105" s="1433"/>
      <c r="S105" s="1433"/>
      <c r="T105" s="1433"/>
      <c r="U105" s="1433"/>
      <c r="V105" s="1433"/>
    </row>
    <row r="106" spans="1:22" s="1" customFormat="1" ht="12.75" customHeight="1" x14ac:dyDescent="0.35">
      <c r="A106" s="1179"/>
      <c r="B106" s="1219" t="s">
        <v>564</v>
      </c>
      <c r="C106" s="1215"/>
      <c r="D106" s="1217" t="s">
        <v>495</v>
      </c>
      <c r="E106" s="1217" t="s">
        <v>539</v>
      </c>
      <c r="F106" s="1217" t="s">
        <v>231</v>
      </c>
      <c r="G106" s="1217"/>
      <c r="H106" s="1391">
        <f>H107</f>
        <v>233</v>
      </c>
      <c r="I106" s="1391">
        <f>I107</f>
        <v>1408.3</v>
      </c>
      <c r="J106" s="1391">
        <f>J107</f>
        <v>1438.3</v>
      </c>
      <c r="K106" s="1391">
        <f>K107</f>
        <v>230</v>
      </c>
      <c r="L106" s="1392">
        <f>L107</f>
        <v>239.2</v>
      </c>
      <c r="M106" s="1462"/>
      <c r="N106" s="1462"/>
      <c r="O106" s="1462"/>
      <c r="P106" s="1433"/>
      <c r="Q106" s="1433"/>
      <c r="R106" s="1433"/>
      <c r="S106" s="1433"/>
      <c r="T106" s="1433"/>
      <c r="U106" s="1433"/>
      <c r="V106" s="1433"/>
    </row>
    <row r="107" spans="1:22" s="1" customFormat="1" ht="12" customHeight="1" x14ac:dyDescent="0.35">
      <c r="A107" s="1179"/>
      <c r="B107" s="1117" t="s">
        <v>563</v>
      </c>
      <c r="C107" s="1188"/>
      <c r="D107" s="409" t="s">
        <v>495</v>
      </c>
      <c r="E107" s="409" t="s">
        <v>539</v>
      </c>
      <c r="F107" s="1217" t="s">
        <v>229</v>
      </c>
      <c r="G107" s="1217"/>
      <c r="H107" s="1391">
        <f>H108+H109</f>
        <v>233</v>
      </c>
      <c r="I107" s="1391">
        <f>I108+I109</f>
        <v>1408.3</v>
      </c>
      <c r="J107" s="1391">
        <f>J108+J109</f>
        <v>1438.3</v>
      </c>
      <c r="K107" s="1391">
        <f>K108+K109</f>
        <v>230</v>
      </c>
      <c r="L107" s="1392">
        <f>L108+L109</f>
        <v>239.2</v>
      </c>
      <c r="M107" s="1462"/>
      <c r="N107" s="1462"/>
      <c r="O107" s="1462"/>
      <c r="P107" s="1433"/>
      <c r="Q107" s="1433"/>
      <c r="R107" s="1433"/>
      <c r="S107" s="1433"/>
      <c r="T107" s="1433"/>
      <c r="U107" s="1433"/>
      <c r="V107" s="1433"/>
    </row>
    <row r="108" spans="1:22" s="1" customFormat="1" ht="21" x14ac:dyDescent="0.35">
      <c r="A108" s="1179"/>
      <c r="B108" s="1182" t="s">
        <v>454</v>
      </c>
      <c r="C108" s="1183"/>
      <c r="D108" s="409" t="s">
        <v>495</v>
      </c>
      <c r="E108" s="409" t="s">
        <v>539</v>
      </c>
      <c r="F108" s="1217" t="s">
        <v>229</v>
      </c>
      <c r="G108" s="1217">
        <v>240</v>
      </c>
      <c r="H108" s="1391">
        <v>233</v>
      </c>
      <c r="I108" s="1391">
        <f>1721.5-313.2</f>
        <v>1408.3</v>
      </c>
      <c r="J108" s="1391">
        <f>1751.5-313.2</f>
        <v>1438.3</v>
      </c>
      <c r="K108" s="1391">
        <v>230</v>
      </c>
      <c r="L108" s="1392">
        <v>239.2</v>
      </c>
      <c r="M108" s="1462">
        <v>230</v>
      </c>
      <c r="N108" s="1462"/>
      <c r="O108" s="1462">
        <v>239.2</v>
      </c>
      <c r="P108" s="1433"/>
      <c r="Q108" s="1433"/>
      <c r="R108" s="1433"/>
      <c r="S108" s="1433"/>
      <c r="T108" s="1433"/>
      <c r="U108" s="1433"/>
      <c r="V108" s="1433"/>
    </row>
    <row r="109" spans="1:22" s="1" customFormat="1" ht="21" hidden="1" x14ac:dyDescent="0.35">
      <c r="A109" s="1179"/>
      <c r="B109" s="1183" t="s">
        <v>562</v>
      </c>
      <c r="C109" s="1183"/>
      <c r="D109" s="409" t="s">
        <v>495</v>
      </c>
      <c r="E109" s="409" t="s">
        <v>539</v>
      </c>
      <c r="F109" s="1217" t="s">
        <v>229</v>
      </c>
      <c r="G109" s="1217" t="s">
        <v>561</v>
      </c>
      <c r="H109" s="1391"/>
      <c r="I109" s="1391"/>
      <c r="J109" s="1391"/>
      <c r="K109" s="1391"/>
      <c r="L109" s="1392"/>
      <c r="M109" s="1462"/>
      <c r="N109" s="1462"/>
      <c r="O109" s="1462"/>
      <c r="P109" s="1433"/>
      <c r="Q109" s="1433"/>
      <c r="R109" s="1433"/>
      <c r="S109" s="1433"/>
      <c r="T109" s="1433"/>
      <c r="U109" s="1433"/>
      <c r="V109" s="1433"/>
    </row>
    <row r="110" spans="1:22" s="1" customFormat="1" ht="14.25" customHeight="1" x14ac:dyDescent="0.35">
      <c r="A110" s="1179"/>
      <c r="B110" s="1219" t="s">
        <v>560</v>
      </c>
      <c r="C110" s="1215"/>
      <c r="D110" s="1217" t="s">
        <v>495</v>
      </c>
      <c r="E110" s="1217" t="s">
        <v>539</v>
      </c>
      <c r="F110" s="1217" t="s">
        <v>227</v>
      </c>
      <c r="G110" s="1217"/>
      <c r="H110" s="1391">
        <f>H111</f>
        <v>1304.508</v>
      </c>
      <c r="I110" s="1391">
        <f>I111</f>
        <v>1513.8000000000002</v>
      </c>
      <c r="J110" s="1391">
        <f>J111</f>
        <v>1513.8000000000002</v>
      </c>
      <c r="K110" s="1391">
        <f>K111</f>
        <v>596</v>
      </c>
      <c r="L110" s="1392">
        <f>L111</f>
        <v>619.84</v>
      </c>
      <c r="M110" s="1462"/>
      <c r="N110" s="1462"/>
      <c r="O110" s="1462"/>
      <c r="P110" s="1433"/>
      <c r="Q110" s="1433"/>
      <c r="R110" s="1433"/>
      <c r="S110" s="1433"/>
      <c r="T110" s="1433"/>
      <c r="U110" s="1433"/>
      <c r="V110" s="1433"/>
    </row>
    <row r="111" spans="1:22" s="1" customFormat="1" ht="21" x14ac:dyDescent="0.35">
      <c r="A111" s="1179"/>
      <c r="B111" s="1219" t="s">
        <v>559</v>
      </c>
      <c r="C111" s="1215"/>
      <c r="D111" s="1217" t="s">
        <v>495</v>
      </c>
      <c r="E111" s="1217" t="s">
        <v>539</v>
      </c>
      <c r="F111" s="1217" t="s">
        <v>225</v>
      </c>
      <c r="G111" s="1217"/>
      <c r="H111" s="1391">
        <f>H112+H114</f>
        <v>1304.508</v>
      </c>
      <c r="I111" s="1391">
        <f>I112+I114</f>
        <v>1513.8000000000002</v>
      </c>
      <c r="J111" s="1391">
        <f>J112+J114</f>
        <v>1513.8000000000002</v>
      </c>
      <c r="K111" s="1391">
        <f>K112</f>
        <v>596</v>
      </c>
      <c r="L111" s="1392">
        <f>L112</f>
        <v>619.84</v>
      </c>
      <c r="M111" s="1462"/>
      <c r="N111" s="1462"/>
      <c r="O111" s="1462"/>
      <c r="P111" s="1433"/>
      <c r="Q111" s="1433"/>
      <c r="R111" s="1433"/>
      <c r="S111" s="1433"/>
      <c r="T111" s="1433"/>
      <c r="U111" s="1433"/>
      <c r="V111" s="1433"/>
    </row>
    <row r="112" spans="1:22" s="1" customFormat="1" ht="16.5" customHeight="1" x14ac:dyDescent="0.35">
      <c r="A112" s="1179"/>
      <c r="B112" s="337" t="s">
        <v>224</v>
      </c>
      <c r="C112" s="1188"/>
      <c r="D112" s="1217" t="s">
        <v>495</v>
      </c>
      <c r="E112" s="1217" t="s">
        <v>539</v>
      </c>
      <c r="F112" s="1217" t="s">
        <v>220</v>
      </c>
      <c r="G112" s="1217"/>
      <c r="H112" s="1391">
        <f>H113</f>
        <v>706</v>
      </c>
      <c r="I112" s="1391">
        <f>I113</f>
        <v>365.4</v>
      </c>
      <c r="J112" s="1391">
        <f>J113</f>
        <v>365.4</v>
      </c>
      <c r="K112" s="1391">
        <f>K113</f>
        <v>596</v>
      </c>
      <c r="L112" s="1392">
        <f>L113</f>
        <v>619.84</v>
      </c>
      <c r="M112" s="1462"/>
      <c r="N112" s="1462"/>
      <c r="O112" s="1462"/>
      <c r="P112" s="1433"/>
      <c r="Q112" s="1433"/>
      <c r="R112" s="1433"/>
      <c r="S112" s="1433"/>
      <c r="T112" s="1433"/>
      <c r="U112" s="1433"/>
      <c r="V112" s="1433"/>
    </row>
    <row r="113" spans="1:22" s="1" customFormat="1" ht="21" x14ac:dyDescent="0.35">
      <c r="A113" s="1179"/>
      <c r="B113" s="1182" t="s">
        <v>454</v>
      </c>
      <c r="C113" s="1183"/>
      <c r="D113" s="1217" t="s">
        <v>495</v>
      </c>
      <c r="E113" s="1217" t="s">
        <v>539</v>
      </c>
      <c r="F113" s="1217" t="s">
        <v>220</v>
      </c>
      <c r="G113" s="409" t="s">
        <v>1</v>
      </c>
      <c r="H113" s="1391">
        <v>706</v>
      </c>
      <c r="I113" s="1391">
        <v>365.4</v>
      </c>
      <c r="J113" s="1391">
        <v>365.4</v>
      </c>
      <c r="K113" s="1391">
        <v>596</v>
      </c>
      <c r="L113" s="1392">
        <v>619.84</v>
      </c>
      <c r="M113" s="1462">
        <v>596</v>
      </c>
      <c r="N113" s="1462"/>
      <c r="O113" s="1462">
        <v>619.84</v>
      </c>
      <c r="P113" s="1433"/>
      <c r="Q113" s="1433"/>
      <c r="R113" s="1433"/>
      <c r="S113" s="1433"/>
      <c r="T113" s="1433"/>
      <c r="U113" s="1433"/>
      <c r="V113" s="1433"/>
    </row>
    <row r="114" spans="1:22" s="1" customFormat="1" ht="27.75" customHeight="1" x14ac:dyDescent="0.35">
      <c r="A114" s="1179"/>
      <c r="B114" s="1399" t="s">
        <v>833</v>
      </c>
      <c r="C114" s="1188"/>
      <c r="D114" s="1217" t="s">
        <v>495</v>
      </c>
      <c r="E114" s="1217" t="s">
        <v>832</v>
      </c>
      <c r="F114" s="1217" t="s">
        <v>157</v>
      </c>
      <c r="G114" s="1217"/>
      <c r="H114" s="1391">
        <v>598.50800000000004</v>
      </c>
      <c r="I114" s="1391">
        <f>I115</f>
        <v>1148.4000000000001</v>
      </c>
      <c r="J114" s="1391">
        <f>J115</f>
        <v>1148.4000000000001</v>
      </c>
      <c r="K114" s="1391">
        <f>K115</f>
        <v>656</v>
      </c>
      <c r="L114" s="1392">
        <f>L115</f>
        <v>656</v>
      </c>
      <c r="M114" s="1469">
        <f>M118+M119</f>
        <v>656</v>
      </c>
      <c r="N114" s="1462"/>
      <c r="O114" s="1469">
        <f>O118+O119</f>
        <v>656</v>
      </c>
      <c r="P114" s="1433"/>
      <c r="Q114" s="1433"/>
      <c r="R114" s="1433"/>
      <c r="S114" s="1433"/>
      <c r="T114" s="1433"/>
      <c r="U114" s="1433"/>
      <c r="V114" s="1433"/>
    </row>
    <row r="115" spans="1:22" s="1" customFormat="1" ht="23.25" customHeight="1" x14ac:dyDescent="0.35">
      <c r="A115" s="1179"/>
      <c r="B115" s="1400" t="s">
        <v>939</v>
      </c>
      <c r="C115" s="1183"/>
      <c r="D115" s="1217" t="s">
        <v>495</v>
      </c>
      <c r="E115" s="1217" t="s">
        <v>832</v>
      </c>
      <c r="F115" s="1217" t="s">
        <v>155</v>
      </c>
      <c r="G115" s="409"/>
      <c r="H115" s="1391">
        <v>598.50800000000004</v>
      </c>
      <c r="I115" s="1391">
        <v>1148.4000000000001</v>
      </c>
      <c r="J115" s="1391">
        <v>1148.4000000000001</v>
      </c>
      <c r="K115" s="1391">
        <f>K116</f>
        <v>656</v>
      </c>
      <c r="L115" s="1392">
        <f>L116</f>
        <v>656</v>
      </c>
      <c r="M115" s="1462"/>
      <c r="N115" s="1462"/>
      <c r="O115" s="1462"/>
      <c r="P115" s="1433"/>
      <c r="Q115" s="1433"/>
      <c r="R115" s="1433"/>
      <c r="S115" s="1433"/>
      <c r="T115" s="1433"/>
      <c r="U115" s="1433"/>
      <c r="V115" s="1433"/>
    </row>
    <row r="116" spans="1:22" s="1" customFormat="1" ht="14.25" customHeight="1" x14ac:dyDescent="0.35">
      <c r="A116" s="1179"/>
      <c r="B116" s="1219" t="s">
        <v>109</v>
      </c>
      <c r="C116" s="1223"/>
      <c r="D116" s="409" t="s">
        <v>495</v>
      </c>
      <c r="E116" s="409" t="s">
        <v>832</v>
      </c>
      <c r="F116" s="409" t="s">
        <v>154</v>
      </c>
      <c r="G116" s="409"/>
      <c r="H116" s="1391">
        <v>598.50800000000004</v>
      </c>
      <c r="I116" s="1391">
        <f t="shared" ref="I116:J118" si="10">I117</f>
        <v>82.35</v>
      </c>
      <c r="J116" s="1391">
        <f t="shared" si="10"/>
        <v>60</v>
      </c>
      <c r="K116" s="1391">
        <f>K117</f>
        <v>656</v>
      </c>
      <c r="L116" s="1392">
        <f>L117</f>
        <v>656</v>
      </c>
      <c r="M116" s="1462"/>
      <c r="N116" s="1462"/>
      <c r="O116" s="1462"/>
      <c r="P116" s="1433"/>
      <c r="Q116" s="1433"/>
      <c r="R116" s="1433"/>
      <c r="S116" s="1433"/>
      <c r="T116" s="1433"/>
      <c r="U116" s="1433"/>
      <c r="V116" s="1433"/>
    </row>
    <row r="117" spans="1:22" s="1" customFormat="1" ht="31.5" x14ac:dyDescent="0.35">
      <c r="A117" s="1179"/>
      <c r="B117" s="1219" t="s">
        <v>834</v>
      </c>
      <c r="C117" s="1223"/>
      <c r="D117" s="409" t="s">
        <v>495</v>
      </c>
      <c r="E117" s="409" t="s">
        <v>832</v>
      </c>
      <c r="F117" s="409" t="s">
        <v>127</v>
      </c>
      <c r="G117" s="409"/>
      <c r="H117" s="1391">
        <v>598.50800000000004</v>
      </c>
      <c r="I117" s="1391">
        <f t="shared" si="10"/>
        <v>82.35</v>
      </c>
      <c r="J117" s="1391">
        <f t="shared" si="10"/>
        <v>60</v>
      </c>
      <c r="K117" s="1391">
        <f>K118+K119</f>
        <v>656</v>
      </c>
      <c r="L117" s="1392">
        <f>L119+L118</f>
        <v>656</v>
      </c>
      <c r="M117" s="1462"/>
      <c r="N117" s="1462"/>
      <c r="O117" s="1462"/>
      <c r="P117" s="1433"/>
      <c r="Q117" s="1433"/>
      <c r="R117" s="1433"/>
      <c r="S117" s="1433"/>
      <c r="T117" s="1433"/>
      <c r="U117" s="1433"/>
      <c r="V117" s="1433"/>
    </row>
    <row r="118" spans="1:22" s="1" customFormat="1" ht="12.75" customHeight="1" x14ac:dyDescent="0.35">
      <c r="A118" s="842"/>
      <c r="B118" s="753" t="s">
        <v>571</v>
      </c>
      <c r="C118" s="1224"/>
      <c r="D118" s="1217" t="s">
        <v>495</v>
      </c>
      <c r="E118" s="1217" t="s">
        <v>832</v>
      </c>
      <c r="F118" s="1217" t="s">
        <v>127</v>
      </c>
      <c r="G118" s="1217" t="s">
        <v>5</v>
      </c>
      <c r="H118" s="1391">
        <v>561.30799999999999</v>
      </c>
      <c r="I118" s="1391">
        <f t="shared" si="10"/>
        <v>82.35</v>
      </c>
      <c r="J118" s="1391">
        <f t="shared" si="10"/>
        <v>60</v>
      </c>
      <c r="K118" s="1391">
        <v>618.79999999999995</v>
      </c>
      <c r="L118" s="1392">
        <v>618.79999999999995</v>
      </c>
      <c r="M118" s="1462">
        <v>618.79999999999995</v>
      </c>
      <c r="N118" s="1462"/>
      <c r="O118" s="1462">
        <v>618.79999999999995</v>
      </c>
      <c r="P118" s="1433"/>
      <c r="Q118" s="1433"/>
      <c r="R118" s="1433"/>
      <c r="S118" s="1433"/>
      <c r="T118" s="1433"/>
      <c r="U118" s="1433"/>
      <c r="V118" s="1433"/>
    </row>
    <row r="119" spans="1:22" s="1" customFormat="1" ht="21" x14ac:dyDescent="0.35">
      <c r="A119" s="1179"/>
      <c r="B119" s="1182" t="s">
        <v>454</v>
      </c>
      <c r="C119" s="1183"/>
      <c r="D119" s="1217" t="s">
        <v>495</v>
      </c>
      <c r="E119" s="1217" t="s">
        <v>832</v>
      </c>
      <c r="F119" s="1217" t="s">
        <v>127</v>
      </c>
      <c r="G119" s="409" t="s">
        <v>1</v>
      </c>
      <c r="H119" s="1391">
        <v>37.200000000000003</v>
      </c>
      <c r="I119" s="1391">
        <v>82.35</v>
      </c>
      <c r="J119" s="1391">
        <v>60</v>
      </c>
      <c r="K119" s="1391">
        <v>37.200000000000003</v>
      </c>
      <c r="L119" s="1392">
        <v>37.200000000000003</v>
      </c>
      <c r="M119" s="1462">
        <v>37.200000000000003</v>
      </c>
      <c r="N119" s="1462"/>
      <c r="O119" s="1462">
        <v>37.200000000000003</v>
      </c>
      <c r="P119" s="1433"/>
      <c r="Q119" s="1433"/>
      <c r="R119" s="1433"/>
      <c r="S119" s="1433"/>
      <c r="T119" s="1433"/>
      <c r="U119" s="1433"/>
      <c r="V119" s="1433"/>
    </row>
    <row r="120" spans="1:22" s="1" customFormat="1" ht="14.5" x14ac:dyDescent="0.35">
      <c r="A120" s="1179"/>
      <c r="B120" s="1401" t="s">
        <v>396</v>
      </c>
      <c r="C120" s="1226"/>
      <c r="D120" s="1227" t="s">
        <v>452</v>
      </c>
      <c r="E120" s="1227" t="s">
        <v>459</v>
      </c>
      <c r="F120" s="1227"/>
      <c r="G120" s="1227"/>
      <c r="H120" s="1402">
        <f>H121+H154</f>
        <v>8371.94</v>
      </c>
      <c r="I120" s="1402">
        <f>I121+I154</f>
        <v>26103</v>
      </c>
      <c r="J120" s="1402">
        <f>J121+J154</f>
        <v>25237</v>
      </c>
      <c r="K120" s="1402">
        <f>K121+K154</f>
        <v>5796.8220000000001</v>
      </c>
      <c r="L120" s="1403">
        <f>L121+L154</f>
        <v>4862.1210000000001</v>
      </c>
      <c r="M120" s="1462"/>
      <c r="N120" s="1462"/>
      <c r="O120" s="1462"/>
      <c r="P120" s="1433"/>
      <c r="Q120" s="1433"/>
      <c r="R120" s="1433"/>
      <c r="S120" s="1433"/>
      <c r="T120" s="1433"/>
      <c r="U120" s="1433"/>
      <c r="V120" s="1433"/>
    </row>
    <row r="121" spans="1:22" s="1" customFormat="1" ht="14.5" x14ac:dyDescent="0.35">
      <c r="A121" s="1404"/>
      <c r="B121" s="1401" t="s">
        <v>60</v>
      </c>
      <c r="C121" s="1227"/>
      <c r="D121" s="1227" t="s">
        <v>452</v>
      </c>
      <c r="E121" s="1227" t="s">
        <v>539</v>
      </c>
      <c r="F121" s="1227"/>
      <c r="G121" s="1227"/>
      <c r="H121" s="1402">
        <f>H122</f>
        <v>6230</v>
      </c>
      <c r="I121" s="1402">
        <f>I122+I137+I149</f>
        <v>23603</v>
      </c>
      <c r="J121" s="1402">
        <f>J122+J137+J149</f>
        <v>23923</v>
      </c>
      <c r="K121" s="1402">
        <f>K122+K149</f>
        <v>3908.3220000000001</v>
      </c>
      <c r="L121" s="1402">
        <f>L122+L149</f>
        <v>3021.3209999999999</v>
      </c>
      <c r="M121" s="1469">
        <f>M136+M134</f>
        <v>3519.422</v>
      </c>
      <c r="N121" s="1462"/>
      <c r="O121" s="1469">
        <f>O136+O134</f>
        <v>2632.4209999999998</v>
      </c>
      <c r="P121" s="1433"/>
      <c r="Q121" s="1433"/>
      <c r="R121" s="1433"/>
      <c r="S121" s="1433"/>
      <c r="T121" s="1433"/>
      <c r="U121" s="1433"/>
      <c r="V121" s="1433"/>
    </row>
    <row r="122" spans="1:22" s="1" customFormat="1" ht="31.5" x14ac:dyDescent="0.35">
      <c r="A122" s="1179"/>
      <c r="B122" s="1393" t="s">
        <v>927</v>
      </c>
      <c r="C122" s="409"/>
      <c r="D122" s="409" t="s">
        <v>452</v>
      </c>
      <c r="E122" s="409" t="s">
        <v>539</v>
      </c>
      <c r="F122" s="409" t="s">
        <v>218</v>
      </c>
      <c r="G122" s="409"/>
      <c r="H122" s="1391">
        <f>H123+H131</f>
        <v>6230</v>
      </c>
      <c r="I122" s="1391">
        <f t="shared" ref="I122:J124" si="11">I123</f>
        <v>653</v>
      </c>
      <c r="J122" s="1391">
        <f t="shared" si="11"/>
        <v>653</v>
      </c>
      <c r="K122" s="1391">
        <f>K131</f>
        <v>3130.5219999999999</v>
      </c>
      <c r="L122" s="1392">
        <f>L131</f>
        <v>2243.5209999999997</v>
      </c>
      <c r="M122" s="1462"/>
      <c r="N122" s="1462"/>
      <c r="O122" s="1462"/>
      <c r="P122" s="1433"/>
      <c r="Q122" s="1433"/>
      <c r="R122" s="1433"/>
      <c r="S122" s="1433"/>
      <c r="T122" s="1433"/>
      <c r="U122" s="1433"/>
      <c r="V122" s="1433"/>
    </row>
    <row r="123" spans="1:22" s="1" customFormat="1" ht="21" hidden="1" x14ac:dyDescent="0.35">
      <c r="A123" s="1179"/>
      <c r="B123" s="1393" t="s">
        <v>217</v>
      </c>
      <c r="C123" s="1217"/>
      <c r="D123" s="1217" t="s">
        <v>452</v>
      </c>
      <c r="E123" s="1217" t="s">
        <v>539</v>
      </c>
      <c r="F123" s="409" t="s">
        <v>216</v>
      </c>
      <c r="G123" s="1217"/>
      <c r="H123" s="1391">
        <f>H124</f>
        <v>3125.5</v>
      </c>
      <c r="I123" s="1391">
        <f t="shared" si="11"/>
        <v>653</v>
      </c>
      <c r="J123" s="1391">
        <f t="shared" si="11"/>
        <v>653</v>
      </c>
      <c r="K123" s="1391"/>
      <c r="L123" s="1392"/>
      <c r="M123" s="1462"/>
      <c r="N123" s="1462"/>
      <c r="O123" s="1462"/>
      <c r="P123" s="1433"/>
      <c r="Q123" s="1433"/>
      <c r="R123" s="1433"/>
      <c r="S123" s="1433"/>
      <c r="T123" s="1433"/>
      <c r="U123" s="1433"/>
      <c r="V123" s="1433"/>
    </row>
    <row r="124" spans="1:22" s="1" customFormat="1" ht="42" hidden="1" x14ac:dyDescent="0.35">
      <c r="A124" s="1179"/>
      <c r="B124" s="1197" t="s">
        <v>215</v>
      </c>
      <c r="C124" s="1217"/>
      <c r="D124" s="1217" t="s">
        <v>452</v>
      </c>
      <c r="E124" s="1217" t="s">
        <v>539</v>
      </c>
      <c r="F124" s="1217" t="s">
        <v>214</v>
      </c>
      <c r="G124" s="1217"/>
      <c r="H124" s="1391">
        <f>H125+H127+H130</f>
        <v>3125.5</v>
      </c>
      <c r="I124" s="1391">
        <f t="shared" si="11"/>
        <v>653</v>
      </c>
      <c r="J124" s="1391">
        <f t="shared" si="11"/>
        <v>653</v>
      </c>
      <c r="K124" s="1391">
        <f>K125+K127+K130</f>
        <v>0</v>
      </c>
      <c r="L124" s="1392">
        <f>L125+L127+L130</f>
        <v>0</v>
      </c>
      <c r="M124" s="1462"/>
      <c r="N124" s="1462"/>
      <c r="O124" s="1462"/>
      <c r="P124" s="1433"/>
      <c r="Q124" s="1433"/>
      <c r="R124" s="1433"/>
      <c r="S124" s="1433"/>
      <c r="T124" s="1433"/>
      <c r="U124" s="1433"/>
      <c r="V124" s="1433"/>
    </row>
    <row r="125" spans="1:22" s="1" customFormat="1" ht="14.5" hidden="1" x14ac:dyDescent="0.35">
      <c r="A125" s="1179"/>
      <c r="B125" s="337" t="s">
        <v>201</v>
      </c>
      <c r="C125" s="1217"/>
      <c r="D125" s="1217" t="s">
        <v>452</v>
      </c>
      <c r="E125" s="1217" t="s">
        <v>539</v>
      </c>
      <c r="F125" s="1217" t="s">
        <v>213</v>
      </c>
      <c r="G125" s="409"/>
      <c r="H125" s="1391">
        <f>H126</f>
        <v>2530</v>
      </c>
      <c r="I125" s="1391">
        <v>653</v>
      </c>
      <c r="J125" s="1391">
        <v>653</v>
      </c>
      <c r="K125" s="1391">
        <f>K126</f>
        <v>0</v>
      </c>
      <c r="L125" s="1392">
        <f>L126</f>
        <v>0</v>
      </c>
      <c r="M125" s="1462"/>
      <c r="N125" s="1462"/>
      <c r="O125" s="1462"/>
      <c r="P125" s="1433"/>
      <c r="Q125" s="1433"/>
      <c r="R125" s="1433"/>
      <c r="S125" s="1433"/>
      <c r="T125" s="1433"/>
      <c r="U125" s="1433"/>
      <c r="V125" s="1433"/>
    </row>
    <row r="126" spans="1:22" s="1" customFormat="1" ht="21" hidden="1" x14ac:dyDescent="0.35">
      <c r="A126" s="1179"/>
      <c r="B126" s="1182" t="s">
        <v>454</v>
      </c>
      <c r="C126" s="1217"/>
      <c r="D126" s="1217" t="s">
        <v>452</v>
      </c>
      <c r="E126" s="1217" t="s">
        <v>539</v>
      </c>
      <c r="F126" s="1217" t="s">
        <v>213</v>
      </c>
      <c r="G126" s="409" t="s">
        <v>1</v>
      </c>
      <c r="H126" s="1391">
        <v>2530</v>
      </c>
      <c r="I126" s="1391"/>
      <c r="J126" s="1391"/>
      <c r="K126" s="1391"/>
      <c r="L126" s="1392"/>
      <c r="M126" s="1462"/>
      <c r="N126" s="1462"/>
      <c r="O126" s="1462"/>
      <c r="P126" s="1433"/>
      <c r="Q126" s="1433"/>
      <c r="R126" s="1433"/>
      <c r="S126" s="1433"/>
      <c r="T126" s="1433"/>
      <c r="U126" s="1433"/>
      <c r="V126" s="1433"/>
    </row>
    <row r="127" spans="1:22" s="1" customFormat="1" ht="21" hidden="1" x14ac:dyDescent="0.35">
      <c r="A127" s="1179"/>
      <c r="B127" s="1197" t="s">
        <v>212</v>
      </c>
      <c r="C127" s="1217"/>
      <c r="D127" s="1217" t="s">
        <v>452</v>
      </c>
      <c r="E127" s="1217" t="s">
        <v>539</v>
      </c>
      <c r="F127" s="1217" t="s">
        <v>209</v>
      </c>
      <c r="G127" s="409"/>
      <c r="H127" s="1391">
        <f>H128</f>
        <v>100</v>
      </c>
      <c r="I127" s="1391"/>
      <c r="J127" s="1391"/>
      <c r="K127" s="1391">
        <f>K128</f>
        <v>0</v>
      </c>
      <c r="L127" s="1392">
        <f>L128</f>
        <v>0</v>
      </c>
      <c r="M127" s="1462"/>
      <c r="N127" s="1462"/>
      <c r="O127" s="1462"/>
      <c r="P127" s="1433"/>
      <c r="Q127" s="1433"/>
      <c r="R127" s="1433"/>
      <c r="S127" s="1433"/>
      <c r="T127" s="1433"/>
      <c r="U127" s="1433"/>
      <c r="V127" s="1433"/>
    </row>
    <row r="128" spans="1:22" s="1" customFormat="1" ht="21" hidden="1" x14ac:dyDescent="0.35">
      <c r="A128" s="1179"/>
      <c r="B128" s="1182" t="s">
        <v>454</v>
      </c>
      <c r="C128" s="1217"/>
      <c r="D128" s="1217" t="s">
        <v>452</v>
      </c>
      <c r="E128" s="1217" t="s">
        <v>539</v>
      </c>
      <c r="F128" s="1217" t="s">
        <v>209</v>
      </c>
      <c r="G128" s="409" t="s">
        <v>1</v>
      </c>
      <c r="H128" s="1391">
        <v>100</v>
      </c>
      <c r="I128" s="1391"/>
      <c r="J128" s="1391"/>
      <c r="K128" s="1391"/>
      <c r="L128" s="1392"/>
      <c r="M128" s="1462"/>
      <c r="N128" s="1462"/>
      <c r="O128" s="1462"/>
      <c r="P128" s="1433"/>
      <c r="Q128" s="1433"/>
      <c r="R128" s="1433"/>
      <c r="S128" s="1433"/>
      <c r="T128" s="1433"/>
      <c r="U128" s="1433"/>
      <c r="V128" s="1433"/>
    </row>
    <row r="129" spans="1:22" s="1" customFormat="1" ht="26.5" hidden="1" x14ac:dyDescent="0.35">
      <c r="A129" s="1179"/>
      <c r="B129" s="336" t="s">
        <v>206</v>
      </c>
      <c r="C129" s="1217"/>
      <c r="D129" s="1217" t="s">
        <v>452</v>
      </c>
      <c r="E129" s="1217" t="s">
        <v>539</v>
      </c>
      <c r="F129" s="1217" t="s">
        <v>205</v>
      </c>
      <c r="G129" s="409"/>
      <c r="H129" s="1391">
        <f>H130</f>
        <v>495.5</v>
      </c>
      <c r="I129" s="1391"/>
      <c r="J129" s="1391"/>
      <c r="K129" s="1391">
        <f>K130</f>
        <v>0</v>
      </c>
      <c r="L129" s="1392">
        <f>L130</f>
        <v>0</v>
      </c>
      <c r="M129" s="1462"/>
      <c r="N129" s="1462"/>
      <c r="O129" s="1462"/>
      <c r="P129" s="1433"/>
      <c r="Q129" s="1433"/>
      <c r="R129" s="1433"/>
      <c r="S129" s="1433"/>
      <c r="T129" s="1433"/>
      <c r="U129" s="1433"/>
      <c r="V129" s="1433"/>
    </row>
    <row r="130" spans="1:22" s="1" customFormat="1" ht="21" hidden="1" x14ac:dyDescent="0.35">
      <c r="A130" s="1179"/>
      <c r="B130" s="1182" t="s">
        <v>454</v>
      </c>
      <c r="C130" s="1217"/>
      <c r="D130" s="1217" t="s">
        <v>452</v>
      </c>
      <c r="E130" s="1217" t="s">
        <v>539</v>
      </c>
      <c r="F130" s="1217" t="s">
        <v>205</v>
      </c>
      <c r="G130" s="409" t="s">
        <v>1</v>
      </c>
      <c r="H130" s="1391">
        <v>495.5</v>
      </c>
      <c r="I130" s="1391"/>
      <c r="J130" s="1391"/>
      <c r="K130" s="1391"/>
      <c r="L130" s="1392"/>
      <c r="M130" s="1462"/>
      <c r="N130" s="1462"/>
      <c r="O130" s="1462"/>
      <c r="P130" s="1433"/>
      <c r="Q130" s="1433"/>
      <c r="R130" s="1433"/>
      <c r="S130" s="1433"/>
      <c r="T130" s="1433"/>
      <c r="U130" s="1433"/>
      <c r="V130" s="1433"/>
    </row>
    <row r="131" spans="1:22" s="1" customFormat="1" ht="31.5" x14ac:dyDescent="0.35">
      <c r="A131" s="1179"/>
      <c r="B131" s="1393" t="s">
        <v>837</v>
      </c>
      <c r="C131" s="1217"/>
      <c r="D131" s="1217" t="s">
        <v>452</v>
      </c>
      <c r="E131" s="1217" t="s">
        <v>539</v>
      </c>
      <c r="F131" s="409" t="s">
        <v>204</v>
      </c>
      <c r="G131" s="409"/>
      <c r="H131" s="1391">
        <f>H132</f>
        <v>3104.5</v>
      </c>
      <c r="I131" s="1391"/>
      <c r="J131" s="1391"/>
      <c r="K131" s="1391">
        <f>K132</f>
        <v>3130.5219999999999</v>
      </c>
      <c r="L131" s="1392">
        <f>L132</f>
        <v>2243.5209999999997</v>
      </c>
      <c r="M131" s="1462"/>
      <c r="N131" s="1462"/>
      <c r="O131" s="1462"/>
      <c r="P131" s="1433"/>
      <c r="Q131" s="1433"/>
      <c r="R131" s="1433"/>
      <c r="S131" s="1433"/>
      <c r="T131" s="1433"/>
      <c r="U131" s="1433"/>
      <c r="V131" s="1433"/>
    </row>
    <row r="132" spans="1:22" s="1" customFormat="1" ht="21" x14ac:dyDescent="0.35">
      <c r="A132" s="1179"/>
      <c r="B132" s="1197" t="s">
        <v>203</v>
      </c>
      <c r="C132" s="1217"/>
      <c r="D132" s="1217" t="s">
        <v>452</v>
      </c>
      <c r="E132" s="1217" t="s">
        <v>539</v>
      </c>
      <c r="F132" s="1217" t="s">
        <v>202</v>
      </c>
      <c r="G132" s="409"/>
      <c r="H132" s="1391">
        <f>H133+H135</f>
        <v>3104.5</v>
      </c>
      <c r="I132" s="1391"/>
      <c r="J132" s="1391"/>
      <c r="K132" s="1391">
        <f>K133+K135</f>
        <v>3130.5219999999999</v>
      </c>
      <c r="L132" s="1392">
        <f>L133+L135</f>
        <v>2243.5209999999997</v>
      </c>
      <c r="M132" s="1462"/>
      <c r="N132" s="1462"/>
      <c r="O132" s="1462"/>
      <c r="P132" s="1433"/>
      <c r="Q132" s="1433"/>
      <c r="R132" s="1433"/>
      <c r="S132" s="1433"/>
      <c r="T132" s="1433"/>
      <c r="U132" s="1433"/>
      <c r="V132" s="1433"/>
    </row>
    <row r="133" spans="1:22" s="1" customFormat="1" ht="22.5" customHeight="1" x14ac:dyDescent="0.35">
      <c r="A133" s="1179"/>
      <c r="B133" s="1197" t="s">
        <v>940</v>
      </c>
      <c r="C133" s="1217"/>
      <c r="D133" s="1217" t="s">
        <v>452</v>
      </c>
      <c r="E133" s="1217" t="s">
        <v>539</v>
      </c>
      <c r="F133" s="1217" t="s">
        <v>200</v>
      </c>
      <c r="G133" s="409"/>
      <c r="H133" s="1391">
        <f>H134</f>
        <v>2704.5</v>
      </c>
      <c r="I133" s="1391"/>
      <c r="J133" s="1391"/>
      <c r="K133" s="1391">
        <f>K134</f>
        <v>2670.5219999999999</v>
      </c>
      <c r="L133" s="1392">
        <f>L134</f>
        <v>1723.5209999999997</v>
      </c>
      <c r="M133" s="1462"/>
      <c r="N133" s="1462"/>
      <c r="O133" s="1462"/>
      <c r="P133" s="1433"/>
      <c r="Q133" s="1433"/>
      <c r="R133" s="1433"/>
      <c r="S133" s="1433"/>
      <c r="T133" s="1433"/>
      <c r="U133" s="1433"/>
      <c r="V133" s="1433"/>
    </row>
    <row r="134" spans="1:22" s="1" customFormat="1" ht="21" x14ac:dyDescent="0.35">
      <c r="A134" s="1179"/>
      <c r="B134" s="1182" t="s">
        <v>454</v>
      </c>
      <c r="C134" s="1217"/>
      <c r="D134" s="1217" t="s">
        <v>452</v>
      </c>
      <c r="E134" s="1217" t="s">
        <v>539</v>
      </c>
      <c r="F134" s="1217" t="s">
        <v>200</v>
      </c>
      <c r="G134" s="409" t="s">
        <v>1</v>
      </c>
      <c r="H134" s="1391">
        <v>2704.5</v>
      </c>
      <c r="I134" s="1391"/>
      <c r="J134" s="1391"/>
      <c r="K134" s="1391">
        <f>3059.422-388.9</f>
        <v>2670.5219999999999</v>
      </c>
      <c r="L134" s="1392">
        <f>2112.421-388.9</f>
        <v>1723.5209999999997</v>
      </c>
      <c r="M134" s="1462">
        <v>3059.422</v>
      </c>
      <c r="N134" s="1462"/>
      <c r="O134" s="1462">
        <f>2548.322-47.001-388.9</f>
        <v>2112.4209999999998</v>
      </c>
      <c r="P134" s="1433"/>
      <c r="Q134" s="1433"/>
      <c r="R134" s="1433"/>
      <c r="S134" s="1433"/>
      <c r="T134" s="1433"/>
      <c r="U134" s="1433"/>
      <c r="V134" s="1433"/>
    </row>
    <row r="135" spans="1:22" s="1" customFormat="1" ht="21" x14ac:dyDescent="0.35">
      <c r="A135" s="1179"/>
      <c r="B135" s="1197" t="s">
        <v>199</v>
      </c>
      <c r="C135" s="1217"/>
      <c r="D135" s="1217" t="s">
        <v>452</v>
      </c>
      <c r="E135" s="1217" t="s">
        <v>539</v>
      </c>
      <c r="F135" s="1217" t="s">
        <v>198</v>
      </c>
      <c r="G135" s="409"/>
      <c r="H135" s="1391">
        <f>H136</f>
        <v>400</v>
      </c>
      <c r="I135" s="1391"/>
      <c r="J135" s="1391"/>
      <c r="K135" s="1391">
        <f>K136</f>
        <v>460</v>
      </c>
      <c r="L135" s="1392">
        <f>L136</f>
        <v>520</v>
      </c>
      <c r="M135" s="1462"/>
      <c r="N135" s="1462"/>
      <c r="O135" s="1462"/>
      <c r="P135" s="1433"/>
      <c r="Q135" s="1433"/>
      <c r="R135" s="1433"/>
      <c r="S135" s="1433"/>
      <c r="T135" s="1433"/>
      <c r="U135" s="1433"/>
      <c r="V135" s="1433"/>
    </row>
    <row r="136" spans="1:22" s="1" customFormat="1" ht="21" x14ac:dyDescent="0.35">
      <c r="A136" s="1179"/>
      <c r="B136" s="1182" t="s">
        <v>454</v>
      </c>
      <c r="C136" s="1217"/>
      <c r="D136" s="1217" t="s">
        <v>452</v>
      </c>
      <c r="E136" s="1217" t="s">
        <v>539</v>
      </c>
      <c r="F136" s="1217" t="s">
        <v>198</v>
      </c>
      <c r="G136" s="409" t="s">
        <v>1</v>
      </c>
      <c r="H136" s="1391">
        <v>400</v>
      </c>
      <c r="I136" s="1391"/>
      <c r="J136" s="1391"/>
      <c r="K136" s="1391">
        <v>460</v>
      </c>
      <c r="L136" s="1392">
        <v>520</v>
      </c>
      <c r="M136" s="1462">
        <v>460</v>
      </c>
      <c r="N136" s="1462"/>
      <c r="O136" s="1462">
        <v>520</v>
      </c>
      <c r="P136" s="1433"/>
      <c r="Q136" s="1433"/>
      <c r="R136" s="1433"/>
      <c r="S136" s="1433"/>
      <c r="T136" s="1433"/>
      <c r="U136" s="1433"/>
      <c r="V136" s="1433"/>
    </row>
    <row r="137" spans="1:22" s="1" customFormat="1" ht="31.5" hidden="1" x14ac:dyDescent="0.35">
      <c r="A137" s="842"/>
      <c r="B137" s="1230" t="s">
        <v>557</v>
      </c>
      <c r="C137" s="408"/>
      <c r="D137" s="408" t="s">
        <v>452</v>
      </c>
      <c r="E137" s="408" t="s">
        <v>539</v>
      </c>
      <c r="F137" s="408" t="s">
        <v>556</v>
      </c>
      <c r="G137" s="408"/>
      <c r="H137" s="1375">
        <f>H138</f>
        <v>0</v>
      </c>
      <c r="I137" s="1375">
        <f>I138</f>
        <v>22950</v>
      </c>
      <c r="J137" s="1375">
        <f>J138</f>
        <v>23270</v>
      </c>
      <c r="K137" s="1375">
        <f>K138</f>
        <v>0</v>
      </c>
      <c r="L137" s="1394">
        <f>L138</f>
        <v>0</v>
      </c>
      <c r="M137" s="1462"/>
      <c r="N137" s="1462"/>
      <c r="O137" s="1462"/>
      <c r="P137" s="1433"/>
      <c r="Q137" s="1433"/>
      <c r="R137" s="1433"/>
      <c r="S137" s="1433"/>
      <c r="T137" s="1433"/>
      <c r="U137" s="1433"/>
      <c r="V137" s="1433"/>
    </row>
    <row r="138" spans="1:22" s="1" customFormat="1" ht="21" hidden="1" x14ac:dyDescent="0.35">
      <c r="A138" s="1179"/>
      <c r="B138" s="1219" t="s">
        <v>555</v>
      </c>
      <c r="C138" s="1217"/>
      <c r="D138" s="1217" t="s">
        <v>452</v>
      </c>
      <c r="E138" s="1217" t="s">
        <v>539</v>
      </c>
      <c r="F138" s="1217" t="s">
        <v>554</v>
      </c>
      <c r="G138" s="1217"/>
      <c r="H138" s="1391">
        <f>H139+H142</f>
        <v>0</v>
      </c>
      <c r="I138" s="1391">
        <f>I139+I142</f>
        <v>22950</v>
      </c>
      <c r="J138" s="1391">
        <f>J139+J142</f>
        <v>23270</v>
      </c>
      <c r="K138" s="1391">
        <f>K139+K142</f>
        <v>0</v>
      </c>
      <c r="L138" s="1392">
        <f>L139+L142</f>
        <v>0</v>
      </c>
      <c r="M138" s="1462"/>
      <c r="N138" s="1462"/>
      <c r="O138" s="1462"/>
      <c r="P138" s="1433"/>
      <c r="Q138" s="1433"/>
      <c r="R138" s="1433"/>
      <c r="S138" s="1433"/>
      <c r="T138" s="1433"/>
      <c r="U138" s="1433"/>
      <c r="V138" s="1433"/>
    </row>
    <row r="139" spans="1:22" s="1" customFormat="1" ht="31.5" hidden="1" x14ac:dyDescent="0.35">
      <c r="A139" s="1179"/>
      <c r="B139" s="1219" t="s">
        <v>553</v>
      </c>
      <c r="C139" s="1217"/>
      <c r="D139" s="1217" t="s">
        <v>452</v>
      </c>
      <c r="E139" s="1217" t="s">
        <v>539</v>
      </c>
      <c r="F139" s="1217" t="s">
        <v>552</v>
      </c>
      <c r="G139" s="1217"/>
      <c r="H139" s="1391">
        <f t="shared" ref="H139:L140" si="12">H140</f>
        <v>0</v>
      </c>
      <c r="I139" s="1391">
        <f t="shared" si="12"/>
        <v>0</v>
      </c>
      <c r="J139" s="1391">
        <f t="shared" si="12"/>
        <v>0</v>
      </c>
      <c r="K139" s="1391">
        <f t="shared" si="12"/>
        <v>0</v>
      </c>
      <c r="L139" s="1392">
        <f t="shared" si="12"/>
        <v>0</v>
      </c>
      <c r="M139" s="1462"/>
      <c r="N139" s="1462"/>
      <c r="O139" s="1462"/>
      <c r="P139" s="1433"/>
      <c r="Q139" s="1433"/>
      <c r="R139" s="1433"/>
      <c r="S139" s="1433"/>
      <c r="T139" s="1433"/>
      <c r="U139" s="1433"/>
      <c r="V139" s="1433"/>
    </row>
    <row r="140" spans="1:22" s="1" customFormat="1" ht="31.5" hidden="1" x14ac:dyDescent="0.35">
      <c r="A140" s="1179"/>
      <c r="B140" s="753" t="s">
        <v>551</v>
      </c>
      <c r="C140" s="1217"/>
      <c r="D140" s="1217" t="s">
        <v>452</v>
      </c>
      <c r="E140" s="1217" t="s">
        <v>539</v>
      </c>
      <c r="F140" s="1217" t="s">
        <v>550</v>
      </c>
      <c r="G140" s="1217"/>
      <c r="H140" s="1391">
        <f t="shared" si="12"/>
        <v>0</v>
      </c>
      <c r="I140" s="1391">
        <f t="shared" si="12"/>
        <v>0</v>
      </c>
      <c r="J140" s="1391">
        <f t="shared" si="12"/>
        <v>0</v>
      </c>
      <c r="K140" s="1391">
        <f t="shared" si="12"/>
        <v>0</v>
      </c>
      <c r="L140" s="1392">
        <f t="shared" si="12"/>
        <v>0</v>
      </c>
      <c r="M140" s="1462"/>
      <c r="N140" s="1462"/>
      <c r="O140" s="1462"/>
      <c r="P140" s="1433"/>
      <c r="Q140" s="1433"/>
      <c r="R140" s="1433"/>
      <c r="S140" s="1433"/>
      <c r="T140" s="1433"/>
      <c r="U140" s="1433"/>
      <c r="V140" s="1433"/>
    </row>
    <row r="141" spans="1:22" s="1" customFormat="1" ht="14.5" hidden="1" x14ac:dyDescent="0.35">
      <c r="A141" s="1179"/>
      <c r="B141" s="1182" t="s">
        <v>481</v>
      </c>
      <c r="C141" s="1217"/>
      <c r="D141" s="1217" t="s">
        <v>452</v>
      </c>
      <c r="E141" s="1217" t="s">
        <v>539</v>
      </c>
      <c r="F141" s="1217" t="s">
        <v>550</v>
      </c>
      <c r="G141" s="409" t="s">
        <v>26</v>
      </c>
      <c r="H141" s="1391">
        <v>0</v>
      </c>
      <c r="I141" s="1391">
        <v>0</v>
      </c>
      <c r="J141" s="1391">
        <v>0</v>
      </c>
      <c r="K141" s="1391">
        <v>0</v>
      </c>
      <c r="L141" s="1392">
        <v>0</v>
      </c>
      <c r="M141" s="1462"/>
      <c r="N141" s="1462"/>
      <c r="O141" s="1462"/>
      <c r="P141" s="1433"/>
      <c r="Q141" s="1433"/>
      <c r="R141" s="1433"/>
      <c r="S141" s="1433"/>
      <c r="T141" s="1433"/>
      <c r="U141" s="1433"/>
      <c r="V141" s="1433"/>
    </row>
    <row r="142" spans="1:22" s="1" customFormat="1" ht="42" hidden="1" x14ac:dyDescent="0.35">
      <c r="A142" s="1179"/>
      <c r="B142" s="1219" t="s">
        <v>549</v>
      </c>
      <c r="C142" s="1217"/>
      <c r="D142" s="1217" t="s">
        <v>548</v>
      </c>
      <c r="E142" s="1217" t="s">
        <v>539</v>
      </c>
      <c r="F142" s="1217" t="s">
        <v>547</v>
      </c>
      <c r="G142" s="1217"/>
      <c r="H142" s="1391">
        <f>H143+H145+H147</f>
        <v>0</v>
      </c>
      <c r="I142" s="1391">
        <f>I143+I145+I147</f>
        <v>22950</v>
      </c>
      <c r="J142" s="1391">
        <f>J143+J145+J147</f>
        <v>23270</v>
      </c>
      <c r="K142" s="1391">
        <f>K143+K145+K147</f>
        <v>0</v>
      </c>
      <c r="L142" s="1392">
        <f>L143+L145+L147</f>
        <v>0</v>
      </c>
      <c r="M142" s="1462"/>
      <c r="N142" s="1462"/>
      <c r="O142" s="1462"/>
      <c r="P142" s="1433"/>
      <c r="Q142" s="1433"/>
      <c r="R142" s="1433"/>
      <c r="S142" s="1433"/>
      <c r="T142" s="1433"/>
      <c r="U142" s="1433"/>
      <c r="V142" s="1433"/>
    </row>
    <row r="143" spans="1:22" s="1" customFormat="1" ht="21" hidden="1" x14ac:dyDescent="0.35">
      <c r="A143" s="1179"/>
      <c r="B143" s="753" t="s">
        <v>546</v>
      </c>
      <c r="C143" s="1217"/>
      <c r="D143" s="1217" t="s">
        <v>452</v>
      </c>
      <c r="E143" s="1217" t="s">
        <v>539</v>
      </c>
      <c r="F143" s="1217" t="s">
        <v>545</v>
      </c>
      <c r="G143" s="1217"/>
      <c r="H143" s="1391">
        <f>H144</f>
        <v>0</v>
      </c>
      <c r="I143" s="1391">
        <f>I144</f>
        <v>2750</v>
      </c>
      <c r="J143" s="1391">
        <f>J144</f>
        <v>3070</v>
      </c>
      <c r="K143" s="1391">
        <f>K144</f>
        <v>0</v>
      </c>
      <c r="L143" s="1392">
        <f>L144</f>
        <v>0</v>
      </c>
      <c r="M143" s="1462"/>
      <c r="N143" s="1462"/>
      <c r="O143" s="1462"/>
      <c r="P143" s="1433"/>
      <c r="Q143" s="1433"/>
      <c r="R143" s="1433"/>
      <c r="S143" s="1433"/>
      <c r="T143" s="1433"/>
      <c r="U143" s="1433"/>
      <c r="V143" s="1433"/>
    </row>
    <row r="144" spans="1:22" s="1" customFormat="1" ht="21" hidden="1" x14ac:dyDescent="0.35">
      <c r="A144" s="1179"/>
      <c r="B144" s="1182" t="s">
        <v>454</v>
      </c>
      <c r="C144" s="1217"/>
      <c r="D144" s="1217" t="s">
        <v>452</v>
      </c>
      <c r="E144" s="1217" t="s">
        <v>539</v>
      </c>
      <c r="F144" s="1217" t="s">
        <v>545</v>
      </c>
      <c r="G144" s="409" t="s">
        <v>1</v>
      </c>
      <c r="H144" s="1391"/>
      <c r="I144" s="1391">
        <v>2750</v>
      </c>
      <c r="J144" s="1391">
        <v>3070</v>
      </c>
      <c r="K144" s="1391"/>
      <c r="L144" s="1392"/>
      <c r="M144" s="1462"/>
      <c r="N144" s="1462"/>
      <c r="O144" s="1462"/>
      <c r="P144" s="1433"/>
      <c r="Q144" s="1433"/>
      <c r="R144" s="1433"/>
      <c r="S144" s="1433"/>
      <c r="T144" s="1433"/>
      <c r="U144" s="1433"/>
      <c r="V144" s="1433"/>
    </row>
    <row r="145" spans="1:22" s="1" customFormat="1" ht="31.5" hidden="1" x14ac:dyDescent="0.35">
      <c r="A145" s="1404"/>
      <c r="B145" s="753" t="s">
        <v>544</v>
      </c>
      <c r="C145" s="1217"/>
      <c r="D145" s="1217" t="s">
        <v>452</v>
      </c>
      <c r="E145" s="1217" t="s">
        <v>539</v>
      </c>
      <c r="F145" s="1217" t="s">
        <v>543</v>
      </c>
      <c r="G145" s="1217"/>
      <c r="H145" s="1391">
        <f>H146</f>
        <v>0</v>
      </c>
      <c r="I145" s="1391">
        <f>I146</f>
        <v>9100</v>
      </c>
      <c r="J145" s="1391">
        <f>J146</f>
        <v>9100</v>
      </c>
      <c r="K145" s="1391">
        <f>K146</f>
        <v>0</v>
      </c>
      <c r="L145" s="1392">
        <f>L146</f>
        <v>0</v>
      </c>
      <c r="M145" s="1462"/>
      <c r="N145" s="1462"/>
      <c r="O145" s="1462"/>
      <c r="P145" s="1433"/>
      <c r="Q145" s="1433"/>
      <c r="R145" s="1433"/>
      <c r="S145" s="1433"/>
      <c r="T145" s="1433"/>
      <c r="U145" s="1433"/>
      <c r="V145" s="1433"/>
    </row>
    <row r="146" spans="1:22" s="1" customFormat="1" ht="21" hidden="1" x14ac:dyDescent="0.35">
      <c r="A146" s="1404"/>
      <c r="B146" s="1182" t="s">
        <v>454</v>
      </c>
      <c r="C146" s="1217"/>
      <c r="D146" s="1217" t="s">
        <v>452</v>
      </c>
      <c r="E146" s="1217" t="s">
        <v>539</v>
      </c>
      <c r="F146" s="1217" t="s">
        <v>543</v>
      </c>
      <c r="G146" s="409" t="s">
        <v>1</v>
      </c>
      <c r="H146" s="1391"/>
      <c r="I146" s="1391">
        <v>9100</v>
      </c>
      <c r="J146" s="1391">
        <v>9100</v>
      </c>
      <c r="K146" s="1391"/>
      <c r="L146" s="1392"/>
      <c r="M146" s="1462"/>
      <c r="N146" s="1462"/>
      <c r="O146" s="1462"/>
      <c r="P146" s="1433"/>
      <c r="Q146" s="1433"/>
      <c r="R146" s="1433"/>
      <c r="S146" s="1433"/>
      <c r="T146" s="1433"/>
      <c r="U146" s="1433"/>
      <c r="V146" s="1433"/>
    </row>
    <row r="147" spans="1:22" s="1" customFormat="1" ht="42" hidden="1" x14ac:dyDescent="0.35">
      <c r="A147" s="1404"/>
      <c r="B147" s="753" t="s">
        <v>542</v>
      </c>
      <c r="C147" s="1217"/>
      <c r="D147" s="1217" t="s">
        <v>452</v>
      </c>
      <c r="E147" s="1217" t="s">
        <v>539</v>
      </c>
      <c r="F147" s="1217" t="s">
        <v>541</v>
      </c>
      <c r="G147" s="1217"/>
      <c r="H147" s="1391">
        <f>H148</f>
        <v>0</v>
      </c>
      <c r="I147" s="1391">
        <f>I148</f>
        <v>11100</v>
      </c>
      <c r="J147" s="1391">
        <f>J148</f>
        <v>11100</v>
      </c>
      <c r="K147" s="1391">
        <f>K148</f>
        <v>0</v>
      </c>
      <c r="L147" s="1392">
        <f>L148</f>
        <v>0</v>
      </c>
      <c r="M147" s="1462"/>
      <c r="N147" s="1462"/>
      <c r="O147" s="1462"/>
      <c r="P147" s="1433"/>
      <c r="Q147" s="1433"/>
      <c r="R147" s="1433"/>
      <c r="S147" s="1433"/>
      <c r="T147" s="1433"/>
      <c r="U147" s="1433"/>
      <c r="V147" s="1433"/>
    </row>
    <row r="148" spans="1:22" s="1" customFormat="1" ht="21" hidden="1" x14ac:dyDescent="0.35">
      <c r="A148" s="1404"/>
      <c r="B148" s="1182" t="s">
        <v>454</v>
      </c>
      <c r="C148" s="1217"/>
      <c r="D148" s="1217" t="s">
        <v>452</v>
      </c>
      <c r="E148" s="1217" t="s">
        <v>539</v>
      </c>
      <c r="F148" s="1217" t="s">
        <v>541</v>
      </c>
      <c r="G148" s="409" t="s">
        <v>1</v>
      </c>
      <c r="H148" s="1391"/>
      <c r="I148" s="1391">
        <v>11100</v>
      </c>
      <c r="J148" s="1391">
        <v>11100</v>
      </c>
      <c r="K148" s="1391"/>
      <c r="L148" s="1392"/>
      <c r="M148" s="1462"/>
      <c r="N148" s="1462"/>
      <c r="O148" s="1462"/>
      <c r="P148" s="1433"/>
      <c r="Q148" s="1433"/>
      <c r="R148" s="1433"/>
      <c r="S148" s="1433"/>
      <c r="T148" s="1433"/>
      <c r="U148" s="1433"/>
      <c r="V148" s="1433"/>
    </row>
    <row r="149" spans="1:22" s="1" customFormat="1" ht="31.5" x14ac:dyDescent="0.35">
      <c r="A149" s="1211"/>
      <c r="B149" s="752" t="s">
        <v>499</v>
      </c>
      <c r="C149" s="1177"/>
      <c r="D149" s="408" t="s">
        <v>452</v>
      </c>
      <c r="E149" s="408" t="s">
        <v>539</v>
      </c>
      <c r="F149" s="408" t="s">
        <v>89</v>
      </c>
      <c r="G149" s="408"/>
      <c r="H149" s="1375">
        <f t="shared" ref="H149:L152" si="13">H150</f>
        <v>0</v>
      </c>
      <c r="I149" s="1375">
        <f t="shared" si="13"/>
        <v>0</v>
      </c>
      <c r="J149" s="1375">
        <f t="shared" si="13"/>
        <v>0</v>
      </c>
      <c r="K149" s="1375">
        <f t="shared" si="13"/>
        <v>777.8</v>
      </c>
      <c r="L149" s="1394">
        <f t="shared" si="13"/>
        <v>777.8</v>
      </c>
      <c r="M149" s="1462"/>
      <c r="N149" s="1462"/>
      <c r="O149" s="1462"/>
      <c r="P149" s="1433"/>
      <c r="Q149" s="1433"/>
      <c r="R149" s="1433"/>
      <c r="S149" s="1433"/>
      <c r="T149" s="1433"/>
      <c r="U149" s="1433"/>
      <c r="V149" s="1433"/>
    </row>
    <row r="150" spans="1:22" s="1" customFormat="1" ht="14.5" x14ac:dyDescent="0.35">
      <c r="A150" s="842"/>
      <c r="B150" s="752" t="s">
        <v>109</v>
      </c>
      <c r="C150" s="1177"/>
      <c r="D150" s="408" t="s">
        <v>452</v>
      </c>
      <c r="E150" s="408" t="s">
        <v>539</v>
      </c>
      <c r="F150" s="408" t="s">
        <v>84</v>
      </c>
      <c r="G150" s="408"/>
      <c r="H150" s="1375">
        <f t="shared" si="13"/>
        <v>0</v>
      </c>
      <c r="I150" s="1375">
        <f t="shared" si="13"/>
        <v>0</v>
      </c>
      <c r="J150" s="1375">
        <f t="shared" si="13"/>
        <v>0</v>
      </c>
      <c r="K150" s="1375">
        <f t="shared" si="13"/>
        <v>777.8</v>
      </c>
      <c r="L150" s="1394">
        <f t="shared" si="13"/>
        <v>777.8</v>
      </c>
      <c r="M150" s="1462"/>
      <c r="N150" s="1462"/>
      <c r="O150" s="1462"/>
      <c r="P150" s="1433"/>
      <c r="Q150" s="1433"/>
      <c r="R150" s="1433"/>
      <c r="S150" s="1433"/>
      <c r="T150" s="1433"/>
      <c r="U150" s="1433"/>
      <c r="V150" s="1433"/>
    </row>
    <row r="151" spans="1:22" s="1" customFormat="1" ht="14.5" x14ac:dyDescent="0.35">
      <c r="A151" s="842"/>
      <c r="B151" s="752" t="s">
        <v>109</v>
      </c>
      <c r="C151" s="1177"/>
      <c r="D151" s="408" t="s">
        <v>452</v>
      </c>
      <c r="E151" s="408" t="s">
        <v>539</v>
      </c>
      <c r="F151" s="408" t="s">
        <v>82</v>
      </c>
      <c r="G151" s="408"/>
      <c r="H151" s="1375">
        <f t="shared" si="13"/>
        <v>0</v>
      </c>
      <c r="I151" s="1375">
        <f t="shared" si="13"/>
        <v>0</v>
      </c>
      <c r="J151" s="1375">
        <f t="shared" si="13"/>
        <v>0</v>
      </c>
      <c r="K151" s="1375">
        <f t="shared" si="13"/>
        <v>777.8</v>
      </c>
      <c r="L151" s="1394">
        <f t="shared" si="13"/>
        <v>777.8</v>
      </c>
      <c r="M151" s="1462"/>
      <c r="N151" s="1462"/>
      <c r="O151" s="1462"/>
      <c r="P151" s="1433"/>
      <c r="Q151" s="1433"/>
      <c r="R151" s="1433"/>
      <c r="S151" s="1433"/>
      <c r="T151" s="1433"/>
      <c r="U151" s="1433"/>
      <c r="V151" s="1433"/>
    </row>
    <row r="152" spans="1:22" s="1" customFormat="1" ht="21" x14ac:dyDescent="0.35">
      <c r="A152" s="1404"/>
      <c r="B152" s="1481" t="s">
        <v>966</v>
      </c>
      <c r="C152" s="409"/>
      <c r="D152" s="409" t="s">
        <v>452</v>
      </c>
      <c r="E152" s="409" t="s">
        <v>539</v>
      </c>
      <c r="F152" s="1231" t="s">
        <v>965</v>
      </c>
      <c r="G152" s="409"/>
      <c r="H152" s="1391">
        <f t="shared" si="13"/>
        <v>0</v>
      </c>
      <c r="I152" s="1391">
        <f t="shared" si="13"/>
        <v>0</v>
      </c>
      <c r="J152" s="1391">
        <f t="shared" si="13"/>
        <v>0</v>
      </c>
      <c r="K152" s="1391">
        <f t="shared" si="13"/>
        <v>777.8</v>
      </c>
      <c r="L152" s="1392">
        <f t="shared" si="13"/>
        <v>777.8</v>
      </c>
      <c r="M152" s="1462"/>
      <c r="N152" s="1462"/>
      <c r="O152" s="1462"/>
      <c r="P152" s="1433"/>
      <c r="Q152" s="1433"/>
      <c r="R152" s="1433"/>
      <c r="S152" s="1433"/>
      <c r="T152" s="1433"/>
      <c r="U152" s="1433"/>
      <c r="V152" s="1433"/>
    </row>
    <row r="153" spans="1:22" s="1" customFormat="1" ht="21" x14ac:dyDescent="0.35">
      <c r="A153" s="1404"/>
      <c r="B153" s="1182" t="s">
        <v>454</v>
      </c>
      <c r="C153" s="1217"/>
      <c r="D153" s="1217" t="s">
        <v>452</v>
      </c>
      <c r="E153" s="1217" t="s">
        <v>539</v>
      </c>
      <c r="F153" s="1231" t="s">
        <v>965</v>
      </c>
      <c r="G153" s="409" t="s">
        <v>1</v>
      </c>
      <c r="H153" s="1391"/>
      <c r="I153" s="1391">
        <v>0</v>
      </c>
      <c r="J153" s="1391">
        <v>0</v>
      </c>
      <c r="K153" s="1391">
        <f>388.9+388.9</f>
        <v>777.8</v>
      </c>
      <c r="L153" s="1392">
        <f>388.9+388.9</f>
        <v>777.8</v>
      </c>
      <c r="M153" s="1469">
        <v>388.9</v>
      </c>
      <c r="N153" s="1469"/>
      <c r="O153" s="1469">
        <v>388.9</v>
      </c>
      <c r="P153" s="1433"/>
      <c r="Q153" s="1433"/>
      <c r="R153" s="1433"/>
      <c r="S153" s="1433"/>
      <c r="T153" s="1433"/>
      <c r="U153" s="1433"/>
      <c r="V153" s="1433"/>
    </row>
    <row r="154" spans="1:22" s="1" customFormat="1" ht="14.5" x14ac:dyDescent="0.35">
      <c r="A154" s="1404"/>
      <c r="B154" s="1401" t="s">
        <v>51</v>
      </c>
      <c r="C154" s="1227"/>
      <c r="D154" s="1227" t="s">
        <v>452</v>
      </c>
      <c r="E154" s="1227" t="s">
        <v>534</v>
      </c>
      <c r="F154" s="1227"/>
      <c r="G154" s="1227"/>
      <c r="H154" s="1402">
        <f>H155+H159</f>
        <v>2141.94</v>
      </c>
      <c r="I154" s="1402">
        <f>I155+I159</f>
        <v>2500</v>
      </c>
      <c r="J154" s="1402">
        <f>J155+J159</f>
        <v>1314</v>
      </c>
      <c r="K154" s="1402">
        <f>K155+K159</f>
        <v>1888.5</v>
      </c>
      <c r="L154" s="1403">
        <f>L155+L159</f>
        <v>1840.8</v>
      </c>
      <c r="M154" s="1462"/>
      <c r="N154" s="1462"/>
      <c r="O154" s="1462"/>
      <c r="P154" s="1433"/>
      <c r="Q154" s="1433"/>
      <c r="R154" s="1433"/>
      <c r="S154" s="1433"/>
      <c r="T154" s="1433"/>
      <c r="U154" s="1433"/>
      <c r="V154" s="1433"/>
    </row>
    <row r="155" spans="1:22" s="1" customFormat="1" ht="31.5" x14ac:dyDescent="0.35">
      <c r="A155" s="1179"/>
      <c r="B155" s="1393" t="s">
        <v>907</v>
      </c>
      <c r="C155" s="409"/>
      <c r="D155" s="409" t="s">
        <v>452</v>
      </c>
      <c r="E155" s="409" t="s">
        <v>534</v>
      </c>
      <c r="F155" s="409" t="s">
        <v>292</v>
      </c>
      <c r="G155" s="409"/>
      <c r="H155" s="1391">
        <f t="shared" ref="H155:L157" si="14">H156</f>
        <v>310</v>
      </c>
      <c r="I155" s="1391">
        <f t="shared" si="14"/>
        <v>84</v>
      </c>
      <c r="J155" s="1391">
        <f t="shared" si="14"/>
        <v>84</v>
      </c>
      <c r="K155" s="1391">
        <f t="shared" si="14"/>
        <v>330</v>
      </c>
      <c r="L155" s="1392">
        <f t="shared" si="14"/>
        <v>350</v>
      </c>
      <c r="M155" s="1462"/>
      <c r="N155" s="1462"/>
      <c r="O155" s="1462"/>
      <c r="P155" s="1433"/>
      <c r="Q155" s="1433"/>
      <c r="R155" s="1433"/>
      <c r="S155" s="1433"/>
      <c r="T155" s="1433"/>
      <c r="U155" s="1433"/>
      <c r="V155" s="1433"/>
    </row>
    <row r="156" spans="1:22" s="1" customFormat="1" ht="31.5" x14ac:dyDescent="0.35">
      <c r="A156" s="842"/>
      <c r="B156" s="1197" t="s">
        <v>289</v>
      </c>
      <c r="C156" s="408"/>
      <c r="D156" s="408" t="s">
        <v>452</v>
      </c>
      <c r="E156" s="408" t="s">
        <v>534</v>
      </c>
      <c r="F156" s="408" t="s">
        <v>286</v>
      </c>
      <c r="G156" s="408"/>
      <c r="H156" s="1375">
        <f t="shared" si="14"/>
        <v>310</v>
      </c>
      <c r="I156" s="1375">
        <f t="shared" si="14"/>
        <v>84</v>
      </c>
      <c r="J156" s="1375">
        <f t="shared" si="14"/>
        <v>84</v>
      </c>
      <c r="K156" s="1375">
        <f t="shared" si="14"/>
        <v>330</v>
      </c>
      <c r="L156" s="1394">
        <f t="shared" si="14"/>
        <v>350</v>
      </c>
      <c r="M156" s="1469">
        <v>330</v>
      </c>
      <c r="N156" s="1469"/>
      <c r="O156" s="1469">
        <v>350</v>
      </c>
      <c r="P156" s="1433"/>
      <c r="Q156" s="1433"/>
      <c r="R156" s="1433"/>
      <c r="S156" s="1433"/>
      <c r="T156" s="1433"/>
      <c r="U156" s="1433"/>
      <c r="V156" s="1433"/>
    </row>
    <row r="157" spans="1:22" s="1" customFormat="1" ht="21" x14ac:dyDescent="0.35">
      <c r="A157" s="1179"/>
      <c r="B157" s="1232" t="s">
        <v>287</v>
      </c>
      <c r="C157" s="1217"/>
      <c r="D157" s="1217" t="s">
        <v>452</v>
      </c>
      <c r="E157" s="1217" t="s">
        <v>534</v>
      </c>
      <c r="F157" s="1217" t="s">
        <v>275</v>
      </c>
      <c r="G157" s="1217"/>
      <c r="H157" s="1391">
        <f t="shared" si="14"/>
        <v>310</v>
      </c>
      <c r="I157" s="1391">
        <f t="shared" si="14"/>
        <v>84</v>
      </c>
      <c r="J157" s="1391">
        <f t="shared" si="14"/>
        <v>84</v>
      </c>
      <c r="K157" s="1391">
        <f t="shared" si="14"/>
        <v>330</v>
      </c>
      <c r="L157" s="1392">
        <f t="shared" si="14"/>
        <v>350</v>
      </c>
      <c r="M157" s="1462"/>
      <c r="N157" s="1462"/>
      <c r="O157" s="1462"/>
      <c r="P157" s="1433"/>
      <c r="Q157" s="1433"/>
      <c r="R157" s="1433"/>
      <c r="S157" s="1433"/>
      <c r="T157" s="1433"/>
      <c r="U157" s="1433"/>
      <c r="V157" s="1433"/>
    </row>
    <row r="158" spans="1:22" s="1" customFormat="1" ht="21" x14ac:dyDescent="0.35">
      <c r="A158" s="1179"/>
      <c r="B158" s="1182" t="s">
        <v>454</v>
      </c>
      <c r="C158" s="1217"/>
      <c r="D158" s="1217" t="s">
        <v>452</v>
      </c>
      <c r="E158" s="1217" t="s">
        <v>534</v>
      </c>
      <c r="F158" s="1217" t="s">
        <v>275</v>
      </c>
      <c r="G158" s="409" t="s">
        <v>1</v>
      </c>
      <c r="H158" s="1391">
        <v>310</v>
      </c>
      <c r="I158" s="1391">
        <v>84</v>
      </c>
      <c r="J158" s="1391">
        <v>84</v>
      </c>
      <c r="K158" s="1391">
        <v>330</v>
      </c>
      <c r="L158" s="1392">
        <v>350</v>
      </c>
      <c r="M158" s="1462"/>
      <c r="N158" s="1462"/>
      <c r="O158" s="1462"/>
      <c r="P158" s="1433"/>
      <c r="Q158" s="1433"/>
      <c r="R158" s="1433"/>
      <c r="S158" s="1433"/>
      <c r="T158" s="1433"/>
      <c r="U158" s="1433"/>
      <c r="V158" s="1433"/>
    </row>
    <row r="159" spans="1:22" s="1" customFormat="1" ht="27.65" customHeight="1" x14ac:dyDescent="0.35">
      <c r="A159" s="1233"/>
      <c r="B159" s="753" t="s">
        <v>499</v>
      </c>
      <c r="C159" s="1180"/>
      <c r="D159" s="409" t="s">
        <v>452</v>
      </c>
      <c r="E159" s="409" t="s">
        <v>534</v>
      </c>
      <c r="F159" s="409" t="s">
        <v>89</v>
      </c>
      <c r="G159" s="409"/>
      <c r="H159" s="1391">
        <f t="shared" ref="H159:J160" si="15">H160</f>
        <v>1831.94</v>
      </c>
      <c r="I159" s="1391">
        <f t="shared" si="15"/>
        <v>2416</v>
      </c>
      <c r="J159" s="1391">
        <f t="shared" si="15"/>
        <v>1230</v>
      </c>
      <c r="K159" s="1391">
        <f>K166+K162</f>
        <v>1558.5</v>
      </c>
      <c r="L159" s="1392">
        <f>L166+L162</f>
        <v>1490.8</v>
      </c>
      <c r="M159" s="1462"/>
      <c r="N159" s="1462"/>
      <c r="O159" s="1462"/>
      <c r="P159" s="1433"/>
      <c r="Q159" s="1433"/>
      <c r="R159" s="1433"/>
      <c r="S159" s="1433"/>
      <c r="T159" s="1433"/>
      <c r="U159" s="1433"/>
      <c r="V159" s="1433"/>
    </row>
    <row r="160" spans="1:22" s="1" customFormat="1" ht="14.25" customHeight="1" x14ac:dyDescent="0.35">
      <c r="A160" s="1179"/>
      <c r="B160" s="753" t="s">
        <v>109</v>
      </c>
      <c r="C160" s="1180"/>
      <c r="D160" s="409" t="s">
        <v>452</v>
      </c>
      <c r="E160" s="409" t="s">
        <v>534</v>
      </c>
      <c r="F160" s="409" t="s">
        <v>84</v>
      </c>
      <c r="G160" s="409"/>
      <c r="H160" s="1391">
        <f t="shared" si="15"/>
        <v>1831.94</v>
      </c>
      <c r="I160" s="1391">
        <f t="shared" si="15"/>
        <v>2416</v>
      </c>
      <c r="J160" s="1391">
        <f t="shared" si="15"/>
        <v>1230</v>
      </c>
      <c r="K160" s="1391">
        <f>K161</f>
        <v>1558.5</v>
      </c>
      <c r="L160" s="1392">
        <f>L161</f>
        <v>1490.8</v>
      </c>
      <c r="M160" s="1462"/>
      <c r="N160" s="1462"/>
      <c r="O160" s="1462"/>
      <c r="P160" s="1433"/>
      <c r="Q160" s="1433"/>
      <c r="R160" s="1433"/>
      <c r="S160" s="1433"/>
      <c r="T160" s="1433"/>
      <c r="U160" s="1433"/>
      <c r="V160" s="1433"/>
    </row>
    <row r="161" spans="1:22" s="1" customFormat="1" ht="13.5" customHeight="1" x14ac:dyDescent="0.35">
      <c r="A161" s="1179"/>
      <c r="B161" s="753" t="s">
        <v>109</v>
      </c>
      <c r="C161" s="1180"/>
      <c r="D161" s="409" t="s">
        <v>452</v>
      </c>
      <c r="E161" s="409" t="s">
        <v>534</v>
      </c>
      <c r="F161" s="409" t="s">
        <v>82</v>
      </c>
      <c r="G161" s="409"/>
      <c r="H161" s="1391">
        <f>H162+H164+H167</f>
        <v>1831.94</v>
      </c>
      <c r="I161" s="1391">
        <f>I162+I164+I167</f>
        <v>2416</v>
      </c>
      <c r="J161" s="1391">
        <f>J162+J164+J167</f>
        <v>1230</v>
      </c>
      <c r="K161" s="1391">
        <f>K162+K164+K167</f>
        <v>1558.5</v>
      </c>
      <c r="L161" s="1392">
        <f>L162+L164+L167</f>
        <v>1490.8</v>
      </c>
      <c r="M161" s="760"/>
      <c r="N161" s="1462"/>
      <c r="O161" s="1462"/>
      <c r="P161" s="1433"/>
      <c r="Q161" s="1433"/>
      <c r="R161" s="1433"/>
      <c r="S161" s="1433"/>
      <c r="T161" s="1433"/>
      <c r="U161" s="1433"/>
      <c r="V161" s="1433"/>
    </row>
    <row r="162" spans="1:22" s="1" customFormat="1" ht="13.5" customHeight="1" x14ac:dyDescent="0.35">
      <c r="A162" s="842"/>
      <c r="B162" s="753" t="s">
        <v>537</v>
      </c>
      <c r="C162" s="409"/>
      <c r="D162" s="409" t="s">
        <v>452</v>
      </c>
      <c r="E162" s="409" t="s">
        <v>534</v>
      </c>
      <c r="F162" s="409" t="s">
        <v>536</v>
      </c>
      <c r="G162" s="409"/>
      <c r="H162" s="1391">
        <f>H163</f>
        <v>0</v>
      </c>
      <c r="I162" s="1391">
        <f>I163</f>
        <v>1650</v>
      </c>
      <c r="J162" s="1391">
        <f>J163</f>
        <v>650</v>
      </c>
      <c r="K162" s="1391">
        <f>K163</f>
        <v>1054.5</v>
      </c>
      <c r="L162" s="1392">
        <f>L163</f>
        <v>586.79999999999995</v>
      </c>
      <c r="M162" s="760"/>
      <c r="N162" s="1462"/>
      <c r="O162" s="1462"/>
      <c r="P162" s="1433"/>
      <c r="Q162" s="1433"/>
      <c r="R162" s="1433"/>
      <c r="S162" s="1433"/>
      <c r="T162" s="1433"/>
      <c r="U162" s="1433"/>
      <c r="V162" s="1433"/>
    </row>
    <row r="163" spans="1:22" s="1" customFormat="1" ht="21" x14ac:dyDescent="0.35">
      <c r="A163" s="1404"/>
      <c r="B163" s="1182" t="s">
        <v>454</v>
      </c>
      <c r="C163" s="1217"/>
      <c r="D163" s="1217" t="s">
        <v>452</v>
      </c>
      <c r="E163" s="1217" t="s">
        <v>534</v>
      </c>
      <c r="F163" s="1217" t="s">
        <v>536</v>
      </c>
      <c r="G163" s="409" t="s">
        <v>1</v>
      </c>
      <c r="H163" s="1391"/>
      <c r="I163" s="1391">
        <v>1650</v>
      </c>
      <c r="J163" s="1391">
        <v>650</v>
      </c>
      <c r="K163" s="1391">
        <v>1054.5</v>
      </c>
      <c r="L163" s="1392">
        <v>586.79999999999995</v>
      </c>
      <c r="M163" s="1461">
        <f>1554.5-500</f>
        <v>1054.5</v>
      </c>
      <c r="N163" s="1469"/>
      <c r="O163" s="1469">
        <v>586.79999999999995</v>
      </c>
      <c r="P163" s="1433"/>
      <c r="Q163" s="1433"/>
      <c r="R163" s="1433"/>
      <c r="S163" s="1433"/>
      <c r="T163" s="1433"/>
      <c r="U163" s="1433"/>
      <c r="V163" s="1433"/>
    </row>
    <row r="164" spans="1:22" s="1" customFormat="1" ht="14.5" hidden="1" x14ac:dyDescent="0.35">
      <c r="A164" s="842"/>
      <c r="B164" s="753" t="s">
        <v>535</v>
      </c>
      <c r="C164" s="409"/>
      <c r="D164" s="409" t="s">
        <v>452</v>
      </c>
      <c r="E164" s="409" t="s">
        <v>534</v>
      </c>
      <c r="F164" s="409" t="s">
        <v>54</v>
      </c>
      <c r="G164" s="409"/>
      <c r="H164" s="1391">
        <f>H165</f>
        <v>94.8</v>
      </c>
      <c r="I164" s="1391">
        <f>I165</f>
        <v>266</v>
      </c>
      <c r="J164" s="1391">
        <f>J165</f>
        <v>280</v>
      </c>
      <c r="K164" s="1391">
        <f>K165</f>
        <v>0</v>
      </c>
      <c r="L164" s="1392">
        <f>L165</f>
        <v>0</v>
      </c>
      <c r="M164" s="1461"/>
      <c r="N164" s="1469"/>
      <c r="O164" s="1469"/>
      <c r="P164" s="1433"/>
      <c r="Q164" s="1433"/>
      <c r="R164" s="1433"/>
      <c r="S164" s="1433"/>
      <c r="T164" s="1433"/>
      <c r="U164" s="1433"/>
      <c r="V164" s="1433"/>
    </row>
    <row r="165" spans="1:22" s="1" customFormat="1" ht="21" hidden="1" x14ac:dyDescent="0.35">
      <c r="A165" s="1405"/>
      <c r="B165" s="1182" t="s">
        <v>454</v>
      </c>
      <c r="C165" s="1217"/>
      <c r="D165" s="1217" t="s">
        <v>452</v>
      </c>
      <c r="E165" s="1217" t="s">
        <v>534</v>
      </c>
      <c r="F165" s="1217" t="s">
        <v>54</v>
      </c>
      <c r="G165" s="409" t="s">
        <v>1</v>
      </c>
      <c r="H165" s="1391">
        <v>94.8</v>
      </c>
      <c r="I165" s="1391">
        <v>266</v>
      </c>
      <c r="J165" s="1391">
        <v>280</v>
      </c>
      <c r="K165" s="1391"/>
      <c r="L165" s="1392"/>
      <c r="M165" s="1461"/>
      <c r="N165" s="1469"/>
      <c r="O165" s="1469"/>
      <c r="P165" s="1433"/>
      <c r="Q165" s="1433"/>
      <c r="R165" s="1433"/>
      <c r="S165" s="1433"/>
      <c r="T165" s="1433"/>
      <c r="U165" s="1433"/>
      <c r="V165" s="1433"/>
    </row>
    <row r="166" spans="1:22" s="1" customFormat="1" ht="14.25" customHeight="1" x14ac:dyDescent="0.35">
      <c r="A166" s="1405"/>
      <c r="B166" s="753" t="s">
        <v>53</v>
      </c>
      <c r="C166" s="409"/>
      <c r="D166" s="409" t="s">
        <v>452</v>
      </c>
      <c r="E166" s="409" t="s">
        <v>534</v>
      </c>
      <c r="F166" s="409" t="s">
        <v>50</v>
      </c>
      <c r="G166" s="409"/>
      <c r="H166" s="1391">
        <f>H167</f>
        <v>1737.14</v>
      </c>
      <c r="I166" s="1391">
        <f>I167</f>
        <v>500</v>
      </c>
      <c r="J166" s="1391">
        <f>J167</f>
        <v>300</v>
      </c>
      <c r="K166" s="1391">
        <f>K167</f>
        <v>504</v>
      </c>
      <c r="L166" s="1392">
        <f>L167</f>
        <v>904</v>
      </c>
      <c r="M166" s="1461"/>
      <c r="N166" s="1469"/>
      <c r="O166" s="1469"/>
      <c r="P166" s="1433"/>
      <c r="Q166" s="1433"/>
      <c r="R166" s="1433"/>
      <c r="S166" s="1433"/>
      <c r="T166" s="1433"/>
      <c r="U166" s="1433"/>
      <c r="V166" s="1433"/>
    </row>
    <row r="167" spans="1:22" s="1" customFormat="1" ht="21" x14ac:dyDescent="0.35">
      <c r="A167" s="1405"/>
      <c r="B167" s="1182" t="s">
        <v>454</v>
      </c>
      <c r="C167" s="1217"/>
      <c r="D167" s="1217" t="s">
        <v>452</v>
      </c>
      <c r="E167" s="1217" t="s">
        <v>534</v>
      </c>
      <c r="F167" s="1217" t="s">
        <v>50</v>
      </c>
      <c r="G167" s="409" t="s">
        <v>1</v>
      </c>
      <c r="H167" s="1391">
        <v>1737.14</v>
      </c>
      <c r="I167" s="1391">
        <v>500</v>
      </c>
      <c r="J167" s="1391">
        <v>300</v>
      </c>
      <c r="K167" s="1391">
        <v>504</v>
      </c>
      <c r="L167" s="1392">
        <v>904</v>
      </c>
      <c r="M167" s="1461">
        <f>1200-696</f>
        <v>504</v>
      </c>
      <c r="N167" s="1469"/>
      <c r="O167" s="1469">
        <f>1600-696</f>
        <v>904</v>
      </c>
      <c r="P167" s="1433"/>
      <c r="Q167" s="1433"/>
      <c r="R167" s="1433"/>
      <c r="S167" s="1433"/>
      <c r="T167" s="1433"/>
      <c r="U167" s="1433"/>
      <c r="V167" s="1433"/>
    </row>
    <row r="168" spans="1:22" s="1" customFormat="1" ht="14.5" x14ac:dyDescent="0.35">
      <c r="A168" s="1405"/>
      <c r="B168" s="1401" t="s">
        <v>378</v>
      </c>
      <c r="C168" s="1226"/>
      <c r="D168" s="1227" t="s">
        <v>463</v>
      </c>
      <c r="E168" s="1227" t="s">
        <v>459</v>
      </c>
      <c r="F168" s="1227"/>
      <c r="G168" s="1227"/>
      <c r="H168" s="1402">
        <f>H169+H179+H199</f>
        <v>56437.959999999992</v>
      </c>
      <c r="I168" s="1402">
        <f>I169+I179+I199</f>
        <v>157340.40900000001</v>
      </c>
      <c r="J168" s="1402">
        <f>J169+J179+J199</f>
        <v>152028.25200000001</v>
      </c>
      <c r="K168" s="1402">
        <f>K169+K179+K199</f>
        <v>43860.957999999999</v>
      </c>
      <c r="L168" s="1403">
        <f>L169+L179+L199</f>
        <v>44010.890000000007</v>
      </c>
      <c r="M168" s="760"/>
      <c r="N168" s="1470"/>
      <c r="O168" s="1470"/>
      <c r="P168" s="1433"/>
      <c r="Q168" s="1433"/>
      <c r="R168" s="1433"/>
      <c r="S168" s="1433"/>
      <c r="T168" s="1433"/>
      <c r="U168" s="1433"/>
      <c r="V168" s="1433"/>
    </row>
    <row r="169" spans="1:22" s="1" customFormat="1" ht="14.5" x14ac:dyDescent="0.35">
      <c r="A169" s="1404"/>
      <c r="B169" s="1401" t="s">
        <v>11</v>
      </c>
      <c r="C169" s="1227"/>
      <c r="D169" s="1227" t="s">
        <v>463</v>
      </c>
      <c r="E169" s="1227" t="s">
        <v>456</v>
      </c>
      <c r="F169" s="1227"/>
      <c r="G169" s="1227"/>
      <c r="H169" s="1402">
        <f t="shared" ref="H169:L171" si="16">H170</f>
        <v>1886.2020000000002</v>
      </c>
      <c r="I169" s="1402">
        <f t="shared" si="16"/>
        <v>9116.6290000000008</v>
      </c>
      <c r="J169" s="1402">
        <f t="shared" si="16"/>
        <v>9559.5519999999997</v>
      </c>
      <c r="K169" s="1402">
        <f t="shared" si="16"/>
        <v>947.01</v>
      </c>
      <c r="L169" s="1403">
        <f t="shared" si="16"/>
        <v>947.01</v>
      </c>
      <c r="M169" s="760"/>
      <c r="N169" s="1462"/>
      <c r="O169" s="1462"/>
      <c r="P169" s="1433"/>
      <c r="Q169" s="1433"/>
      <c r="R169" s="1433"/>
      <c r="S169" s="1433"/>
      <c r="T169" s="1433"/>
      <c r="U169" s="1433"/>
      <c r="V169" s="1433"/>
    </row>
    <row r="170" spans="1:22" s="1" customFormat="1" ht="24" customHeight="1" x14ac:dyDescent="0.35">
      <c r="A170" s="1233"/>
      <c r="B170" s="753" t="s">
        <v>499</v>
      </c>
      <c r="C170" s="1180"/>
      <c r="D170" s="409" t="s">
        <v>463</v>
      </c>
      <c r="E170" s="409" t="s">
        <v>456</v>
      </c>
      <c r="F170" s="409" t="s">
        <v>89</v>
      </c>
      <c r="G170" s="409"/>
      <c r="H170" s="1391">
        <f t="shared" si="16"/>
        <v>1886.2020000000002</v>
      </c>
      <c r="I170" s="1391">
        <f t="shared" si="16"/>
        <v>9116.6290000000008</v>
      </c>
      <c r="J170" s="1391">
        <f t="shared" si="16"/>
        <v>9559.5519999999997</v>
      </c>
      <c r="K170" s="1391">
        <f t="shared" si="16"/>
        <v>947.01</v>
      </c>
      <c r="L170" s="1392">
        <f t="shared" si="16"/>
        <v>947.01</v>
      </c>
      <c r="M170" s="760"/>
      <c r="N170" s="1462"/>
      <c r="O170" s="1462"/>
      <c r="P170" s="1433"/>
      <c r="Q170" s="1433"/>
      <c r="R170" s="1433"/>
      <c r="S170" s="1433"/>
      <c r="T170" s="1433"/>
      <c r="U170" s="1433"/>
      <c r="V170" s="1433"/>
    </row>
    <row r="171" spans="1:22" s="1" customFormat="1" ht="12.75" customHeight="1" x14ac:dyDescent="0.35">
      <c r="A171" s="1179"/>
      <c r="B171" s="753" t="s">
        <v>109</v>
      </c>
      <c r="C171" s="1180"/>
      <c r="D171" s="409" t="s">
        <v>463</v>
      </c>
      <c r="E171" s="409" t="s">
        <v>456</v>
      </c>
      <c r="F171" s="409" t="s">
        <v>84</v>
      </c>
      <c r="G171" s="409"/>
      <c r="H171" s="1391">
        <f t="shared" si="16"/>
        <v>1886.2020000000002</v>
      </c>
      <c r="I171" s="1391">
        <f t="shared" si="16"/>
        <v>9116.6290000000008</v>
      </c>
      <c r="J171" s="1391">
        <f t="shared" si="16"/>
        <v>9559.5519999999997</v>
      </c>
      <c r="K171" s="1391">
        <f t="shared" si="16"/>
        <v>947.01</v>
      </c>
      <c r="L171" s="1392">
        <f t="shared" si="16"/>
        <v>947.01</v>
      </c>
      <c r="M171" s="760"/>
      <c r="N171" s="1462"/>
      <c r="O171" s="1462"/>
      <c r="P171" s="1433"/>
      <c r="Q171" s="1433"/>
      <c r="R171" s="1433"/>
      <c r="S171" s="1433"/>
      <c r="T171" s="1433"/>
      <c r="U171" s="1433"/>
      <c r="V171" s="1433"/>
    </row>
    <row r="172" spans="1:22" s="1" customFormat="1" ht="14.25" customHeight="1" x14ac:dyDescent="0.35">
      <c r="A172" s="1179"/>
      <c r="B172" s="753" t="s">
        <v>109</v>
      </c>
      <c r="C172" s="1180"/>
      <c r="D172" s="409" t="s">
        <v>463</v>
      </c>
      <c r="E172" s="409" t="s">
        <v>456</v>
      </c>
      <c r="F172" s="409" t="s">
        <v>82</v>
      </c>
      <c r="G172" s="409"/>
      <c r="H172" s="1391">
        <f>H173+H175+H177</f>
        <v>1886.2020000000002</v>
      </c>
      <c r="I172" s="1391">
        <f>I173+I175+I177</f>
        <v>9116.6290000000008</v>
      </c>
      <c r="J172" s="1391">
        <f>J173+J175+J177</f>
        <v>9559.5519999999997</v>
      </c>
      <c r="K172" s="1391">
        <f>K173+K175+K177</f>
        <v>947.01</v>
      </c>
      <c r="L172" s="1392">
        <f>L173+L175+L177</f>
        <v>947.01</v>
      </c>
      <c r="M172" s="760"/>
      <c r="N172" s="1462"/>
      <c r="O172" s="1462"/>
      <c r="P172" s="1433"/>
      <c r="Q172" s="1433"/>
      <c r="R172" s="1433"/>
      <c r="S172" s="1433"/>
      <c r="T172" s="1433"/>
      <c r="U172" s="1433"/>
      <c r="V172" s="1433"/>
    </row>
    <row r="173" spans="1:22" s="1" customFormat="1" ht="14.5" hidden="1" x14ac:dyDescent="0.35">
      <c r="A173" s="842"/>
      <c r="B173" s="753" t="s">
        <v>533</v>
      </c>
      <c r="C173" s="409"/>
      <c r="D173" s="409" t="s">
        <v>463</v>
      </c>
      <c r="E173" s="409" t="s">
        <v>456</v>
      </c>
      <c r="F173" s="409" t="s">
        <v>30</v>
      </c>
      <c r="G173" s="409"/>
      <c r="H173" s="1391">
        <f>H174</f>
        <v>1172.7070000000001</v>
      </c>
      <c r="I173" s="1391">
        <f>I174</f>
        <v>210</v>
      </c>
      <c r="J173" s="1391">
        <f>J174</f>
        <v>210</v>
      </c>
      <c r="K173" s="1391">
        <f>K174</f>
        <v>0</v>
      </c>
      <c r="L173" s="1392">
        <f>L174</f>
        <v>0</v>
      </c>
      <c r="M173" s="760"/>
      <c r="N173" s="1462"/>
      <c r="O173" s="1462"/>
      <c r="P173" s="1433"/>
      <c r="Q173" s="1433"/>
      <c r="R173" s="1433"/>
      <c r="S173" s="1433"/>
      <c r="T173" s="1433"/>
      <c r="U173" s="1433"/>
      <c r="V173" s="1433"/>
    </row>
    <row r="174" spans="1:22" s="1" customFormat="1" ht="21" hidden="1" x14ac:dyDescent="0.35">
      <c r="A174" s="1404"/>
      <c r="B174" s="1182" t="s">
        <v>454</v>
      </c>
      <c r="C174" s="409"/>
      <c r="D174" s="1217" t="s">
        <v>463</v>
      </c>
      <c r="E174" s="1217" t="s">
        <v>456</v>
      </c>
      <c r="F174" s="409" t="s">
        <v>30</v>
      </c>
      <c r="G174" s="409" t="s">
        <v>1</v>
      </c>
      <c r="H174" s="1391">
        <v>1172.7070000000001</v>
      </c>
      <c r="I174" s="1391">
        <v>210</v>
      </c>
      <c r="J174" s="1391">
        <v>210</v>
      </c>
      <c r="K174" s="1391"/>
      <c r="L174" s="1392"/>
      <c r="M174" s="760"/>
      <c r="N174" s="1462"/>
      <c r="O174" s="1462"/>
      <c r="P174" s="1433"/>
      <c r="Q174" s="1433"/>
      <c r="R174" s="1433"/>
      <c r="S174" s="1433"/>
      <c r="T174" s="1433"/>
      <c r="U174" s="1433"/>
      <c r="V174" s="1433"/>
    </row>
    <row r="175" spans="1:22" s="1" customFormat="1" ht="14.5" hidden="1" x14ac:dyDescent="0.35">
      <c r="A175" s="842"/>
      <c r="B175" s="753" t="s">
        <v>532</v>
      </c>
      <c r="C175" s="409"/>
      <c r="D175" s="409" t="s">
        <v>463</v>
      </c>
      <c r="E175" s="409" t="s">
        <v>456</v>
      </c>
      <c r="F175" s="409" t="s">
        <v>531</v>
      </c>
      <c r="G175" s="409"/>
      <c r="H175" s="1391">
        <f>H176</f>
        <v>0</v>
      </c>
      <c r="I175" s="1391">
        <f>I176</f>
        <v>2166.81</v>
      </c>
      <c r="J175" s="1391">
        <f>J176</f>
        <v>2272.7420000000002</v>
      </c>
      <c r="K175" s="1391">
        <f>K176</f>
        <v>0</v>
      </c>
      <c r="L175" s="1392">
        <f>L176</f>
        <v>0</v>
      </c>
      <c r="M175" s="760"/>
      <c r="N175" s="1462"/>
      <c r="O175" s="1462"/>
      <c r="P175" s="1433"/>
      <c r="Q175" s="1433"/>
      <c r="R175" s="1433"/>
      <c r="S175" s="1433"/>
      <c r="T175" s="1433"/>
      <c r="U175" s="1433"/>
      <c r="V175" s="1433"/>
    </row>
    <row r="176" spans="1:22" s="1" customFormat="1" ht="21" hidden="1" x14ac:dyDescent="0.35">
      <c r="A176" s="1404"/>
      <c r="B176" s="1182" t="s">
        <v>454</v>
      </c>
      <c r="C176" s="409"/>
      <c r="D176" s="1217" t="s">
        <v>463</v>
      </c>
      <c r="E176" s="1217" t="s">
        <v>456</v>
      </c>
      <c r="F176" s="1217" t="s">
        <v>531</v>
      </c>
      <c r="G176" s="409" t="s">
        <v>1</v>
      </c>
      <c r="H176" s="1391"/>
      <c r="I176" s="1391">
        <v>2166.81</v>
      </c>
      <c r="J176" s="1391">
        <v>2272.7420000000002</v>
      </c>
      <c r="K176" s="1391"/>
      <c r="L176" s="1392"/>
      <c r="M176" s="760"/>
      <c r="N176" s="1462"/>
      <c r="O176" s="1462"/>
      <c r="P176" s="1433"/>
      <c r="Q176" s="1433"/>
      <c r="R176" s="1433"/>
      <c r="S176" s="1433"/>
      <c r="T176" s="1433"/>
      <c r="U176" s="1433"/>
      <c r="V176" s="1433"/>
    </row>
    <row r="177" spans="1:22" s="1" customFormat="1" ht="16.5" customHeight="1" x14ac:dyDescent="0.35">
      <c r="A177" s="842"/>
      <c r="B177" s="753" t="s">
        <v>12</v>
      </c>
      <c r="C177" s="409"/>
      <c r="D177" s="409" t="s">
        <v>463</v>
      </c>
      <c r="E177" s="409" t="s">
        <v>456</v>
      </c>
      <c r="F177" s="409" t="s">
        <v>10</v>
      </c>
      <c r="G177" s="409"/>
      <c r="H177" s="1391">
        <f>H178</f>
        <v>713.495</v>
      </c>
      <c r="I177" s="1391">
        <f>I178</f>
        <v>6739.8190000000004</v>
      </c>
      <c r="J177" s="1391">
        <f>J178</f>
        <v>7076.81</v>
      </c>
      <c r="K177" s="1391">
        <f>K178</f>
        <v>947.01</v>
      </c>
      <c r="L177" s="1392">
        <f>L178</f>
        <v>947.01</v>
      </c>
      <c r="M177" s="1462"/>
      <c r="N177" s="1462"/>
      <c r="O177" s="1462"/>
      <c r="P177" s="1433"/>
      <c r="Q177" s="1433"/>
      <c r="R177" s="1433"/>
      <c r="S177" s="1433"/>
      <c r="T177" s="1433"/>
      <c r="U177" s="1433"/>
      <c r="V177" s="1433"/>
    </row>
    <row r="178" spans="1:22" s="1" customFormat="1" ht="21" x14ac:dyDescent="0.35">
      <c r="A178" s="1404"/>
      <c r="B178" s="1182" t="s">
        <v>454</v>
      </c>
      <c r="C178" s="409"/>
      <c r="D178" s="1217" t="s">
        <v>463</v>
      </c>
      <c r="E178" s="1217" t="s">
        <v>456</v>
      </c>
      <c r="F178" s="1217" t="s">
        <v>10</v>
      </c>
      <c r="G178" s="409" t="s">
        <v>1</v>
      </c>
      <c r="H178" s="1391">
        <v>713.495</v>
      </c>
      <c r="I178" s="1391">
        <v>6739.8190000000004</v>
      </c>
      <c r="J178" s="1391">
        <v>7076.81</v>
      </c>
      <c r="K178" s="1391">
        <v>947.01</v>
      </c>
      <c r="L178" s="1392">
        <v>947.01</v>
      </c>
      <c r="M178" s="1469">
        <v>947.01</v>
      </c>
      <c r="N178" s="1469"/>
      <c r="O178" s="1469">
        <v>947.01</v>
      </c>
      <c r="P178" s="1433"/>
      <c r="Q178" s="1433"/>
      <c r="R178" s="1433"/>
      <c r="S178" s="1433"/>
      <c r="T178" s="1433"/>
      <c r="U178" s="1433"/>
      <c r="V178" s="1433"/>
    </row>
    <row r="179" spans="1:22" s="1" customFormat="1" ht="14.5" x14ac:dyDescent="0.35">
      <c r="A179" s="1405"/>
      <c r="B179" s="1401" t="s">
        <v>530</v>
      </c>
      <c r="C179" s="1227"/>
      <c r="D179" s="1227" t="s">
        <v>463</v>
      </c>
      <c r="E179" s="1227" t="s">
        <v>488</v>
      </c>
      <c r="F179" s="1227"/>
      <c r="G179" s="1227"/>
      <c r="H179" s="1402">
        <f>H180+H184+H190</f>
        <v>10309.368999999999</v>
      </c>
      <c r="I179" s="1402">
        <f>I180+I184</f>
        <v>18720.599999999999</v>
      </c>
      <c r="J179" s="1402">
        <f>J180+J184</f>
        <v>15705.6</v>
      </c>
      <c r="K179" s="1402">
        <f>K180+K184+K190</f>
        <v>8590.3080000000009</v>
      </c>
      <c r="L179" s="1403">
        <f>L180+L184+L190</f>
        <v>6975.5</v>
      </c>
      <c r="M179" s="1462"/>
      <c r="N179" s="1462"/>
      <c r="O179" s="1462"/>
      <c r="P179" s="1433"/>
      <c r="Q179" s="1433"/>
      <c r="R179" s="1433"/>
      <c r="S179" s="1433"/>
      <c r="T179" s="1433"/>
      <c r="U179" s="1433"/>
      <c r="V179" s="1433"/>
    </row>
    <row r="180" spans="1:22" s="1" customFormat="1" ht="21" x14ac:dyDescent="0.35">
      <c r="A180" s="1405"/>
      <c r="B180" s="1406" t="s">
        <v>884</v>
      </c>
      <c r="C180" s="409"/>
      <c r="D180" s="409" t="s">
        <v>463</v>
      </c>
      <c r="E180" s="409" t="s">
        <v>488</v>
      </c>
      <c r="F180" s="409" t="s">
        <v>196</v>
      </c>
      <c r="G180" s="409"/>
      <c r="H180" s="1391">
        <f t="shared" ref="H180:L182" si="17">H181</f>
        <v>2200</v>
      </c>
      <c r="I180" s="1391">
        <f t="shared" si="17"/>
        <v>75</v>
      </c>
      <c r="J180" s="1391">
        <f t="shared" si="17"/>
        <v>75</v>
      </c>
      <c r="K180" s="1391">
        <f t="shared" si="17"/>
        <v>4981.808</v>
      </c>
      <c r="L180" s="1392">
        <f t="shared" si="17"/>
        <v>3700</v>
      </c>
      <c r="M180" s="1462"/>
      <c r="N180" s="1462"/>
      <c r="O180" s="1462"/>
      <c r="P180" s="1433"/>
      <c r="Q180" s="1433"/>
      <c r="R180" s="1433"/>
      <c r="S180" s="1433"/>
      <c r="T180" s="1433"/>
      <c r="U180" s="1433"/>
      <c r="V180" s="1433"/>
    </row>
    <row r="181" spans="1:22" s="1" customFormat="1" ht="15" customHeight="1" x14ac:dyDescent="0.35">
      <c r="A181" s="1405"/>
      <c r="B181" s="1203" t="s">
        <v>195</v>
      </c>
      <c r="C181" s="409"/>
      <c r="D181" s="1217" t="s">
        <v>463</v>
      </c>
      <c r="E181" s="1217" t="s">
        <v>488</v>
      </c>
      <c r="F181" s="409" t="s">
        <v>194</v>
      </c>
      <c r="G181" s="409"/>
      <c r="H181" s="1391">
        <f t="shared" si="17"/>
        <v>2200</v>
      </c>
      <c r="I181" s="1391">
        <f t="shared" si="17"/>
        <v>75</v>
      </c>
      <c r="J181" s="1391">
        <f t="shared" si="17"/>
        <v>75</v>
      </c>
      <c r="K181" s="1391">
        <f t="shared" si="17"/>
        <v>4981.808</v>
      </c>
      <c r="L181" s="1392">
        <f t="shared" si="17"/>
        <v>3700</v>
      </c>
      <c r="M181" s="1462"/>
      <c r="N181" s="1462"/>
      <c r="O181" s="1462"/>
      <c r="P181" s="1433"/>
      <c r="Q181" s="1433"/>
      <c r="R181" s="1433"/>
      <c r="S181" s="1433"/>
      <c r="T181" s="1433"/>
      <c r="U181" s="1433"/>
      <c r="V181" s="1433"/>
    </row>
    <row r="182" spans="1:22" s="1" customFormat="1" ht="21" x14ac:dyDescent="0.35">
      <c r="A182" s="1405"/>
      <c r="B182" s="1407" t="s">
        <v>193</v>
      </c>
      <c r="C182" s="1217"/>
      <c r="D182" s="1217" t="s">
        <v>463</v>
      </c>
      <c r="E182" s="1217" t="s">
        <v>488</v>
      </c>
      <c r="F182" s="1217" t="s">
        <v>191</v>
      </c>
      <c r="G182" s="1217"/>
      <c r="H182" s="1391">
        <f t="shared" si="17"/>
        <v>2200</v>
      </c>
      <c r="I182" s="1391">
        <f t="shared" si="17"/>
        <v>75</v>
      </c>
      <c r="J182" s="1391">
        <f t="shared" si="17"/>
        <v>75</v>
      </c>
      <c r="K182" s="1391">
        <f t="shared" si="17"/>
        <v>4981.808</v>
      </c>
      <c r="L182" s="1392">
        <f t="shared" si="17"/>
        <v>3700</v>
      </c>
      <c r="M182" s="1462"/>
      <c r="N182" s="1462"/>
      <c r="O182" s="1462"/>
      <c r="P182" s="1433"/>
      <c r="Q182" s="1433"/>
      <c r="R182" s="1433"/>
      <c r="S182" s="1433"/>
      <c r="T182" s="1433"/>
      <c r="U182" s="1433"/>
      <c r="V182" s="1433"/>
    </row>
    <row r="183" spans="1:22" s="1" customFormat="1" ht="11.25" customHeight="1" x14ac:dyDescent="0.35">
      <c r="A183" s="1405"/>
      <c r="B183" s="1182" t="s">
        <v>481</v>
      </c>
      <c r="C183" s="409"/>
      <c r="D183" s="1217" t="s">
        <v>463</v>
      </c>
      <c r="E183" s="1217" t="s">
        <v>488</v>
      </c>
      <c r="F183" s="1217" t="s">
        <v>191</v>
      </c>
      <c r="G183" s="409" t="s">
        <v>26</v>
      </c>
      <c r="H183" s="1391">
        <v>2200</v>
      </c>
      <c r="I183" s="1391">
        <v>75</v>
      </c>
      <c r="J183" s="1391">
        <v>75</v>
      </c>
      <c r="K183" s="1391">
        <v>4981.808</v>
      </c>
      <c r="L183" s="1392">
        <v>3700</v>
      </c>
      <c r="M183" s="1469">
        <f>2500+2481.808</f>
        <v>4981.808</v>
      </c>
      <c r="N183" s="1469"/>
      <c r="O183" s="1469">
        <f>4300-600</f>
        <v>3700</v>
      </c>
      <c r="P183" s="1433"/>
      <c r="Q183" s="1433"/>
      <c r="R183" s="1433"/>
      <c r="S183" s="1433"/>
      <c r="T183" s="1433"/>
      <c r="U183" s="1433"/>
      <c r="V183" s="1433"/>
    </row>
    <row r="184" spans="1:22" s="1" customFormat="1" ht="42" x14ac:dyDescent="0.35">
      <c r="A184" s="1179"/>
      <c r="B184" s="1203" t="s">
        <v>928</v>
      </c>
      <c r="C184" s="409"/>
      <c r="D184" s="409" t="s">
        <v>463</v>
      </c>
      <c r="E184" s="409" t="s">
        <v>488</v>
      </c>
      <c r="F184" s="1384" t="s">
        <v>181</v>
      </c>
      <c r="G184" s="409"/>
      <c r="H184" s="1391">
        <f>H187+H198</f>
        <v>3648.4989999999998</v>
      </c>
      <c r="I184" s="1391">
        <f>I185+I190</f>
        <v>18645.599999999999</v>
      </c>
      <c r="J184" s="1391">
        <f>J185+J190</f>
        <v>15630.6</v>
      </c>
      <c r="K184" s="1391">
        <f>K187+K198</f>
        <v>3608.5</v>
      </c>
      <c r="L184" s="1392">
        <f>L187+L198</f>
        <v>3275.5</v>
      </c>
      <c r="M184" s="1462"/>
      <c r="N184" s="1462"/>
      <c r="O184" s="1462"/>
      <c r="P184" s="1433"/>
      <c r="Q184" s="1433"/>
      <c r="R184" s="1433"/>
      <c r="S184" s="1433"/>
      <c r="T184" s="1433"/>
      <c r="U184" s="1433"/>
      <c r="V184" s="1433"/>
    </row>
    <row r="185" spans="1:22" s="1" customFormat="1" ht="21" x14ac:dyDescent="0.35">
      <c r="A185" s="1240"/>
      <c r="B185" s="1197" t="s">
        <v>180</v>
      </c>
      <c r="C185" s="1217"/>
      <c r="D185" s="1217" t="s">
        <v>463</v>
      </c>
      <c r="E185" s="1217" t="s">
        <v>488</v>
      </c>
      <c r="F185" s="1217" t="s">
        <v>179</v>
      </c>
      <c r="G185" s="1217"/>
      <c r="H185" s="1391">
        <f>H186</f>
        <v>3282.5</v>
      </c>
      <c r="I185" s="1391">
        <f>I186</f>
        <v>500</v>
      </c>
      <c r="J185" s="1391">
        <f>J186</f>
        <v>500</v>
      </c>
      <c r="K185" s="1391">
        <f>K186</f>
        <v>3608.5</v>
      </c>
      <c r="L185" s="1392">
        <f>L186</f>
        <v>3275.5</v>
      </c>
      <c r="M185" s="1462"/>
      <c r="N185" s="1462"/>
      <c r="O185" s="1462"/>
      <c r="P185" s="1433"/>
      <c r="Q185" s="1433"/>
      <c r="R185" s="1433"/>
      <c r="S185" s="1433"/>
      <c r="T185" s="1433"/>
      <c r="U185" s="1433"/>
      <c r="V185" s="1433"/>
    </row>
    <row r="186" spans="1:22" s="1" customFormat="1" ht="21" x14ac:dyDescent="0.35">
      <c r="A186" s="1240"/>
      <c r="B186" s="1218" t="s">
        <v>525</v>
      </c>
      <c r="C186" s="1217"/>
      <c r="D186" s="1217" t="s">
        <v>463</v>
      </c>
      <c r="E186" s="1217" t="s">
        <v>488</v>
      </c>
      <c r="F186" s="1217" t="s">
        <v>178</v>
      </c>
      <c r="G186" s="1217"/>
      <c r="H186" s="1391">
        <f>H187+H188</f>
        <v>3282.5</v>
      </c>
      <c r="I186" s="1391">
        <f>I187+I188</f>
        <v>500</v>
      </c>
      <c r="J186" s="1391">
        <f>J187+J188</f>
        <v>500</v>
      </c>
      <c r="K186" s="1391">
        <f>K187+K188</f>
        <v>3608.5</v>
      </c>
      <c r="L186" s="1392">
        <f>L187+L188</f>
        <v>3275.5</v>
      </c>
      <c r="M186" s="1462"/>
      <c r="N186" s="1462"/>
      <c r="O186" s="1462"/>
      <c r="P186" s="1433"/>
      <c r="Q186" s="1433"/>
      <c r="R186" s="1433"/>
      <c r="S186" s="1433"/>
      <c r="T186" s="1433"/>
      <c r="U186" s="1433"/>
      <c r="V186" s="1433"/>
    </row>
    <row r="187" spans="1:22" s="1" customFormat="1" ht="21" x14ac:dyDescent="0.35">
      <c r="A187" s="1404"/>
      <c r="B187" s="1182" t="s">
        <v>454</v>
      </c>
      <c r="C187" s="1217"/>
      <c r="D187" s="1217" t="s">
        <v>463</v>
      </c>
      <c r="E187" s="1217" t="s">
        <v>488</v>
      </c>
      <c r="F187" s="1217" t="s">
        <v>178</v>
      </c>
      <c r="G187" s="409" t="s">
        <v>1</v>
      </c>
      <c r="H187" s="1391">
        <v>3282.5</v>
      </c>
      <c r="I187" s="1391"/>
      <c r="J187" s="1391"/>
      <c r="K187" s="1391">
        <v>3608.5</v>
      </c>
      <c r="L187" s="1392">
        <v>3275.5</v>
      </c>
      <c r="M187" s="1469">
        <v>3608.5</v>
      </c>
      <c r="N187" s="1469"/>
      <c r="O187" s="1469">
        <v>3275.5</v>
      </c>
      <c r="P187" s="1433"/>
      <c r="Q187" s="1433"/>
      <c r="R187" s="1433"/>
      <c r="S187" s="1433"/>
      <c r="T187" s="1433"/>
      <c r="U187" s="1433"/>
      <c r="V187" s="1433"/>
    </row>
    <row r="188" spans="1:22" s="1" customFormat="1" ht="14.5" hidden="1" x14ac:dyDescent="0.35">
      <c r="A188" s="1404"/>
      <c r="B188" s="753" t="s">
        <v>528</v>
      </c>
      <c r="C188" s="1217"/>
      <c r="D188" s="1217" t="s">
        <v>463</v>
      </c>
      <c r="E188" s="1217" t="s">
        <v>488</v>
      </c>
      <c r="F188" s="1217" t="s">
        <v>527</v>
      </c>
      <c r="G188" s="1217"/>
      <c r="H188" s="1391">
        <f>H189</f>
        <v>0</v>
      </c>
      <c r="I188" s="1391">
        <f>I189</f>
        <v>500</v>
      </c>
      <c r="J188" s="1391">
        <f>J189</f>
        <v>500</v>
      </c>
      <c r="K188" s="1391">
        <f>K189</f>
        <v>0</v>
      </c>
      <c r="L188" s="1392">
        <f>L189</f>
        <v>0</v>
      </c>
      <c r="M188" s="1462"/>
      <c r="N188" s="1462"/>
      <c r="O188" s="1462"/>
      <c r="P188" s="1433"/>
      <c r="Q188" s="1433"/>
      <c r="R188" s="1433"/>
      <c r="S188" s="1433"/>
      <c r="T188" s="1433"/>
      <c r="U188" s="1433"/>
      <c r="V188" s="1433"/>
    </row>
    <row r="189" spans="1:22" s="1" customFormat="1" ht="21" hidden="1" x14ac:dyDescent="0.35">
      <c r="A189" s="1404"/>
      <c r="B189" s="1182" t="s">
        <v>454</v>
      </c>
      <c r="C189" s="409"/>
      <c r="D189" s="1217" t="s">
        <v>463</v>
      </c>
      <c r="E189" s="1217" t="s">
        <v>488</v>
      </c>
      <c r="F189" s="1217" t="s">
        <v>526</v>
      </c>
      <c r="G189" s="409" t="s">
        <v>1</v>
      </c>
      <c r="H189" s="1391"/>
      <c r="I189" s="1391">
        <v>500</v>
      </c>
      <c r="J189" s="1391">
        <v>500</v>
      </c>
      <c r="K189" s="1391"/>
      <c r="L189" s="1392"/>
      <c r="M189" s="1462"/>
      <c r="N189" s="1462"/>
      <c r="O189" s="1462"/>
      <c r="P189" s="1433"/>
      <c r="Q189" s="1433"/>
      <c r="R189" s="1433"/>
      <c r="S189" s="1433"/>
      <c r="T189" s="1433"/>
      <c r="U189" s="1433"/>
      <c r="V189" s="1433"/>
    </row>
    <row r="190" spans="1:22" s="1" customFormat="1" ht="31.5" hidden="1" x14ac:dyDescent="0.35">
      <c r="A190" s="1240"/>
      <c r="B190" s="752" t="s">
        <v>499</v>
      </c>
      <c r="C190" s="1217"/>
      <c r="D190" s="1221" t="s">
        <v>463</v>
      </c>
      <c r="E190" s="1221" t="s">
        <v>488</v>
      </c>
      <c r="F190" s="1217" t="s">
        <v>177</v>
      </c>
      <c r="G190" s="1221"/>
      <c r="H190" s="1375">
        <f>H191</f>
        <v>4460.87</v>
      </c>
      <c r="I190" s="1375">
        <f>I191</f>
        <v>18145.599999999999</v>
      </c>
      <c r="J190" s="1375">
        <f>J191</f>
        <v>15130.6</v>
      </c>
      <c r="K190" s="1375">
        <f>K191</f>
        <v>0</v>
      </c>
      <c r="L190" s="1394">
        <f>L191</f>
        <v>0</v>
      </c>
      <c r="M190" s="1462"/>
      <c r="N190" s="1462"/>
      <c r="O190" s="1462"/>
      <c r="P190" s="1433"/>
      <c r="Q190" s="1433"/>
      <c r="R190" s="1433"/>
      <c r="S190" s="1433"/>
      <c r="T190" s="1433"/>
      <c r="U190" s="1433"/>
      <c r="V190" s="1433"/>
    </row>
    <row r="191" spans="1:22" s="1" customFormat="1" ht="14.5" hidden="1" x14ac:dyDescent="0.35">
      <c r="A191" s="1240"/>
      <c r="B191" s="1180" t="s">
        <v>109</v>
      </c>
      <c r="C191" s="1217"/>
      <c r="D191" s="1217" t="s">
        <v>463</v>
      </c>
      <c r="E191" s="1217" t="s">
        <v>488</v>
      </c>
      <c r="F191" s="1217" t="s">
        <v>177</v>
      </c>
      <c r="G191" s="1217"/>
      <c r="H191" s="1391">
        <f>H192</f>
        <v>4460.87</v>
      </c>
      <c r="I191" s="1391">
        <f>I192+I194</f>
        <v>18145.599999999999</v>
      </c>
      <c r="J191" s="1391">
        <f>J192+J194</f>
        <v>15130.6</v>
      </c>
      <c r="K191" s="1391">
        <f t="shared" ref="K191:L193" si="18">K192</f>
        <v>0</v>
      </c>
      <c r="L191" s="1392">
        <f t="shared" si="18"/>
        <v>0</v>
      </c>
      <c r="M191" s="1462"/>
      <c r="N191" s="1462"/>
      <c r="O191" s="1462"/>
      <c r="P191" s="1433"/>
      <c r="Q191" s="1433"/>
      <c r="R191" s="1433"/>
      <c r="S191" s="1433"/>
      <c r="T191" s="1433"/>
      <c r="U191" s="1433"/>
      <c r="V191" s="1433"/>
    </row>
    <row r="192" spans="1:22" s="1" customFormat="1" ht="14.5" hidden="1" x14ac:dyDescent="0.35">
      <c r="A192" s="1404"/>
      <c r="B192" s="1180" t="s">
        <v>109</v>
      </c>
      <c r="C192" s="1217"/>
      <c r="D192" s="1217" t="s">
        <v>463</v>
      </c>
      <c r="E192" s="1217" t="s">
        <v>488</v>
      </c>
      <c r="F192" s="409" t="s">
        <v>82</v>
      </c>
      <c r="G192" s="1217"/>
      <c r="H192" s="1391">
        <f>H193</f>
        <v>4460.87</v>
      </c>
      <c r="I192" s="1391">
        <f>I193</f>
        <v>15145.6</v>
      </c>
      <c r="J192" s="1391">
        <f>J193</f>
        <v>12030.6</v>
      </c>
      <c r="K192" s="1391">
        <f t="shared" si="18"/>
        <v>0</v>
      </c>
      <c r="L192" s="1392">
        <f t="shared" si="18"/>
        <v>0</v>
      </c>
      <c r="M192" s="1462"/>
      <c r="N192" s="1462"/>
      <c r="O192" s="1462"/>
      <c r="P192" s="1433"/>
      <c r="Q192" s="1433"/>
      <c r="R192" s="1433"/>
      <c r="S192" s="1433"/>
      <c r="T192" s="1433"/>
      <c r="U192" s="1433"/>
      <c r="V192" s="1433"/>
    </row>
    <row r="193" spans="1:22" s="1" customFormat="1" ht="21" hidden="1" x14ac:dyDescent="0.35">
      <c r="A193" s="1405"/>
      <c r="B193" s="1218" t="s">
        <v>525</v>
      </c>
      <c r="C193" s="409"/>
      <c r="D193" s="1217" t="s">
        <v>463</v>
      </c>
      <c r="E193" s="1217" t="s">
        <v>488</v>
      </c>
      <c r="F193" s="409" t="s">
        <v>524</v>
      </c>
      <c r="G193" s="409"/>
      <c r="H193" s="1391">
        <f>H194</f>
        <v>4460.87</v>
      </c>
      <c r="I193" s="1391">
        <v>15145.6</v>
      </c>
      <c r="J193" s="1391">
        <v>12030.6</v>
      </c>
      <c r="K193" s="1391">
        <f t="shared" si="18"/>
        <v>0</v>
      </c>
      <c r="L193" s="1392">
        <f t="shared" si="18"/>
        <v>0</v>
      </c>
      <c r="M193" s="1462"/>
      <c r="N193" s="1462"/>
      <c r="O193" s="1462"/>
      <c r="P193" s="1433"/>
      <c r="Q193" s="1433"/>
      <c r="R193" s="1433"/>
      <c r="S193" s="1433"/>
      <c r="T193" s="1433"/>
      <c r="U193" s="1433"/>
      <c r="V193" s="1433"/>
    </row>
    <row r="194" spans="1:22" s="1" customFormat="1" ht="14.5" hidden="1" x14ac:dyDescent="0.35">
      <c r="A194" s="1405"/>
      <c r="B194" s="1182" t="s">
        <v>481</v>
      </c>
      <c r="C194" s="1217"/>
      <c r="D194" s="1217" t="s">
        <v>463</v>
      </c>
      <c r="E194" s="1217" t="s">
        <v>488</v>
      </c>
      <c r="F194" s="409" t="s">
        <v>524</v>
      </c>
      <c r="G194" s="409" t="s">
        <v>26</v>
      </c>
      <c r="H194" s="1391">
        <v>4460.87</v>
      </c>
      <c r="I194" s="1391">
        <f>I195+I196</f>
        <v>3000</v>
      </c>
      <c r="J194" s="1391">
        <f>J195+J196</f>
        <v>3100</v>
      </c>
      <c r="K194" s="1391"/>
      <c r="L194" s="1392"/>
      <c r="M194" s="1462"/>
      <c r="N194" s="1462"/>
      <c r="O194" s="1462"/>
      <c r="P194" s="1433"/>
      <c r="Q194" s="1433"/>
      <c r="R194" s="1433"/>
      <c r="S194" s="1433"/>
      <c r="T194" s="1433"/>
      <c r="U194" s="1433"/>
      <c r="V194" s="1433"/>
    </row>
    <row r="195" spans="1:22" s="1" customFormat="1" ht="21" hidden="1" x14ac:dyDescent="0.35">
      <c r="A195" s="1405"/>
      <c r="B195" s="1182" t="s">
        <v>454</v>
      </c>
      <c r="C195" s="409"/>
      <c r="D195" s="1217" t="s">
        <v>463</v>
      </c>
      <c r="E195" s="1217" t="s">
        <v>488</v>
      </c>
      <c r="F195" s="1217" t="s">
        <v>522</v>
      </c>
      <c r="G195" s="409" t="s">
        <v>1</v>
      </c>
      <c r="H195" s="1391"/>
      <c r="I195" s="1391">
        <v>1000</v>
      </c>
      <c r="J195" s="1391">
        <v>1100</v>
      </c>
      <c r="K195" s="1391"/>
      <c r="L195" s="1392"/>
      <c r="M195" s="1462"/>
      <c r="N195" s="1462"/>
      <c r="O195" s="1462"/>
      <c r="P195" s="1433"/>
      <c r="Q195" s="1433"/>
      <c r="R195" s="1433"/>
      <c r="S195" s="1433"/>
      <c r="T195" s="1433"/>
      <c r="U195" s="1433"/>
      <c r="V195" s="1433"/>
    </row>
    <row r="196" spans="1:22" s="1" customFormat="1" ht="21" hidden="1" x14ac:dyDescent="0.35">
      <c r="A196" s="1405"/>
      <c r="B196" s="1182" t="s">
        <v>523</v>
      </c>
      <c r="C196" s="409"/>
      <c r="D196" s="1217" t="s">
        <v>463</v>
      </c>
      <c r="E196" s="1217" t="s">
        <v>488</v>
      </c>
      <c r="F196" s="1217" t="s">
        <v>522</v>
      </c>
      <c r="G196" s="409" t="s">
        <v>521</v>
      </c>
      <c r="H196" s="1391"/>
      <c r="I196" s="1391">
        <v>2000</v>
      </c>
      <c r="J196" s="1391">
        <v>2000</v>
      </c>
      <c r="K196" s="1391"/>
      <c r="L196" s="1392"/>
      <c r="M196" s="1462"/>
      <c r="N196" s="1462"/>
      <c r="O196" s="1462"/>
      <c r="P196" s="1433"/>
      <c r="Q196" s="1433"/>
      <c r="R196" s="1433"/>
      <c r="S196" s="1433"/>
      <c r="T196" s="1433"/>
      <c r="U196" s="1433"/>
      <c r="V196" s="1433"/>
    </row>
    <row r="197" spans="1:22" s="1" customFormat="1" ht="21.75" customHeight="1" x14ac:dyDescent="0.35">
      <c r="A197" s="1405"/>
      <c r="B197" s="1241" t="s">
        <v>40</v>
      </c>
      <c r="C197" s="409"/>
      <c r="D197" s="1217" t="s">
        <v>463</v>
      </c>
      <c r="E197" s="1217" t="s">
        <v>488</v>
      </c>
      <c r="F197" s="1217" t="s">
        <v>177</v>
      </c>
      <c r="G197" s="409"/>
      <c r="H197" s="1391">
        <f>H198</f>
        <v>365.99900000000002</v>
      </c>
      <c r="I197" s="1391"/>
      <c r="J197" s="1391"/>
      <c r="K197" s="1391">
        <f>K198</f>
        <v>0</v>
      </c>
      <c r="L197" s="1392">
        <f>L198</f>
        <v>0</v>
      </c>
      <c r="M197" s="1462"/>
      <c r="N197" s="1462"/>
      <c r="O197" s="1462"/>
      <c r="P197" s="1433"/>
      <c r="Q197" s="1433"/>
      <c r="R197" s="1433"/>
      <c r="S197" s="1433"/>
      <c r="T197" s="1433"/>
      <c r="U197" s="1433"/>
      <c r="V197" s="1433"/>
    </row>
    <row r="198" spans="1:22" s="1" customFormat="1" ht="21" x14ac:dyDescent="0.35">
      <c r="A198" s="1405"/>
      <c r="B198" s="1182" t="s">
        <v>454</v>
      </c>
      <c r="C198" s="409"/>
      <c r="D198" s="1217" t="s">
        <v>463</v>
      </c>
      <c r="E198" s="1217" t="s">
        <v>488</v>
      </c>
      <c r="F198" s="1217" t="s">
        <v>177</v>
      </c>
      <c r="G198" s="409" t="s">
        <v>1</v>
      </c>
      <c r="H198" s="1391">
        <v>365.99900000000002</v>
      </c>
      <c r="I198" s="1391"/>
      <c r="J198" s="1391"/>
      <c r="K198" s="1391"/>
      <c r="L198" s="1392"/>
      <c r="M198" s="1462"/>
      <c r="N198" s="1462"/>
      <c r="O198" s="1462"/>
      <c r="P198" s="1433"/>
      <c r="Q198" s="1433"/>
      <c r="R198" s="1433"/>
      <c r="S198" s="1433"/>
      <c r="T198" s="1433"/>
      <c r="U198" s="1433"/>
      <c r="V198" s="1433"/>
    </row>
    <row r="199" spans="1:22" s="1" customFormat="1" ht="14.5" x14ac:dyDescent="0.35">
      <c r="A199" s="1404"/>
      <c r="B199" s="1401" t="s">
        <v>34</v>
      </c>
      <c r="C199" s="1227"/>
      <c r="D199" s="1227" t="s">
        <v>463</v>
      </c>
      <c r="E199" s="1227" t="s">
        <v>495</v>
      </c>
      <c r="F199" s="1227"/>
      <c r="G199" s="1227"/>
      <c r="H199" s="1402">
        <f>H200+H206</f>
        <v>44242.388999999996</v>
      </c>
      <c r="I199" s="1402">
        <f>I200+I206</f>
        <v>129503.18000000001</v>
      </c>
      <c r="J199" s="1402">
        <f>J200+J206</f>
        <v>126763.1</v>
      </c>
      <c r="K199" s="1402">
        <f>K203+K205+K211+K215</f>
        <v>34323.64</v>
      </c>
      <c r="L199" s="1402">
        <f>L200+L206</f>
        <v>36088.380000000005</v>
      </c>
      <c r="M199" s="1462"/>
      <c r="N199" s="1462"/>
      <c r="O199" s="1462"/>
      <c r="P199" s="1433"/>
      <c r="Q199" s="1433"/>
      <c r="R199" s="1433"/>
      <c r="S199" s="1433"/>
      <c r="T199" s="1433"/>
      <c r="U199" s="1433"/>
      <c r="V199" s="1433"/>
    </row>
    <row r="200" spans="1:22" s="1" customFormat="1" ht="24" customHeight="1" x14ac:dyDescent="0.35">
      <c r="A200" s="1179"/>
      <c r="B200" s="1408" t="s">
        <v>931</v>
      </c>
      <c r="C200" s="409"/>
      <c r="D200" s="409" t="s">
        <v>463</v>
      </c>
      <c r="E200" s="409" t="s">
        <v>495</v>
      </c>
      <c r="F200" s="1384" t="s">
        <v>189</v>
      </c>
      <c r="G200" s="409"/>
      <c r="H200" s="1391">
        <f>H201</f>
        <v>44242.388999999996</v>
      </c>
      <c r="I200" s="1391">
        <f>I201</f>
        <v>125.25</v>
      </c>
      <c r="J200" s="1391">
        <f>J201</f>
        <v>65</v>
      </c>
      <c r="K200" s="1391">
        <f>K201</f>
        <v>33058.639999999999</v>
      </c>
      <c r="L200" s="1392">
        <f>L201</f>
        <v>34696.880000000005</v>
      </c>
      <c r="M200" s="1462"/>
      <c r="N200" s="1462"/>
      <c r="O200" s="1462"/>
      <c r="P200" s="1433"/>
      <c r="Q200" s="1433"/>
      <c r="R200" s="1433"/>
      <c r="S200" s="1433"/>
      <c r="T200" s="1433"/>
      <c r="U200" s="1433"/>
      <c r="V200" s="1433"/>
    </row>
    <row r="201" spans="1:22" s="1" customFormat="1" ht="31.5" x14ac:dyDescent="0.35">
      <c r="A201" s="842"/>
      <c r="B201" s="1197" t="s">
        <v>188</v>
      </c>
      <c r="C201" s="408"/>
      <c r="D201" s="409" t="s">
        <v>463</v>
      </c>
      <c r="E201" s="409" t="s">
        <v>495</v>
      </c>
      <c r="F201" s="1384" t="s">
        <v>187</v>
      </c>
      <c r="G201" s="408"/>
      <c r="H201" s="1391">
        <f>H202+H204</f>
        <v>44242.388999999996</v>
      </c>
      <c r="I201" s="1391">
        <f>I202</f>
        <v>125.25</v>
      </c>
      <c r="J201" s="1391">
        <f>J202</f>
        <v>65</v>
      </c>
      <c r="K201" s="1391">
        <f>K202+K204</f>
        <v>33058.639999999999</v>
      </c>
      <c r="L201" s="1392">
        <f>L202+L204</f>
        <v>34696.880000000005</v>
      </c>
      <c r="M201" s="1462"/>
      <c r="N201" s="1462"/>
      <c r="O201" s="1462"/>
      <c r="P201" s="1433"/>
      <c r="Q201" s="1433"/>
      <c r="R201" s="1433"/>
      <c r="S201" s="1433"/>
      <c r="T201" s="1433"/>
      <c r="U201" s="1433"/>
      <c r="V201" s="1433"/>
    </row>
    <row r="202" spans="1:22" s="1" customFormat="1" ht="24.75" customHeight="1" x14ac:dyDescent="0.35">
      <c r="A202" s="1179"/>
      <c r="B202" s="1393" t="s">
        <v>186</v>
      </c>
      <c r="C202" s="1217"/>
      <c r="D202" s="1217" t="s">
        <v>463</v>
      </c>
      <c r="E202" s="1217" t="s">
        <v>495</v>
      </c>
      <c r="F202" s="1398" t="s">
        <v>185</v>
      </c>
      <c r="G202" s="1217"/>
      <c r="H202" s="1391">
        <f>H203</f>
        <v>23803.393</v>
      </c>
      <c r="I202" s="1391">
        <f>I203</f>
        <v>125.25</v>
      </c>
      <c r="J202" s="1391">
        <f>J203</f>
        <v>65</v>
      </c>
      <c r="K202" s="1391">
        <f>K203</f>
        <v>2500</v>
      </c>
      <c r="L202" s="1392">
        <f>L203</f>
        <v>2800</v>
      </c>
      <c r="M202" s="1462"/>
      <c r="N202" s="1462"/>
      <c r="O202" s="1462"/>
      <c r="P202" s="1433"/>
      <c r="Q202" s="1433"/>
      <c r="R202" s="1433"/>
      <c r="S202" s="1433"/>
      <c r="T202" s="1433"/>
      <c r="U202" s="1433"/>
      <c r="V202" s="1433"/>
    </row>
    <row r="203" spans="1:22" s="1" customFormat="1" ht="21" x14ac:dyDescent="0.35">
      <c r="A203" s="1179"/>
      <c r="B203" s="1182" t="s">
        <v>454</v>
      </c>
      <c r="C203" s="409"/>
      <c r="D203" s="1217" t="s">
        <v>463</v>
      </c>
      <c r="E203" s="1217" t="s">
        <v>495</v>
      </c>
      <c r="F203" s="1217" t="s">
        <v>185</v>
      </c>
      <c r="G203" s="409" t="s">
        <v>1</v>
      </c>
      <c r="H203" s="1391">
        <v>23803.393</v>
      </c>
      <c r="I203" s="1391">
        <v>125.25</v>
      </c>
      <c r="J203" s="1391">
        <v>65</v>
      </c>
      <c r="K203" s="1391">
        <v>2500</v>
      </c>
      <c r="L203" s="1392">
        <v>2800</v>
      </c>
      <c r="M203" s="1469">
        <v>2500</v>
      </c>
      <c r="N203" s="1469"/>
      <c r="O203" s="1469">
        <v>2800</v>
      </c>
      <c r="P203" s="1433"/>
      <c r="Q203" s="1433"/>
      <c r="R203" s="1433"/>
      <c r="S203" s="1433"/>
      <c r="T203" s="1433"/>
      <c r="U203" s="1433"/>
      <c r="V203" s="1433"/>
    </row>
    <row r="204" spans="1:22" s="1" customFormat="1" ht="26.25" customHeight="1" x14ac:dyDescent="0.35">
      <c r="A204" s="1179"/>
      <c r="B204" s="1393" t="s">
        <v>184</v>
      </c>
      <c r="C204" s="409"/>
      <c r="D204" s="1217" t="s">
        <v>463</v>
      </c>
      <c r="E204" s="1217" t="s">
        <v>495</v>
      </c>
      <c r="F204" s="1217" t="s">
        <v>183</v>
      </c>
      <c r="G204" s="409"/>
      <c r="H204" s="1391">
        <f>H205</f>
        <v>20438.995999999999</v>
      </c>
      <c r="I204" s="1391"/>
      <c r="J204" s="1391"/>
      <c r="K204" s="1391">
        <f>K205</f>
        <v>30558.639999999999</v>
      </c>
      <c r="L204" s="1392">
        <f>L205</f>
        <v>31896.880000000001</v>
      </c>
      <c r="M204" s="1462"/>
      <c r="N204" s="1462"/>
      <c r="O204" s="1462"/>
      <c r="P204" s="1433"/>
      <c r="Q204" s="1433"/>
      <c r="R204" s="1433"/>
      <c r="S204" s="1433"/>
      <c r="T204" s="1433"/>
      <c r="U204" s="1433"/>
      <c r="V204" s="1433"/>
    </row>
    <row r="205" spans="1:22" s="1" customFormat="1" ht="21" x14ac:dyDescent="0.35">
      <c r="A205" s="1179"/>
      <c r="B205" s="1191" t="s">
        <v>454</v>
      </c>
      <c r="C205" s="1193"/>
      <c r="D205" s="1531" t="s">
        <v>463</v>
      </c>
      <c r="E205" s="1531" t="s">
        <v>495</v>
      </c>
      <c r="F205" s="1531" t="s">
        <v>183</v>
      </c>
      <c r="G205" s="1193" t="s">
        <v>1</v>
      </c>
      <c r="H205" s="1391">
        <v>20438.995999999999</v>
      </c>
      <c r="I205" s="1391"/>
      <c r="J205" s="1391"/>
      <c r="K205" s="1391">
        <v>30558.639999999999</v>
      </c>
      <c r="L205" s="1392">
        <v>31896.880000000001</v>
      </c>
      <c r="M205" s="1469">
        <f>30293.64-1000+1265</f>
        <v>30558.639999999999</v>
      </c>
      <c r="N205" s="1469"/>
      <c r="O205" s="1469">
        <f>31505.38-1000+1391.5</f>
        <v>31896.880000000001</v>
      </c>
      <c r="P205" s="1433"/>
      <c r="Q205" s="1433"/>
      <c r="R205" s="1433"/>
      <c r="S205" s="1433"/>
      <c r="T205" s="1433"/>
      <c r="U205" s="1433"/>
      <c r="V205" s="1433"/>
    </row>
    <row r="206" spans="1:22" s="1" customFormat="1" ht="31.5" x14ac:dyDescent="0.35">
      <c r="A206" s="843"/>
      <c r="B206" s="1532" t="s">
        <v>949</v>
      </c>
      <c r="C206" s="409"/>
      <c r="D206" s="1227" t="s">
        <v>463</v>
      </c>
      <c r="E206" s="1227" t="s">
        <v>495</v>
      </c>
      <c r="F206" s="409" t="s">
        <v>952</v>
      </c>
      <c r="G206" s="1511"/>
      <c r="H206" s="1530">
        <f>H210+H212</f>
        <v>0</v>
      </c>
      <c r="I206" s="1375">
        <f>I207+I211</f>
        <v>129377.93000000001</v>
      </c>
      <c r="J206" s="1375">
        <f>J207+J211</f>
        <v>126698.1</v>
      </c>
      <c r="K206" s="1375">
        <f>K211+K215</f>
        <v>1265</v>
      </c>
      <c r="L206" s="1375">
        <f>L211+L215</f>
        <v>1391.5</v>
      </c>
      <c r="M206" s="1462"/>
      <c r="N206" s="1462"/>
      <c r="O206" s="1462"/>
      <c r="P206" s="1433"/>
      <c r="Q206" s="1433"/>
      <c r="R206" s="1433"/>
      <c r="S206" s="1433"/>
      <c r="T206" s="1433"/>
      <c r="U206" s="1433"/>
      <c r="V206" s="1433"/>
    </row>
    <row r="207" spans="1:22" s="1" customFormat="1" ht="21" x14ac:dyDescent="0.35">
      <c r="A207" s="1536"/>
      <c r="B207" s="1533" t="s">
        <v>947</v>
      </c>
      <c r="C207" s="409"/>
      <c r="D207" s="409" t="s">
        <v>463</v>
      </c>
      <c r="E207" s="409" t="s">
        <v>495</v>
      </c>
      <c r="F207" s="1534" t="s">
        <v>953</v>
      </c>
      <c r="G207" s="1513"/>
      <c r="H207" s="1530">
        <f>H208</f>
        <v>0</v>
      </c>
      <c r="I207" s="1391">
        <f t="shared" ref="I207:L209" si="19">I208</f>
        <v>8900</v>
      </c>
      <c r="J207" s="1391">
        <f t="shared" si="19"/>
        <v>8900</v>
      </c>
      <c r="K207" s="1391">
        <f>K208</f>
        <v>880</v>
      </c>
      <c r="L207" s="1392">
        <f>L208</f>
        <v>968</v>
      </c>
      <c r="M207" s="1462">
        <f>M211+M215</f>
        <v>1265</v>
      </c>
      <c r="N207" s="1462"/>
      <c r="O207" s="1462">
        <f>O211+O215</f>
        <v>1391.5</v>
      </c>
      <c r="P207" s="1433"/>
      <c r="Q207" s="1433"/>
      <c r="R207" s="1433"/>
      <c r="S207" s="1433"/>
      <c r="T207" s="1433"/>
      <c r="U207" s="1433"/>
      <c r="V207" s="1433"/>
    </row>
    <row r="208" spans="1:22" s="1" customFormat="1" ht="31.5" x14ac:dyDescent="0.35">
      <c r="A208" s="843"/>
      <c r="B208" s="1535" t="s">
        <v>950</v>
      </c>
      <c r="C208" s="409"/>
      <c r="D208" s="409" t="s">
        <v>463</v>
      </c>
      <c r="E208" s="409" t="s">
        <v>495</v>
      </c>
      <c r="F208" s="1235" t="s">
        <v>954</v>
      </c>
      <c r="G208" s="1514"/>
      <c r="H208" s="1530">
        <f>H210</f>
        <v>0</v>
      </c>
      <c r="I208" s="1391">
        <f t="shared" si="19"/>
        <v>8900</v>
      </c>
      <c r="J208" s="1391">
        <f t="shared" si="19"/>
        <v>8900</v>
      </c>
      <c r="K208" s="1391">
        <f>K211</f>
        <v>880</v>
      </c>
      <c r="L208" s="1392">
        <f>L211</f>
        <v>968</v>
      </c>
      <c r="M208" s="1462"/>
      <c r="N208" s="1462"/>
      <c r="O208" s="1462"/>
      <c r="P208" s="1433"/>
      <c r="Q208" s="1433"/>
      <c r="R208" s="1433"/>
      <c r="S208" s="1433"/>
      <c r="T208" s="1433"/>
      <c r="U208" s="1433"/>
      <c r="V208" s="1433"/>
    </row>
    <row r="209" spans="1:22" s="1" customFormat="1" ht="21" hidden="1" x14ac:dyDescent="0.35">
      <c r="A209" s="1536"/>
      <c r="B209" s="753" t="s">
        <v>948</v>
      </c>
      <c r="C209" s="409"/>
      <c r="D209" s="1217" t="s">
        <v>463</v>
      </c>
      <c r="E209" s="1217" t="s">
        <v>495</v>
      </c>
      <c r="F209" s="1235" t="s">
        <v>954</v>
      </c>
      <c r="G209" s="1235" t="s">
        <v>955</v>
      </c>
      <c r="H209" s="1530"/>
      <c r="I209" s="1391">
        <f t="shared" si="19"/>
        <v>8900</v>
      </c>
      <c r="J209" s="1391">
        <f t="shared" si="19"/>
        <v>8900</v>
      </c>
      <c r="K209" s="1391">
        <f t="shared" si="19"/>
        <v>0</v>
      </c>
      <c r="L209" s="1392">
        <f t="shared" si="19"/>
        <v>0</v>
      </c>
      <c r="M209" s="1462"/>
      <c r="N209" s="1462"/>
      <c r="O209" s="1462"/>
      <c r="P209" s="1433"/>
      <c r="Q209" s="1433"/>
      <c r="R209" s="1433"/>
      <c r="S209" s="1433"/>
      <c r="T209" s="1433"/>
      <c r="U209" s="1433"/>
      <c r="V209" s="1433"/>
    </row>
    <row r="210" spans="1:22" s="1" customFormat="1" ht="21" hidden="1" x14ac:dyDescent="0.35">
      <c r="A210" s="1537"/>
      <c r="B210" s="1182" t="s">
        <v>454</v>
      </c>
      <c r="C210" s="409"/>
      <c r="D210" s="1217" t="s">
        <v>463</v>
      </c>
      <c r="E210" s="1217" t="s">
        <v>495</v>
      </c>
      <c r="F210" s="1235" t="s">
        <v>954</v>
      </c>
      <c r="G210" s="409" t="s">
        <v>1</v>
      </c>
      <c r="H210" s="1530"/>
      <c r="I210" s="1391">
        <v>8900</v>
      </c>
      <c r="J210" s="1391">
        <v>8900</v>
      </c>
      <c r="K210" s="1391">
        <v>0</v>
      </c>
      <c r="L210" s="1392">
        <v>0</v>
      </c>
      <c r="M210" s="1462"/>
      <c r="N210" s="1462"/>
      <c r="O210" s="1462"/>
      <c r="P210" s="1433"/>
      <c r="Q210" s="1433"/>
      <c r="R210" s="1433"/>
      <c r="S210" s="1433"/>
      <c r="T210" s="1433"/>
      <c r="U210" s="1433"/>
      <c r="V210" s="1433"/>
    </row>
    <row r="211" spans="1:22" s="1" customFormat="1" ht="14.5" x14ac:dyDescent="0.35">
      <c r="A211" s="1538"/>
      <c r="B211" s="1182" t="s">
        <v>34</v>
      </c>
      <c r="C211" s="409"/>
      <c r="D211" s="1217" t="s">
        <v>463</v>
      </c>
      <c r="E211" s="1217" t="s">
        <v>495</v>
      </c>
      <c r="F211" s="1235" t="s">
        <v>954</v>
      </c>
      <c r="G211" s="409" t="s">
        <v>1</v>
      </c>
      <c r="H211" s="1530"/>
      <c r="I211" s="1391">
        <f>I212+I217</f>
        <v>120477.93000000001</v>
      </c>
      <c r="J211" s="1391">
        <f>J212+J217</f>
        <v>117798.1</v>
      </c>
      <c r="K211" s="1391">
        <v>880</v>
      </c>
      <c r="L211" s="1392">
        <v>968</v>
      </c>
      <c r="M211" s="1462">
        <f>880</f>
        <v>880</v>
      </c>
      <c r="N211" s="1462"/>
      <c r="O211" s="1462">
        <v>968</v>
      </c>
      <c r="P211" s="1433"/>
      <c r="Q211" s="1433"/>
      <c r="R211" s="1433"/>
      <c r="S211" s="1433"/>
      <c r="T211" s="1433"/>
      <c r="U211" s="1433"/>
      <c r="V211" s="1433"/>
    </row>
    <row r="212" spans="1:22" s="1" customFormat="1" ht="21" x14ac:dyDescent="0.35">
      <c r="A212" s="1538"/>
      <c r="B212" s="1533" t="s">
        <v>951</v>
      </c>
      <c r="C212" s="409"/>
      <c r="D212" s="1217" t="s">
        <v>463</v>
      </c>
      <c r="E212" s="1217" t="s">
        <v>495</v>
      </c>
      <c r="F212" s="1534" t="s">
        <v>956</v>
      </c>
      <c r="G212" s="1513"/>
      <c r="H212" s="1530">
        <f>H213</f>
        <v>0</v>
      </c>
      <c r="I212" s="1391">
        <f>I213+I215</f>
        <v>32789.83</v>
      </c>
      <c r="J212" s="1391">
        <f>J213+J215</f>
        <v>30080</v>
      </c>
      <c r="K212" s="1391">
        <f>K213</f>
        <v>385</v>
      </c>
      <c r="L212" s="1392">
        <f>L213</f>
        <v>423.5</v>
      </c>
      <c r="M212" s="1462"/>
      <c r="N212" s="1462"/>
      <c r="O212" s="1462"/>
      <c r="P212" s="1433"/>
      <c r="Q212" s="1433"/>
      <c r="R212" s="1433"/>
      <c r="S212" s="1433"/>
      <c r="T212" s="1433"/>
      <c r="U212" s="1433"/>
      <c r="V212" s="1433"/>
    </row>
    <row r="213" spans="1:22" s="1" customFormat="1" ht="31.5" x14ac:dyDescent="0.35">
      <c r="A213" s="1537"/>
      <c r="B213" s="753" t="s">
        <v>950</v>
      </c>
      <c r="C213" s="409"/>
      <c r="D213" s="408" t="s">
        <v>463</v>
      </c>
      <c r="E213" s="408" t="s">
        <v>495</v>
      </c>
      <c r="F213" s="1235" t="s">
        <v>957</v>
      </c>
      <c r="G213" s="1514"/>
      <c r="H213" s="1530">
        <f>H215</f>
        <v>0</v>
      </c>
      <c r="I213" s="1391">
        <f>I214</f>
        <v>31489.83</v>
      </c>
      <c r="J213" s="1391">
        <f>J214</f>
        <v>28780</v>
      </c>
      <c r="K213" s="1391">
        <f>K215</f>
        <v>385</v>
      </c>
      <c r="L213" s="1392">
        <f>L215</f>
        <v>423.5</v>
      </c>
      <c r="M213" s="1462"/>
      <c r="N213" s="1462"/>
      <c r="O213" s="1462"/>
      <c r="P213" s="1433"/>
      <c r="Q213" s="1433"/>
      <c r="R213" s="1433"/>
      <c r="S213" s="1433"/>
      <c r="T213" s="1433"/>
      <c r="U213" s="1433"/>
      <c r="V213" s="1433"/>
    </row>
    <row r="214" spans="1:22" s="1" customFormat="1" ht="21" hidden="1" x14ac:dyDescent="0.35">
      <c r="A214" s="1537"/>
      <c r="B214" s="753" t="s">
        <v>948</v>
      </c>
      <c r="C214" s="409"/>
      <c r="D214" s="1217" t="s">
        <v>463</v>
      </c>
      <c r="E214" s="1217" t="s">
        <v>495</v>
      </c>
      <c r="F214" s="1235" t="s">
        <v>957</v>
      </c>
      <c r="G214" s="1235" t="s">
        <v>955</v>
      </c>
      <c r="H214" s="1530"/>
      <c r="I214" s="1391">
        <v>31489.83</v>
      </c>
      <c r="J214" s="1391">
        <v>28780</v>
      </c>
      <c r="K214" s="1391"/>
      <c r="L214" s="1392"/>
      <c r="M214" s="1462"/>
      <c r="N214" s="1462"/>
      <c r="O214" s="1462"/>
      <c r="P214" s="1433"/>
      <c r="Q214" s="1433"/>
      <c r="R214" s="1433"/>
      <c r="S214" s="1433"/>
      <c r="T214" s="1433"/>
      <c r="U214" s="1433"/>
      <c r="V214" s="1433"/>
    </row>
    <row r="215" spans="1:22" s="1" customFormat="1" ht="21" x14ac:dyDescent="0.35">
      <c r="A215" s="1537"/>
      <c r="B215" s="1182" t="s">
        <v>454</v>
      </c>
      <c r="C215" s="409"/>
      <c r="D215" s="409" t="s">
        <v>463</v>
      </c>
      <c r="E215" s="409" t="s">
        <v>495</v>
      </c>
      <c r="F215" s="1235" t="s">
        <v>957</v>
      </c>
      <c r="G215" s="409" t="s">
        <v>1</v>
      </c>
      <c r="H215" s="1530"/>
      <c r="I215" s="1391">
        <f>I216</f>
        <v>1300</v>
      </c>
      <c r="J215" s="1391">
        <f>J216</f>
        <v>1300</v>
      </c>
      <c r="K215" s="1391">
        <v>385</v>
      </c>
      <c r="L215" s="1392">
        <v>423.5</v>
      </c>
      <c r="M215" s="1462">
        <v>385</v>
      </c>
      <c r="N215" s="1462"/>
      <c r="O215" s="1462">
        <v>423.5</v>
      </c>
      <c r="P215" s="1433"/>
      <c r="Q215" s="1433"/>
      <c r="R215" s="1433"/>
      <c r="S215" s="1433"/>
      <c r="T215" s="1433"/>
      <c r="U215" s="1433"/>
      <c r="V215" s="1433"/>
    </row>
    <row r="216" spans="1:22" s="1" customFormat="1" ht="21" hidden="1" x14ac:dyDescent="0.35">
      <c r="A216" s="1404"/>
      <c r="B216" s="1182" t="s">
        <v>454</v>
      </c>
      <c r="C216" s="409"/>
      <c r="D216" s="1217" t="s">
        <v>463</v>
      </c>
      <c r="E216" s="1217" t="s">
        <v>495</v>
      </c>
      <c r="F216" s="1217" t="s">
        <v>512</v>
      </c>
      <c r="G216" s="409" t="s">
        <v>1</v>
      </c>
      <c r="H216" s="1391"/>
      <c r="I216" s="1391">
        <v>1300</v>
      </c>
      <c r="J216" s="1391">
        <v>1300</v>
      </c>
      <c r="K216" s="1391"/>
      <c r="L216" s="1392"/>
      <c r="M216" s="1462"/>
      <c r="N216" s="1462"/>
      <c r="O216" s="1462"/>
      <c r="P216" s="1433"/>
      <c r="Q216" s="1433"/>
      <c r="R216" s="1433"/>
      <c r="S216" s="1433"/>
      <c r="T216" s="1433"/>
      <c r="U216" s="1433"/>
      <c r="V216" s="1433"/>
    </row>
    <row r="217" spans="1:22" s="1" customFormat="1" ht="21" hidden="1" x14ac:dyDescent="0.35">
      <c r="A217" s="1179"/>
      <c r="B217" s="1247" t="s">
        <v>511</v>
      </c>
      <c r="C217" s="1227"/>
      <c r="D217" s="1248" t="s">
        <v>463</v>
      </c>
      <c r="E217" s="1248" t="s">
        <v>495</v>
      </c>
      <c r="F217" s="1248" t="s">
        <v>510</v>
      </c>
      <c r="G217" s="1248"/>
      <c r="H217" s="1409">
        <f>H218+H222</f>
        <v>0</v>
      </c>
      <c r="I217" s="1409">
        <f>I218+I222</f>
        <v>87688.1</v>
      </c>
      <c r="J217" s="1409">
        <f>J218+J222</f>
        <v>87718.1</v>
      </c>
      <c r="K217" s="1409">
        <f>K218+K222</f>
        <v>0</v>
      </c>
      <c r="L217" s="1410">
        <f>L218+L222</f>
        <v>0</v>
      </c>
      <c r="M217" s="1462"/>
      <c r="N217" s="1462"/>
      <c r="O217" s="1462"/>
      <c r="P217" s="1433"/>
      <c r="Q217" s="1433"/>
      <c r="R217" s="1433"/>
      <c r="S217" s="1433"/>
      <c r="T217" s="1433"/>
      <c r="U217" s="1433"/>
      <c r="V217" s="1433"/>
    </row>
    <row r="218" spans="1:22" s="1" customFormat="1" ht="14.5" hidden="1" x14ac:dyDescent="0.35">
      <c r="A218" s="842"/>
      <c r="B218" s="1224" t="s">
        <v>351</v>
      </c>
      <c r="C218" s="1217"/>
      <c r="D218" s="1217" t="s">
        <v>463</v>
      </c>
      <c r="E218" s="1217" t="s">
        <v>495</v>
      </c>
      <c r="F218" s="1217" t="s">
        <v>508</v>
      </c>
      <c r="G218" s="1217"/>
      <c r="H218" s="1391">
        <f>H219+H220+H221</f>
        <v>0</v>
      </c>
      <c r="I218" s="1391">
        <f>I219+I220+I221</f>
        <v>87058.1</v>
      </c>
      <c r="J218" s="1391">
        <f>J219+J220+J221</f>
        <v>87058.1</v>
      </c>
      <c r="K218" s="1391">
        <f>K219+K220+K221</f>
        <v>0</v>
      </c>
      <c r="L218" s="1392">
        <f>L219+L220+L221</f>
        <v>0</v>
      </c>
      <c r="M218" s="1462"/>
      <c r="N218" s="1462"/>
      <c r="O218" s="1462"/>
      <c r="P218" s="1433"/>
      <c r="Q218" s="1433"/>
      <c r="R218" s="1433"/>
      <c r="S218" s="1433"/>
      <c r="T218" s="1433"/>
      <c r="U218" s="1433"/>
      <c r="V218" s="1433"/>
    </row>
    <row r="219" spans="1:22" s="1" customFormat="1" ht="14.5" hidden="1" x14ac:dyDescent="0.35">
      <c r="A219" s="1179"/>
      <c r="B219" s="1182" t="s">
        <v>458</v>
      </c>
      <c r="C219" s="409"/>
      <c r="D219" s="1217" t="s">
        <v>463</v>
      </c>
      <c r="E219" s="1217" t="s">
        <v>495</v>
      </c>
      <c r="F219" s="1217" t="s">
        <v>508</v>
      </c>
      <c r="G219" s="409" t="s">
        <v>255</v>
      </c>
      <c r="H219" s="1391"/>
      <c r="I219" s="1391">
        <v>49197.66</v>
      </c>
      <c r="J219" s="1391">
        <v>49197.66</v>
      </c>
      <c r="K219" s="1391"/>
      <c r="L219" s="1392"/>
      <c r="M219" s="1462"/>
      <c r="N219" s="1462"/>
      <c r="O219" s="1462"/>
      <c r="P219" s="1433"/>
      <c r="Q219" s="1433"/>
      <c r="R219" s="1433"/>
      <c r="S219" s="1433"/>
      <c r="T219" s="1433"/>
      <c r="U219" s="1433"/>
      <c r="V219" s="1433"/>
    </row>
    <row r="220" spans="1:22" s="1" customFormat="1" ht="21" hidden="1" x14ac:dyDescent="0.35">
      <c r="A220" s="1179"/>
      <c r="B220" s="1182" t="s">
        <v>454</v>
      </c>
      <c r="C220" s="409"/>
      <c r="D220" s="1217" t="s">
        <v>463</v>
      </c>
      <c r="E220" s="1217" t="s">
        <v>495</v>
      </c>
      <c r="F220" s="1217" t="s">
        <v>508</v>
      </c>
      <c r="G220" s="409" t="s">
        <v>1</v>
      </c>
      <c r="H220" s="1391"/>
      <c r="I220" s="1391">
        <v>37820.44</v>
      </c>
      <c r="J220" s="1391">
        <v>37820.44</v>
      </c>
      <c r="K220" s="1391"/>
      <c r="L220" s="1392"/>
      <c r="M220" s="1462"/>
      <c r="N220" s="1462"/>
      <c r="O220" s="1462"/>
      <c r="P220" s="1433"/>
      <c r="Q220" s="1433"/>
      <c r="R220" s="1433"/>
      <c r="S220" s="1433"/>
      <c r="T220" s="1433"/>
      <c r="U220" s="1433"/>
      <c r="V220" s="1433"/>
    </row>
    <row r="221" spans="1:22" s="1" customFormat="1" ht="14.5" hidden="1" x14ac:dyDescent="0.35">
      <c r="A221" s="1179"/>
      <c r="B221" s="1182" t="s">
        <v>457</v>
      </c>
      <c r="C221" s="409"/>
      <c r="D221" s="1217" t="s">
        <v>463</v>
      </c>
      <c r="E221" s="1217" t="s">
        <v>495</v>
      </c>
      <c r="F221" s="1217" t="s">
        <v>508</v>
      </c>
      <c r="G221" s="409" t="s">
        <v>91</v>
      </c>
      <c r="H221" s="1391"/>
      <c r="I221" s="1391">
        <v>40</v>
      </c>
      <c r="J221" s="1391">
        <v>40</v>
      </c>
      <c r="K221" s="1391"/>
      <c r="L221" s="1392"/>
      <c r="M221" s="1462"/>
      <c r="N221" s="1462"/>
      <c r="O221" s="1462"/>
      <c r="P221" s="1433"/>
      <c r="Q221" s="1433"/>
      <c r="R221" s="1433"/>
      <c r="S221" s="1433"/>
      <c r="T221" s="1433"/>
      <c r="U221" s="1433"/>
      <c r="V221" s="1433"/>
    </row>
    <row r="222" spans="1:22" s="1" customFormat="1" ht="21" hidden="1" x14ac:dyDescent="0.35">
      <c r="A222" s="842"/>
      <c r="B222" s="1180" t="s">
        <v>509</v>
      </c>
      <c r="C222" s="1217"/>
      <c r="D222" s="1217" t="s">
        <v>463</v>
      </c>
      <c r="E222" s="1217" t="s">
        <v>495</v>
      </c>
      <c r="F222" s="1217" t="s">
        <v>508</v>
      </c>
      <c r="G222" s="1217"/>
      <c r="H222" s="1391">
        <f>H223</f>
        <v>0</v>
      </c>
      <c r="I222" s="1391">
        <f>I223</f>
        <v>630</v>
      </c>
      <c r="J222" s="1391">
        <f>J223</f>
        <v>660</v>
      </c>
      <c r="K222" s="1391">
        <f>K223</f>
        <v>0</v>
      </c>
      <c r="L222" s="1392">
        <f>L223</f>
        <v>0</v>
      </c>
      <c r="M222" s="1462"/>
      <c r="N222" s="1462"/>
      <c r="O222" s="1462"/>
      <c r="P222" s="1433"/>
      <c r="Q222" s="1433"/>
      <c r="R222" s="1433"/>
      <c r="S222" s="1433"/>
      <c r="T222" s="1433"/>
      <c r="U222" s="1433"/>
      <c r="V222" s="1433"/>
    </row>
    <row r="223" spans="1:22" s="1" customFormat="1" ht="21" hidden="1" x14ac:dyDescent="0.35">
      <c r="A223" s="1179"/>
      <c r="B223" s="1182" t="s">
        <v>454</v>
      </c>
      <c r="C223" s="409"/>
      <c r="D223" s="1217" t="s">
        <v>463</v>
      </c>
      <c r="E223" s="1217" t="s">
        <v>495</v>
      </c>
      <c r="F223" s="1217" t="s">
        <v>508</v>
      </c>
      <c r="G223" s="409" t="s">
        <v>1</v>
      </c>
      <c r="H223" s="1391"/>
      <c r="I223" s="1391">
        <v>630</v>
      </c>
      <c r="J223" s="1391">
        <v>660</v>
      </c>
      <c r="K223" s="1391"/>
      <c r="L223" s="1392"/>
      <c r="M223" s="1462"/>
      <c r="N223" s="1462"/>
      <c r="O223" s="1462"/>
      <c r="P223" s="1433"/>
      <c r="Q223" s="1433"/>
      <c r="R223" s="1433"/>
      <c r="S223" s="1433"/>
      <c r="T223" s="1433"/>
      <c r="U223" s="1433"/>
      <c r="V223" s="1433"/>
    </row>
    <row r="224" spans="1:22" s="1" customFormat="1" ht="14.5" x14ac:dyDescent="0.35">
      <c r="A224" s="1179"/>
      <c r="B224" s="752" t="s">
        <v>348</v>
      </c>
      <c r="C224" s="1177"/>
      <c r="D224" s="408" t="s">
        <v>506</v>
      </c>
      <c r="E224" s="408" t="s">
        <v>459</v>
      </c>
      <c r="F224" s="408"/>
      <c r="G224" s="408"/>
      <c r="H224" s="1375">
        <f t="shared" ref="H224:L226" si="20">H225</f>
        <v>284</v>
      </c>
      <c r="I224" s="1375">
        <f t="shared" si="20"/>
        <v>740</v>
      </c>
      <c r="J224" s="1375">
        <f t="shared" si="20"/>
        <v>740</v>
      </c>
      <c r="K224" s="1375">
        <f t="shared" si="20"/>
        <v>362</v>
      </c>
      <c r="L224" s="1394">
        <f t="shared" si="20"/>
        <v>377</v>
      </c>
      <c r="M224" s="1462"/>
      <c r="N224" s="1462"/>
      <c r="O224" s="1462"/>
      <c r="P224" s="1433"/>
      <c r="Q224" s="1433"/>
      <c r="R224" s="1433"/>
      <c r="S224" s="1433"/>
      <c r="T224" s="1433"/>
      <c r="U224" s="1433"/>
      <c r="V224" s="1433"/>
    </row>
    <row r="225" spans="1:22" s="1" customFormat="1" ht="14.5" x14ac:dyDescent="0.35">
      <c r="A225" s="842"/>
      <c r="B225" s="752" t="s">
        <v>964</v>
      </c>
      <c r="C225" s="1177"/>
      <c r="D225" s="408" t="s">
        <v>506</v>
      </c>
      <c r="E225" s="408" t="s">
        <v>506</v>
      </c>
      <c r="F225" s="408"/>
      <c r="G225" s="408"/>
      <c r="H225" s="1375">
        <f t="shared" si="20"/>
        <v>284</v>
      </c>
      <c r="I225" s="1375">
        <f t="shared" si="20"/>
        <v>740</v>
      </c>
      <c r="J225" s="1375">
        <f t="shared" si="20"/>
        <v>740</v>
      </c>
      <c r="K225" s="1375">
        <f t="shared" si="20"/>
        <v>362</v>
      </c>
      <c r="L225" s="1394">
        <f t="shared" si="20"/>
        <v>377</v>
      </c>
      <c r="M225" s="1462"/>
      <c r="N225" s="1462"/>
      <c r="O225" s="1462"/>
      <c r="P225" s="1433"/>
      <c r="Q225" s="1433"/>
      <c r="R225" s="1433"/>
      <c r="S225" s="1433"/>
      <c r="T225" s="1433"/>
      <c r="U225" s="1433"/>
      <c r="V225" s="1433"/>
    </row>
    <row r="226" spans="1:22" s="1" customFormat="1" ht="24.75" customHeight="1" x14ac:dyDescent="0.35">
      <c r="A226" s="1179"/>
      <c r="B226" s="1393" t="s">
        <v>941</v>
      </c>
      <c r="C226" s="1180"/>
      <c r="D226" s="409" t="s">
        <v>506</v>
      </c>
      <c r="E226" s="409" t="s">
        <v>506</v>
      </c>
      <c r="F226" s="409" t="s">
        <v>273</v>
      </c>
      <c r="G226" s="409"/>
      <c r="H226" s="1391">
        <f t="shared" si="20"/>
        <v>284</v>
      </c>
      <c r="I226" s="1391">
        <f t="shared" si="20"/>
        <v>740</v>
      </c>
      <c r="J226" s="1391">
        <f t="shared" si="20"/>
        <v>740</v>
      </c>
      <c r="K226" s="1391">
        <f t="shared" si="20"/>
        <v>362</v>
      </c>
      <c r="L226" s="1392">
        <f t="shared" si="20"/>
        <v>377</v>
      </c>
      <c r="M226" s="1462"/>
      <c r="N226" s="1462"/>
      <c r="O226" s="1462"/>
      <c r="P226" s="1433"/>
      <c r="Q226" s="1433"/>
      <c r="R226" s="1433"/>
      <c r="S226" s="1433"/>
      <c r="T226" s="1433"/>
      <c r="U226" s="1433"/>
      <c r="V226" s="1433"/>
    </row>
    <row r="227" spans="1:22" s="1" customFormat="1" ht="21" x14ac:dyDescent="0.35">
      <c r="A227" s="1179"/>
      <c r="B227" s="1393" t="s">
        <v>909</v>
      </c>
      <c r="C227" s="1180"/>
      <c r="D227" s="409" t="s">
        <v>506</v>
      </c>
      <c r="E227" s="409" t="s">
        <v>506</v>
      </c>
      <c r="F227" s="409" t="s">
        <v>271</v>
      </c>
      <c r="G227" s="409"/>
      <c r="H227" s="1391">
        <f>H228+H231</f>
        <v>284</v>
      </c>
      <c r="I227" s="1391">
        <f>I228+I231</f>
        <v>740</v>
      </c>
      <c r="J227" s="1391">
        <f>J228+J231</f>
        <v>740</v>
      </c>
      <c r="K227" s="1391">
        <f>K228+K231</f>
        <v>362</v>
      </c>
      <c r="L227" s="1392">
        <f>L228+L231</f>
        <v>377</v>
      </c>
      <c r="M227" s="1462"/>
      <c r="N227" s="1462"/>
      <c r="O227" s="1462"/>
      <c r="P227" s="1433"/>
      <c r="Q227" s="1433"/>
      <c r="R227" s="1433"/>
      <c r="S227" s="1433"/>
      <c r="T227" s="1433"/>
      <c r="U227" s="1433"/>
      <c r="V227" s="1433"/>
    </row>
    <row r="228" spans="1:22" s="1" customFormat="1" ht="42" hidden="1" x14ac:dyDescent="0.35">
      <c r="A228" s="1179"/>
      <c r="B228" s="1205" t="s">
        <v>270</v>
      </c>
      <c r="C228" s="1180"/>
      <c r="D228" s="409" t="s">
        <v>506</v>
      </c>
      <c r="E228" s="409" t="s">
        <v>506</v>
      </c>
      <c r="F228" s="409" t="s">
        <v>267</v>
      </c>
      <c r="G228" s="409"/>
      <c r="H228" s="1391">
        <f t="shared" ref="H228:L229" si="21">H229</f>
        <v>0</v>
      </c>
      <c r="I228" s="1391">
        <f t="shared" si="21"/>
        <v>320</v>
      </c>
      <c r="J228" s="1391">
        <f t="shared" si="21"/>
        <v>320</v>
      </c>
      <c r="K228" s="1391">
        <f t="shared" si="21"/>
        <v>0</v>
      </c>
      <c r="L228" s="1392">
        <f t="shared" si="21"/>
        <v>0</v>
      </c>
      <c r="M228" s="1462"/>
      <c r="N228" s="1462"/>
      <c r="O228" s="1462"/>
      <c r="P228" s="1433"/>
      <c r="Q228" s="1433"/>
      <c r="R228" s="1433"/>
      <c r="S228" s="1433"/>
      <c r="T228" s="1433"/>
      <c r="U228" s="1433"/>
      <c r="V228" s="1433"/>
    </row>
    <row r="229" spans="1:22" s="1" customFormat="1" ht="21" hidden="1" x14ac:dyDescent="0.35">
      <c r="A229" s="1233"/>
      <c r="B229" s="1250" t="s">
        <v>4</v>
      </c>
      <c r="C229" s="1180"/>
      <c r="D229" s="409" t="s">
        <v>506</v>
      </c>
      <c r="E229" s="409" t="s">
        <v>506</v>
      </c>
      <c r="F229" s="409" t="s">
        <v>507</v>
      </c>
      <c r="G229" s="409"/>
      <c r="H229" s="1391">
        <f t="shared" si="21"/>
        <v>0</v>
      </c>
      <c r="I229" s="1391">
        <f t="shared" si="21"/>
        <v>320</v>
      </c>
      <c r="J229" s="1391">
        <f t="shared" si="21"/>
        <v>320</v>
      </c>
      <c r="K229" s="1391">
        <f t="shared" si="21"/>
        <v>0</v>
      </c>
      <c r="L229" s="1392">
        <f t="shared" si="21"/>
        <v>0</v>
      </c>
      <c r="M229" s="1462"/>
      <c r="N229" s="1462"/>
      <c r="O229" s="1462"/>
      <c r="P229" s="1433"/>
      <c r="Q229" s="1433"/>
      <c r="R229" s="1433"/>
      <c r="S229" s="1433"/>
      <c r="T229" s="1433"/>
      <c r="U229" s="1433"/>
      <c r="V229" s="1433"/>
    </row>
    <row r="230" spans="1:22" s="1" customFormat="1" ht="21" hidden="1" x14ac:dyDescent="0.35">
      <c r="A230" s="1233"/>
      <c r="B230" s="1197" t="s">
        <v>268</v>
      </c>
      <c r="C230" s="1183"/>
      <c r="D230" s="409" t="s">
        <v>506</v>
      </c>
      <c r="E230" s="409" t="s">
        <v>506</v>
      </c>
      <c r="F230" s="409" t="s">
        <v>507</v>
      </c>
      <c r="G230" s="409" t="s">
        <v>1</v>
      </c>
      <c r="H230" s="1391"/>
      <c r="I230" s="1391">
        <v>320</v>
      </c>
      <c r="J230" s="1391">
        <v>320</v>
      </c>
      <c r="K230" s="1391"/>
      <c r="L230" s="1392"/>
      <c r="M230" s="1462"/>
      <c r="N230" s="1462"/>
      <c r="O230" s="1462"/>
      <c r="P230" s="1433"/>
      <c r="Q230" s="1433"/>
      <c r="R230" s="1433"/>
      <c r="S230" s="1433"/>
      <c r="T230" s="1433"/>
      <c r="U230" s="1433"/>
      <c r="V230" s="1433"/>
    </row>
    <row r="231" spans="1:22" s="1" customFormat="1" ht="21" x14ac:dyDescent="0.35">
      <c r="A231" s="1233"/>
      <c r="B231" s="753" t="s">
        <v>268</v>
      </c>
      <c r="C231" s="1183"/>
      <c r="D231" s="409" t="s">
        <v>506</v>
      </c>
      <c r="E231" s="409" t="s">
        <v>506</v>
      </c>
      <c r="F231" s="409" t="s">
        <v>267</v>
      </c>
      <c r="G231" s="409"/>
      <c r="H231" s="1391">
        <f t="shared" ref="H231:L232" si="22">H232</f>
        <v>284</v>
      </c>
      <c r="I231" s="1391">
        <f t="shared" si="22"/>
        <v>420</v>
      </c>
      <c r="J231" s="1391">
        <f t="shared" si="22"/>
        <v>420</v>
      </c>
      <c r="K231" s="1391">
        <f t="shared" si="22"/>
        <v>362</v>
      </c>
      <c r="L231" s="1392">
        <f t="shared" si="22"/>
        <v>377</v>
      </c>
      <c r="M231" s="1462"/>
      <c r="N231" s="1462"/>
      <c r="O231" s="1462"/>
      <c r="P231" s="1433"/>
      <c r="Q231" s="1433"/>
      <c r="R231" s="1433"/>
      <c r="S231" s="1433"/>
      <c r="T231" s="1433"/>
      <c r="U231" s="1433"/>
      <c r="V231" s="1433"/>
    </row>
    <row r="232" spans="1:22" s="1" customFormat="1" ht="14.5" x14ac:dyDescent="0.35">
      <c r="A232" s="1179"/>
      <c r="B232" s="1393" t="s">
        <v>266</v>
      </c>
      <c r="C232" s="1180"/>
      <c r="D232" s="409" t="s">
        <v>506</v>
      </c>
      <c r="E232" s="409" t="s">
        <v>506</v>
      </c>
      <c r="F232" s="409" t="s">
        <v>263</v>
      </c>
      <c r="G232" s="409"/>
      <c r="H232" s="1391">
        <f t="shared" si="22"/>
        <v>284</v>
      </c>
      <c r="I232" s="1391">
        <f t="shared" si="22"/>
        <v>420</v>
      </c>
      <c r="J232" s="1391">
        <f t="shared" si="22"/>
        <v>420</v>
      </c>
      <c r="K232" s="1391">
        <f t="shared" si="22"/>
        <v>362</v>
      </c>
      <c r="L232" s="1392">
        <f t="shared" si="22"/>
        <v>377</v>
      </c>
      <c r="M232" s="1462"/>
      <c r="N232" s="1462"/>
      <c r="O232" s="1462"/>
      <c r="P232" s="1433"/>
      <c r="Q232" s="1433"/>
      <c r="R232" s="1433"/>
      <c r="S232" s="1433"/>
      <c r="T232" s="1433"/>
      <c r="U232" s="1433"/>
      <c r="V232" s="1433"/>
    </row>
    <row r="233" spans="1:22" s="1" customFormat="1" ht="21" x14ac:dyDescent="0.35">
      <c r="A233" s="1179"/>
      <c r="B233" s="1182" t="s">
        <v>454</v>
      </c>
      <c r="C233" s="1183"/>
      <c r="D233" s="409" t="s">
        <v>506</v>
      </c>
      <c r="E233" s="409" t="s">
        <v>506</v>
      </c>
      <c r="F233" s="409" t="s">
        <v>263</v>
      </c>
      <c r="G233" s="409" t="s">
        <v>1</v>
      </c>
      <c r="H233" s="1391">
        <v>284</v>
      </c>
      <c r="I233" s="1391">
        <v>420</v>
      </c>
      <c r="J233" s="1391">
        <v>420</v>
      </c>
      <c r="K233" s="1391">
        <v>362</v>
      </c>
      <c r="L233" s="1392">
        <v>377</v>
      </c>
      <c r="M233" s="1469">
        <v>362</v>
      </c>
      <c r="N233" s="1469"/>
      <c r="O233" s="1469">
        <v>377</v>
      </c>
      <c r="P233" s="1433"/>
      <c r="Q233" s="1433"/>
      <c r="R233" s="1433"/>
      <c r="S233" s="1433"/>
      <c r="T233" s="1433"/>
      <c r="U233" s="1433"/>
      <c r="V233" s="1433"/>
    </row>
    <row r="234" spans="1:22" s="1" customFormat="1" ht="14.5" x14ac:dyDescent="0.35">
      <c r="A234" s="1195"/>
      <c r="B234" s="1377" t="s">
        <v>460</v>
      </c>
      <c r="C234" s="1174"/>
      <c r="D234" s="1175" t="s">
        <v>453</v>
      </c>
      <c r="E234" s="1175" t="s">
        <v>459</v>
      </c>
      <c r="F234" s="1175"/>
      <c r="G234" s="1175"/>
      <c r="H234" s="1378">
        <f>H235+H250</f>
        <v>8198.5</v>
      </c>
      <c r="I234" s="1378">
        <f>I235+I250</f>
        <v>36399.550000000003</v>
      </c>
      <c r="J234" s="1378">
        <f>J235+J250</f>
        <v>36787.500000000007</v>
      </c>
      <c r="K234" s="1378">
        <f>K235+K250</f>
        <v>14478.74</v>
      </c>
      <c r="L234" s="1379">
        <f>L235+L250</f>
        <v>15056.970000000001</v>
      </c>
      <c r="M234" s="1462"/>
      <c r="N234" s="1462"/>
      <c r="O234" s="1462"/>
      <c r="P234" s="1433"/>
      <c r="Q234" s="1433"/>
      <c r="R234" s="1433"/>
      <c r="S234" s="1433"/>
      <c r="T234" s="1433"/>
      <c r="U234" s="1433"/>
      <c r="V234" s="1433"/>
    </row>
    <row r="235" spans="1:22" s="1" customFormat="1" ht="14.5" x14ac:dyDescent="0.35">
      <c r="A235" s="1179"/>
      <c r="B235" s="752" t="s">
        <v>87</v>
      </c>
      <c r="C235" s="1177"/>
      <c r="D235" s="408" t="s">
        <v>453</v>
      </c>
      <c r="E235" s="408" t="s">
        <v>456</v>
      </c>
      <c r="F235" s="408"/>
      <c r="G235" s="408"/>
      <c r="H235" s="1375">
        <f t="shared" ref="H235:L238" si="23">H236</f>
        <v>6960</v>
      </c>
      <c r="I235" s="1375">
        <f t="shared" si="23"/>
        <v>34899.550000000003</v>
      </c>
      <c r="J235" s="1375">
        <f t="shared" si="23"/>
        <v>35187.500000000007</v>
      </c>
      <c r="K235" s="1375">
        <f>K236+K243</f>
        <v>11461.34</v>
      </c>
      <c r="L235" s="1394">
        <f>L236+L243</f>
        <v>11718.970000000001</v>
      </c>
      <c r="M235" s="1469">
        <f>M240+M241+M242+M247+M249+M255</f>
        <v>14478.739999999998</v>
      </c>
      <c r="N235" s="1462"/>
      <c r="O235" s="1469">
        <f>O240+O241+O242+O247+O249+O255</f>
        <v>15056.97</v>
      </c>
      <c r="P235" s="1433"/>
      <c r="Q235" s="1433"/>
      <c r="R235" s="1433"/>
      <c r="S235" s="1433"/>
      <c r="T235" s="1433"/>
      <c r="U235" s="1433"/>
      <c r="V235" s="1433"/>
    </row>
    <row r="236" spans="1:22" s="1" customFormat="1" ht="21" customHeight="1" x14ac:dyDescent="0.35">
      <c r="A236" s="1179"/>
      <c r="B236" s="1393" t="s">
        <v>941</v>
      </c>
      <c r="C236" s="1180"/>
      <c r="D236" s="409" t="s">
        <v>453</v>
      </c>
      <c r="E236" s="409" t="s">
        <v>456</v>
      </c>
      <c r="F236" s="409" t="s">
        <v>273</v>
      </c>
      <c r="G236" s="409"/>
      <c r="H236" s="1391">
        <f t="shared" si="23"/>
        <v>6960</v>
      </c>
      <c r="I236" s="1391">
        <f t="shared" si="23"/>
        <v>34899.550000000003</v>
      </c>
      <c r="J236" s="1391">
        <f t="shared" si="23"/>
        <v>35187.500000000007</v>
      </c>
      <c r="K236" s="1391">
        <f t="shared" si="23"/>
        <v>9507.74</v>
      </c>
      <c r="L236" s="1392">
        <f t="shared" si="23"/>
        <v>9765.3700000000008</v>
      </c>
      <c r="M236" s="1462"/>
      <c r="N236" s="1462"/>
      <c r="O236" s="1462"/>
      <c r="P236" s="1433"/>
      <c r="Q236" s="1433"/>
      <c r="R236" s="1433"/>
      <c r="S236" s="1433"/>
      <c r="T236" s="1433"/>
      <c r="U236" s="1433"/>
      <c r="V236" s="1433"/>
    </row>
    <row r="237" spans="1:22" s="1" customFormat="1" ht="31.5" x14ac:dyDescent="0.35">
      <c r="A237" s="842"/>
      <c r="B237" s="1393" t="s">
        <v>261</v>
      </c>
      <c r="C237" s="1180"/>
      <c r="D237" s="409" t="s">
        <v>453</v>
      </c>
      <c r="E237" s="409" t="s">
        <v>456</v>
      </c>
      <c r="F237" s="409" t="s">
        <v>260</v>
      </c>
      <c r="G237" s="409"/>
      <c r="H237" s="1391">
        <f t="shared" si="23"/>
        <v>6960</v>
      </c>
      <c r="I237" s="1391">
        <f t="shared" si="23"/>
        <v>34899.550000000003</v>
      </c>
      <c r="J237" s="1391">
        <f t="shared" si="23"/>
        <v>35187.500000000007</v>
      </c>
      <c r="K237" s="1391">
        <f t="shared" si="23"/>
        <v>9507.74</v>
      </c>
      <c r="L237" s="1392">
        <f>L238</f>
        <v>9765.3700000000008</v>
      </c>
      <c r="M237" s="1462"/>
      <c r="N237" s="1462"/>
      <c r="O237" s="1462"/>
      <c r="P237" s="1433"/>
      <c r="Q237" s="1433"/>
      <c r="R237" s="1433"/>
      <c r="S237" s="1433"/>
      <c r="T237" s="1433"/>
      <c r="U237" s="1433"/>
      <c r="V237" s="1433"/>
    </row>
    <row r="238" spans="1:22" s="1" customFormat="1" ht="13.5" customHeight="1" x14ac:dyDescent="0.35">
      <c r="A238" s="842"/>
      <c r="B238" s="1197" t="s">
        <v>259</v>
      </c>
      <c r="C238" s="1180"/>
      <c r="D238" s="409" t="s">
        <v>453</v>
      </c>
      <c r="E238" s="409" t="s">
        <v>456</v>
      </c>
      <c r="F238" s="409" t="s">
        <v>258</v>
      </c>
      <c r="G238" s="409"/>
      <c r="H238" s="1391">
        <f t="shared" si="23"/>
        <v>6960</v>
      </c>
      <c r="I238" s="1391">
        <f t="shared" si="23"/>
        <v>34899.550000000003</v>
      </c>
      <c r="J238" s="1391">
        <f t="shared" si="23"/>
        <v>35187.500000000007</v>
      </c>
      <c r="K238" s="1391">
        <f t="shared" si="23"/>
        <v>9507.74</v>
      </c>
      <c r="L238" s="1392">
        <f t="shared" si="23"/>
        <v>9765.3700000000008</v>
      </c>
      <c r="M238" s="1462"/>
      <c r="N238" s="1462"/>
      <c r="O238" s="1462"/>
      <c r="P238" s="1433"/>
      <c r="Q238" s="1433"/>
      <c r="R238" s="1433"/>
      <c r="S238" s="1433"/>
      <c r="T238" s="1433"/>
      <c r="U238" s="1433"/>
      <c r="V238" s="1433"/>
    </row>
    <row r="239" spans="1:22" s="1" customFormat="1" ht="13.5" customHeight="1" x14ac:dyDescent="0.35">
      <c r="A239" s="842"/>
      <c r="B239" s="753" t="s">
        <v>351</v>
      </c>
      <c r="C239" s="1180"/>
      <c r="D239" s="409" t="s">
        <v>453</v>
      </c>
      <c r="E239" s="409" t="s">
        <v>456</v>
      </c>
      <c r="F239" s="409" t="s">
        <v>254</v>
      </c>
      <c r="G239" s="409"/>
      <c r="H239" s="1391">
        <f>H240+H241+H242</f>
        <v>6960</v>
      </c>
      <c r="I239" s="1391">
        <f>I240+I241+I242</f>
        <v>34899.550000000003</v>
      </c>
      <c r="J239" s="1391">
        <f>J240+J241+J242</f>
        <v>35187.500000000007</v>
      </c>
      <c r="K239" s="1391">
        <f>K240+K241+K242</f>
        <v>9507.74</v>
      </c>
      <c r="L239" s="1392">
        <f>L240+L241+L242</f>
        <v>9765.3700000000008</v>
      </c>
      <c r="M239" s="1462"/>
      <c r="N239" s="1462"/>
      <c r="O239" s="1462"/>
      <c r="P239" s="1433"/>
      <c r="Q239" s="1433"/>
      <c r="R239" s="1433"/>
      <c r="S239" s="1433"/>
      <c r="T239" s="1433"/>
      <c r="U239" s="1433"/>
      <c r="V239" s="1433"/>
    </row>
    <row r="240" spans="1:22" s="1" customFormat="1" ht="12.75" customHeight="1" x14ac:dyDescent="0.35">
      <c r="A240" s="1179"/>
      <c r="B240" s="1182" t="s">
        <v>458</v>
      </c>
      <c r="C240" s="1183"/>
      <c r="D240" s="409" t="s">
        <v>453</v>
      </c>
      <c r="E240" s="409" t="s">
        <v>456</v>
      </c>
      <c r="F240" s="409" t="s">
        <v>254</v>
      </c>
      <c r="G240" s="409" t="s">
        <v>255</v>
      </c>
      <c r="H240" s="1391">
        <v>4510.8630000000003</v>
      </c>
      <c r="I240" s="1391">
        <f>14110.32+7665.25+6074.84+8018.08-78.59-56.38-180.11-693.76</f>
        <v>34859.65</v>
      </c>
      <c r="J240" s="1391">
        <f>14110.32+8044.5+6074.84+8017.78-78.59-56.38-180.11-786.76</f>
        <v>35145.600000000006</v>
      </c>
      <c r="K240" s="1391">
        <v>7375.74</v>
      </c>
      <c r="L240" s="1392">
        <v>7670.77</v>
      </c>
      <c r="M240" s="1462">
        <v>7375.74</v>
      </c>
      <c r="N240" s="1462"/>
      <c r="O240" s="1462">
        <v>7670.77</v>
      </c>
      <c r="P240" s="1433"/>
      <c r="Q240" s="1433"/>
      <c r="R240" s="1433"/>
      <c r="S240" s="1433"/>
      <c r="T240" s="1433"/>
      <c r="U240" s="1433"/>
      <c r="V240" s="1433"/>
    </row>
    <row r="241" spans="1:22" s="1" customFormat="1" ht="21" x14ac:dyDescent="0.35">
      <c r="A241" s="1179"/>
      <c r="B241" s="1182" t="s">
        <v>454</v>
      </c>
      <c r="C241" s="1183"/>
      <c r="D241" s="409" t="s">
        <v>453</v>
      </c>
      <c r="E241" s="409" t="s">
        <v>456</v>
      </c>
      <c r="F241" s="409" t="s">
        <v>254</v>
      </c>
      <c r="G241" s="409" t="s">
        <v>1</v>
      </c>
      <c r="H241" s="1391">
        <v>2448.424</v>
      </c>
      <c r="I241" s="1391"/>
      <c r="J241" s="1391"/>
      <c r="K241" s="1391">
        <v>2122</v>
      </c>
      <c r="L241" s="1392">
        <v>2084.6</v>
      </c>
      <c r="M241" s="1462">
        <v>2122</v>
      </c>
      <c r="N241" s="1462"/>
      <c r="O241" s="1462">
        <v>2084.6</v>
      </c>
      <c r="P241" s="1433"/>
      <c r="Q241" s="1433"/>
      <c r="R241" s="1433"/>
      <c r="S241" s="1433"/>
      <c r="T241" s="1433"/>
      <c r="U241" s="1433"/>
      <c r="V241" s="1433"/>
    </row>
    <row r="242" spans="1:22" s="1" customFormat="1" ht="13.5" customHeight="1" x14ac:dyDescent="0.35">
      <c r="A242" s="1179"/>
      <c r="B242" s="1182" t="s">
        <v>457</v>
      </c>
      <c r="C242" s="1183"/>
      <c r="D242" s="409" t="s">
        <v>453</v>
      </c>
      <c r="E242" s="409" t="s">
        <v>456</v>
      </c>
      <c r="F242" s="409" t="s">
        <v>254</v>
      </c>
      <c r="G242" s="409" t="s">
        <v>91</v>
      </c>
      <c r="H242" s="1391">
        <v>0.71299999999999997</v>
      </c>
      <c r="I242" s="1391">
        <v>39.9</v>
      </c>
      <c r="J242" s="1391">
        <v>41.9</v>
      </c>
      <c r="K242" s="1391">
        <v>10</v>
      </c>
      <c r="L242" s="1392">
        <v>10</v>
      </c>
      <c r="M242" s="1462">
        <v>10</v>
      </c>
      <c r="N242" s="1462"/>
      <c r="O242" s="1462">
        <v>10</v>
      </c>
      <c r="P242" s="1433"/>
      <c r="Q242" s="1433"/>
      <c r="R242" s="1433"/>
      <c r="S242" s="1433"/>
      <c r="T242" s="1433"/>
      <c r="U242" s="1433"/>
      <c r="V242" s="1433"/>
    </row>
    <row r="243" spans="1:22" s="1" customFormat="1" ht="21.65" customHeight="1" x14ac:dyDescent="0.35">
      <c r="A243" s="1179"/>
      <c r="B243" s="1242" t="s">
        <v>499</v>
      </c>
      <c r="C243" s="1183"/>
      <c r="D243" s="408" t="s">
        <v>453</v>
      </c>
      <c r="E243" s="408" t="s">
        <v>456</v>
      </c>
      <c r="F243" s="408" t="s">
        <v>89</v>
      </c>
      <c r="G243" s="408"/>
      <c r="H243" s="1391"/>
      <c r="I243" s="1391"/>
      <c r="J243" s="1391"/>
      <c r="K243" s="1391">
        <f>K244</f>
        <v>1953.6</v>
      </c>
      <c r="L243" s="1392">
        <f>L244</f>
        <v>1953.6</v>
      </c>
      <c r="M243" s="1462"/>
      <c r="N243" s="1462"/>
      <c r="O243" s="1462"/>
      <c r="P243" s="1433"/>
      <c r="Q243" s="1433"/>
      <c r="R243" s="1433"/>
      <c r="S243" s="1433"/>
      <c r="T243" s="1433"/>
      <c r="U243" s="1433"/>
      <c r="V243" s="1433"/>
    </row>
    <row r="244" spans="1:22" s="1" customFormat="1" ht="13.5" customHeight="1" x14ac:dyDescent="0.35">
      <c r="A244" s="1179"/>
      <c r="B244" s="753" t="s">
        <v>109</v>
      </c>
      <c r="C244" s="1183"/>
      <c r="D244" s="409" t="s">
        <v>453</v>
      </c>
      <c r="E244" s="409" t="s">
        <v>456</v>
      </c>
      <c r="F244" s="409" t="s">
        <v>84</v>
      </c>
      <c r="G244" s="409"/>
      <c r="H244" s="1391"/>
      <c r="I244" s="1391"/>
      <c r="J244" s="1391"/>
      <c r="K244" s="1391">
        <f>K245</f>
        <v>1953.6</v>
      </c>
      <c r="L244" s="1392">
        <f>L245</f>
        <v>1953.6</v>
      </c>
      <c r="M244" s="1462"/>
      <c r="N244" s="1462"/>
      <c r="O244" s="1462"/>
      <c r="P244" s="1433"/>
      <c r="Q244" s="1433"/>
      <c r="R244" s="1433"/>
      <c r="S244" s="1433"/>
      <c r="T244" s="1433"/>
      <c r="U244" s="1433"/>
      <c r="V244" s="1433"/>
    </row>
    <row r="245" spans="1:22" s="1" customFormat="1" ht="13.5" customHeight="1" x14ac:dyDescent="0.35">
      <c r="A245" s="1179"/>
      <c r="B245" s="1205" t="s">
        <v>109</v>
      </c>
      <c r="C245" s="1183"/>
      <c r="D245" s="409" t="s">
        <v>453</v>
      </c>
      <c r="E245" s="409" t="s">
        <v>456</v>
      </c>
      <c r="F245" s="409" t="s">
        <v>82</v>
      </c>
      <c r="G245" s="409"/>
      <c r="H245" s="1391"/>
      <c r="I245" s="1391"/>
      <c r="J245" s="1391"/>
      <c r="K245" s="1391">
        <f>K246+K248</f>
        <v>1953.6</v>
      </c>
      <c r="L245" s="1392">
        <f>L246+L248</f>
        <v>1953.6</v>
      </c>
      <c r="M245" s="1462"/>
      <c r="N245" s="1462"/>
      <c r="O245" s="1462"/>
      <c r="P245" s="1433"/>
      <c r="Q245" s="1433"/>
      <c r="R245" s="1433"/>
      <c r="S245" s="1433"/>
      <c r="T245" s="1433"/>
      <c r="U245" s="1433"/>
      <c r="V245" s="1433"/>
    </row>
    <row r="246" spans="1:22" s="1" customFormat="1" ht="13.5" hidden="1" customHeight="1" x14ac:dyDescent="0.35">
      <c r="A246" s="1179"/>
      <c r="B246" s="1205" t="s">
        <v>830</v>
      </c>
      <c r="C246" s="1183"/>
      <c r="D246" s="409" t="s">
        <v>453</v>
      </c>
      <c r="E246" s="409" t="s">
        <v>456</v>
      </c>
      <c r="F246" s="1524" t="s">
        <v>831</v>
      </c>
      <c r="G246" s="409"/>
      <c r="H246" s="1391"/>
      <c r="I246" s="1391"/>
      <c r="J246" s="1391"/>
      <c r="K246" s="1391">
        <f>K247</f>
        <v>0</v>
      </c>
      <c r="L246" s="1392">
        <f>L247</f>
        <v>0</v>
      </c>
      <c r="M246" s="1462"/>
      <c r="N246" s="1462"/>
      <c r="O246" s="1462"/>
      <c r="P246" s="1433"/>
      <c r="Q246" s="1433"/>
      <c r="R246" s="1433"/>
      <c r="S246" s="1433"/>
      <c r="T246" s="1433"/>
      <c r="U246" s="1433"/>
      <c r="V246" s="1433"/>
    </row>
    <row r="247" spans="1:22" s="1" customFormat="1" ht="13.5" hidden="1" customHeight="1" x14ac:dyDescent="0.35">
      <c r="A247" s="1179"/>
      <c r="B247" s="1197" t="s">
        <v>841</v>
      </c>
      <c r="C247" s="1183"/>
      <c r="D247" s="409" t="s">
        <v>453</v>
      </c>
      <c r="E247" s="409" t="s">
        <v>456</v>
      </c>
      <c r="F247" s="1524" t="s">
        <v>831</v>
      </c>
      <c r="G247" s="409" t="s">
        <v>255</v>
      </c>
      <c r="H247" s="1391"/>
      <c r="I247" s="1391"/>
      <c r="J247" s="1391"/>
      <c r="K247" s="1391"/>
      <c r="L247" s="1392"/>
      <c r="M247" s="1469">
        <v>976.8</v>
      </c>
      <c r="N247" s="1469"/>
      <c r="O247" s="1469">
        <v>976.8</v>
      </c>
      <c r="P247" s="1433"/>
      <c r="Q247" s="1433"/>
      <c r="R247" s="1433"/>
      <c r="S247" s="1433"/>
      <c r="T247" s="1433"/>
      <c r="U247" s="1433"/>
      <c r="V247" s="1433"/>
    </row>
    <row r="248" spans="1:22" s="1" customFormat="1" ht="13.5" customHeight="1" x14ac:dyDescent="0.35">
      <c r="A248" s="1179"/>
      <c r="B248" s="1205" t="s">
        <v>830</v>
      </c>
      <c r="C248" s="1183"/>
      <c r="D248" s="409" t="s">
        <v>453</v>
      </c>
      <c r="E248" s="409" t="s">
        <v>456</v>
      </c>
      <c r="F248" s="409" t="s">
        <v>958</v>
      </c>
      <c r="G248" s="409"/>
      <c r="H248" s="1391"/>
      <c r="I248" s="1391"/>
      <c r="J248" s="1391"/>
      <c r="K248" s="1391">
        <f>K249</f>
        <v>1953.6</v>
      </c>
      <c r="L248" s="1392">
        <f>L249</f>
        <v>1953.6</v>
      </c>
      <c r="M248" s="1469"/>
      <c r="N248" s="1469"/>
      <c r="O248" s="1469"/>
      <c r="P248" s="1433"/>
      <c r="Q248" s="1433"/>
      <c r="R248" s="1433"/>
      <c r="S248" s="1433"/>
      <c r="T248" s="1433"/>
      <c r="U248" s="1433"/>
      <c r="V248" s="1433"/>
    </row>
    <row r="249" spans="1:22" s="1" customFormat="1" ht="13.5" customHeight="1" x14ac:dyDescent="0.35">
      <c r="A249" s="1179"/>
      <c r="B249" s="1197" t="s">
        <v>841</v>
      </c>
      <c r="C249" s="1183"/>
      <c r="D249" s="409" t="s">
        <v>453</v>
      </c>
      <c r="E249" s="409" t="s">
        <v>456</v>
      </c>
      <c r="F249" s="409" t="s">
        <v>958</v>
      </c>
      <c r="G249" s="409" t="s">
        <v>255</v>
      </c>
      <c r="H249" s="1391"/>
      <c r="I249" s="1391"/>
      <c r="J249" s="1391"/>
      <c r="K249" s="1391">
        <f>976.8+976.8</f>
        <v>1953.6</v>
      </c>
      <c r="L249" s="1392">
        <f>976.8+976.8</f>
        <v>1953.6</v>
      </c>
      <c r="M249" s="1469">
        <v>976.8</v>
      </c>
      <c r="N249" s="1469"/>
      <c r="O249" s="1469">
        <v>976.8</v>
      </c>
      <c r="P249" s="1433"/>
      <c r="Q249" s="1433"/>
      <c r="R249" s="1433"/>
      <c r="S249" s="1433"/>
      <c r="T249" s="1433"/>
      <c r="U249" s="1433"/>
      <c r="V249" s="1433"/>
    </row>
    <row r="250" spans="1:22" s="1" customFormat="1" ht="14.5" x14ac:dyDescent="0.35">
      <c r="A250" s="842"/>
      <c r="B250" s="752" t="s">
        <v>244</v>
      </c>
      <c r="C250" s="1177"/>
      <c r="D250" s="408" t="s">
        <v>453</v>
      </c>
      <c r="E250" s="408" t="s">
        <v>452</v>
      </c>
      <c r="F250" s="408"/>
      <c r="G250" s="408"/>
      <c r="H250" s="1375">
        <f t="shared" ref="H250:L251" si="24">H251</f>
        <v>1238.5</v>
      </c>
      <c r="I250" s="1375">
        <f t="shared" si="24"/>
        <v>1500</v>
      </c>
      <c r="J250" s="1375">
        <f t="shared" si="24"/>
        <v>1600</v>
      </c>
      <c r="K250" s="1375">
        <f t="shared" si="24"/>
        <v>3017.4</v>
      </c>
      <c r="L250" s="1394">
        <f t="shared" si="24"/>
        <v>3338</v>
      </c>
      <c r="M250" s="1462"/>
      <c r="N250" s="1462"/>
      <c r="O250" s="1462"/>
      <c r="P250" s="1433"/>
      <c r="Q250" s="1433"/>
      <c r="R250" s="1433"/>
      <c r="S250" s="1433"/>
      <c r="T250" s="1433"/>
      <c r="U250" s="1433"/>
      <c r="V250" s="1433"/>
    </row>
    <row r="251" spans="1:22" s="1" customFormat="1" ht="23.25" customHeight="1" x14ac:dyDescent="0.35">
      <c r="A251" s="1179"/>
      <c r="B251" s="1393" t="s">
        <v>941</v>
      </c>
      <c r="C251" s="1180"/>
      <c r="D251" s="409" t="s">
        <v>453</v>
      </c>
      <c r="E251" s="409" t="s">
        <v>452</v>
      </c>
      <c r="F251" s="409" t="s">
        <v>273</v>
      </c>
      <c r="G251" s="409"/>
      <c r="H251" s="1391">
        <f t="shared" si="24"/>
        <v>1238.5</v>
      </c>
      <c r="I251" s="1391">
        <f t="shared" si="24"/>
        <v>1500</v>
      </c>
      <c r="J251" s="1391">
        <f t="shared" si="24"/>
        <v>1600</v>
      </c>
      <c r="K251" s="1391">
        <f t="shared" si="24"/>
        <v>3017.4</v>
      </c>
      <c r="L251" s="1392">
        <f t="shared" si="24"/>
        <v>3338</v>
      </c>
      <c r="M251" s="1462"/>
      <c r="N251" s="1462"/>
      <c r="O251" s="1462"/>
      <c r="P251" s="1433"/>
      <c r="Q251" s="1433"/>
      <c r="R251" s="1433"/>
      <c r="S251" s="1433"/>
      <c r="T251" s="1433"/>
      <c r="U251" s="1433"/>
      <c r="V251" s="1433"/>
    </row>
    <row r="252" spans="1:22" s="1" customFormat="1" ht="12" customHeight="1" x14ac:dyDescent="0.35">
      <c r="A252" s="1179"/>
      <c r="B252" s="1393" t="s">
        <v>836</v>
      </c>
      <c r="C252" s="1180"/>
      <c r="D252" s="409" t="s">
        <v>453</v>
      </c>
      <c r="E252" s="409" t="s">
        <v>452</v>
      </c>
      <c r="F252" s="409" t="s">
        <v>251</v>
      </c>
      <c r="G252" s="409"/>
      <c r="H252" s="1391">
        <f>H253+H256</f>
        <v>1238.5</v>
      </c>
      <c r="I252" s="1391">
        <f>I253+I256</f>
        <v>1500</v>
      </c>
      <c r="J252" s="1391">
        <f>J253+J256</f>
        <v>1600</v>
      </c>
      <c r="K252" s="1391">
        <f>K253+K256</f>
        <v>3017.4</v>
      </c>
      <c r="L252" s="1392">
        <f>L253+L256</f>
        <v>3338</v>
      </c>
      <c r="M252" s="1462"/>
      <c r="N252" s="1462"/>
      <c r="O252" s="1462"/>
      <c r="P252" s="1433"/>
      <c r="Q252" s="1433"/>
      <c r="R252" s="1433"/>
      <c r="S252" s="1433"/>
      <c r="T252" s="1433"/>
      <c r="U252" s="1433"/>
      <c r="V252" s="1433"/>
    </row>
    <row r="253" spans="1:22" s="1" customFormat="1" ht="12.75" customHeight="1" x14ac:dyDescent="0.35">
      <c r="A253" s="1179"/>
      <c r="B253" s="1197" t="s">
        <v>250</v>
      </c>
      <c r="C253" s="1180"/>
      <c r="D253" s="409" t="s">
        <v>453</v>
      </c>
      <c r="E253" s="409" t="s">
        <v>452</v>
      </c>
      <c r="F253" s="409" t="s">
        <v>249</v>
      </c>
      <c r="G253" s="409"/>
      <c r="H253" s="1391">
        <f t="shared" ref="H253:L254" si="25">H254</f>
        <v>1238.5</v>
      </c>
      <c r="I253" s="1391">
        <f t="shared" si="25"/>
        <v>1500</v>
      </c>
      <c r="J253" s="1391">
        <f t="shared" si="25"/>
        <v>1600</v>
      </c>
      <c r="K253" s="1391">
        <f t="shared" si="25"/>
        <v>3017.4</v>
      </c>
      <c r="L253" s="1392">
        <f t="shared" si="25"/>
        <v>3338</v>
      </c>
      <c r="M253" s="1462"/>
      <c r="N253" s="1462"/>
      <c r="O253" s="1462"/>
      <c r="P253" s="1433"/>
      <c r="Q253" s="1433"/>
      <c r="R253" s="1433"/>
      <c r="S253" s="1433"/>
      <c r="T253" s="1433"/>
      <c r="U253" s="1433"/>
      <c r="V253" s="1433"/>
    </row>
    <row r="254" spans="1:22" s="1" customFormat="1" ht="14.25" customHeight="1" x14ac:dyDescent="0.35">
      <c r="A254" s="1179"/>
      <c r="B254" s="1393" t="s">
        <v>248</v>
      </c>
      <c r="C254" s="1180"/>
      <c r="D254" s="409" t="s">
        <v>453</v>
      </c>
      <c r="E254" s="409" t="s">
        <v>452</v>
      </c>
      <c r="F254" s="409" t="s">
        <v>243</v>
      </c>
      <c r="G254" s="409"/>
      <c r="H254" s="1391">
        <f t="shared" si="25"/>
        <v>1238.5</v>
      </c>
      <c r="I254" s="1391">
        <f t="shared" si="25"/>
        <v>1500</v>
      </c>
      <c r="J254" s="1391">
        <f t="shared" si="25"/>
        <v>1600</v>
      </c>
      <c r="K254" s="1391">
        <f t="shared" si="25"/>
        <v>3017.4</v>
      </c>
      <c r="L254" s="1392">
        <f t="shared" si="25"/>
        <v>3338</v>
      </c>
      <c r="M254" s="1462"/>
      <c r="N254" s="1462"/>
      <c r="O254" s="1462"/>
      <c r="P254" s="1433"/>
      <c r="Q254" s="1433"/>
      <c r="R254" s="1433"/>
      <c r="S254" s="1433"/>
      <c r="T254" s="1433"/>
      <c r="U254" s="1433"/>
      <c r="V254" s="1433"/>
    </row>
    <row r="255" spans="1:22" s="1" customFormat="1" ht="21" x14ac:dyDescent="0.35">
      <c r="A255" s="1179"/>
      <c r="B255" s="1182" t="s">
        <v>454</v>
      </c>
      <c r="C255" s="1183"/>
      <c r="D255" s="409" t="s">
        <v>453</v>
      </c>
      <c r="E255" s="409" t="s">
        <v>452</v>
      </c>
      <c r="F255" s="409" t="s">
        <v>243</v>
      </c>
      <c r="G255" s="409" t="s">
        <v>1</v>
      </c>
      <c r="H255" s="1391">
        <v>1238.5</v>
      </c>
      <c r="I255" s="1391">
        <v>1500</v>
      </c>
      <c r="J255" s="1391">
        <v>1600</v>
      </c>
      <c r="K255" s="1391">
        <v>3017.4</v>
      </c>
      <c r="L255" s="1392">
        <v>3338</v>
      </c>
      <c r="M255" s="1462">
        <f>4171-1153.6</f>
        <v>3017.4</v>
      </c>
      <c r="N255" s="1462"/>
      <c r="O255" s="1462">
        <v>3338</v>
      </c>
      <c r="P255" s="1433"/>
      <c r="Q255" s="1433"/>
      <c r="R255" s="1433"/>
      <c r="S255" s="1433"/>
      <c r="T255" s="1433"/>
      <c r="U255" s="1433"/>
      <c r="V255" s="1433"/>
    </row>
    <row r="256" spans="1:22" s="1" customFormat="1" ht="21" hidden="1" x14ac:dyDescent="0.35">
      <c r="A256" s="1195"/>
      <c r="B256" s="1411" t="s">
        <v>454</v>
      </c>
      <c r="C256" s="1412"/>
      <c r="D256" s="1413" t="s">
        <v>453</v>
      </c>
      <c r="E256" s="1413" t="s">
        <v>452</v>
      </c>
      <c r="F256" s="1413" t="s">
        <v>243</v>
      </c>
      <c r="G256" s="1413" t="s">
        <v>1</v>
      </c>
      <c r="H256" s="1414"/>
      <c r="I256" s="1414"/>
      <c r="J256" s="1414"/>
      <c r="K256" s="1414"/>
      <c r="L256" s="1415"/>
      <c r="M256" s="1462"/>
      <c r="N256" s="1462"/>
      <c r="O256" s="1462"/>
      <c r="P256" s="1433"/>
      <c r="Q256" s="1433"/>
      <c r="R256" s="1433"/>
      <c r="S256" s="1433"/>
      <c r="T256" s="1433"/>
      <c r="U256" s="1433"/>
      <c r="V256" s="1433"/>
    </row>
    <row r="257" spans="1:22" s="1" customFormat="1" ht="21" hidden="1" x14ac:dyDescent="0.35">
      <c r="A257" s="1179"/>
      <c r="B257" s="753" t="s">
        <v>505</v>
      </c>
      <c r="C257" s="1183"/>
      <c r="D257" s="409" t="s">
        <v>453</v>
      </c>
      <c r="E257" s="409" t="s">
        <v>452</v>
      </c>
      <c r="F257" s="409" t="s">
        <v>504</v>
      </c>
      <c r="G257" s="409"/>
      <c r="H257" s="1391">
        <f>H258+H260</f>
        <v>0</v>
      </c>
      <c r="I257" s="1391">
        <f>I258+I260</f>
        <v>10000</v>
      </c>
      <c r="J257" s="1391">
        <f>J258+J260</f>
        <v>10000</v>
      </c>
      <c r="K257" s="1391">
        <f>K258+K260</f>
        <v>0</v>
      </c>
      <c r="L257" s="1392">
        <f>L258+L260</f>
        <v>0</v>
      </c>
      <c r="M257" s="1462"/>
      <c r="N257" s="1462"/>
      <c r="O257" s="1462"/>
      <c r="P257" s="1433"/>
      <c r="Q257" s="1433"/>
      <c r="R257" s="1433"/>
      <c r="S257" s="1433"/>
      <c r="T257" s="1433"/>
      <c r="U257" s="1433"/>
      <c r="V257" s="1433"/>
    </row>
    <row r="258" spans="1:22" s="1" customFormat="1" ht="21" hidden="1" x14ac:dyDescent="0.35">
      <c r="A258" s="1179"/>
      <c r="B258" s="753" t="s">
        <v>503</v>
      </c>
      <c r="C258" s="1180"/>
      <c r="D258" s="409" t="s">
        <v>453</v>
      </c>
      <c r="E258" s="409" t="s">
        <v>452</v>
      </c>
      <c r="F258" s="409" t="s">
        <v>502</v>
      </c>
      <c r="G258" s="409"/>
      <c r="H258" s="1391">
        <f>H259</f>
        <v>0</v>
      </c>
      <c r="I258" s="1391">
        <f>I259</f>
        <v>0</v>
      </c>
      <c r="J258" s="1391">
        <f>J259</f>
        <v>0</v>
      </c>
      <c r="K258" s="1391">
        <f>K259</f>
        <v>0</v>
      </c>
      <c r="L258" s="1392">
        <f>L259</f>
        <v>0</v>
      </c>
      <c r="M258" s="1462"/>
      <c r="N258" s="1462"/>
      <c r="O258" s="1462"/>
      <c r="P258" s="1433"/>
      <c r="Q258" s="1433"/>
      <c r="R258" s="1433"/>
      <c r="S258" s="1433"/>
      <c r="T258" s="1433"/>
      <c r="U258" s="1433"/>
      <c r="V258" s="1433"/>
    </row>
    <row r="259" spans="1:22" s="1" customFormat="1" ht="21" hidden="1" x14ac:dyDescent="0.35">
      <c r="A259" s="1179"/>
      <c r="B259" s="1182" t="s">
        <v>454</v>
      </c>
      <c r="C259" s="1183"/>
      <c r="D259" s="409" t="s">
        <v>453</v>
      </c>
      <c r="E259" s="409" t="s">
        <v>452</v>
      </c>
      <c r="F259" s="409" t="s">
        <v>502</v>
      </c>
      <c r="G259" s="409" t="s">
        <v>1</v>
      </c>
      <c r="H259" s="1391">
        <v>0</v>
      </c>
      <c r="I259" s="1391">
        <v>0</v>
      </c>
      <c r="J259" s="1391">
        <v>0</v>
      </c>
      <c r="K259" s="1391">
        <v>0</v>
      </c>
      <c r="L259" s="1392">
        <v>0</v>
      </c>
      <c r="M259" s="1462"/>
      <c r="N259" s="1462"/>
      <c r="O259" s="1462"/>
      <c r="P259" s="1433"/>
      <c r="Q259" s="1433"/>
      <c r="R259" s="1433"/>
      <c r="S259" s="1433"/>
      <c r="T259" s="1433"/>
      <c r="U259" s="1433"/>
      <c r="V259" s="1433"/>
    </row>
    <row r="260" spans="1:22" s="1" customFormat="1" ht="21" hidden="1" x14ac:dyDescent="0.35">
      <c r="A260" s="1179"/>
      <c r="B260" s="753" t="s">
        <v>501</v>
      </c>
      <c r="C260" s="1180"/>
      <c r="D260" s="409" t="s">
        <v>453</v>
      </c>
      <c r="E260" s="409" t="s">
        <v>452</v>
      </c>
      <c r="F260" s="409" t="s">
        <v>500</v>
      </c>
      <c r="G260" s="409"/>
      <c r="H260" s="1391">
        <f>H261</f>
        <v>0</v>
      </c>
      <c r="I260" s="1391">
        <f>I261</f>
        <v>10000</v>
      </c>
      <c r="J260" s="1391">
        <f>J261</f>
        <v>10000</v>
      </c>
      <c r="K260" s="1391">
        <f>K261</f>
        <v>0</v>
      </c>
      <c r="L260" s="1392">
        <f>L261</f>
        <v>0</v>
      </c>
      <c r="M260" s="1462"/>
      <c r="N260" s="1462"/>
      <c r="O260" s="1462"/>
      <c r="P260" s="1433"/>
      <c r="Q260" s="1433"/>
      <c r="R260" s="1433"/>
      <c r="S260" s="1433"/>
      <c r="T260" s="1433"/>
      <c r="U260" s="1433"/>
      <c r="V260" s="1433"/>
    </row>
    <row r="261" spans="1:22" s="1" customFormat="1" ht="21" hidden="1" x14ac:dyDescent="0.35">
      <c r="A261" s="1179"/>
      <c r="B261" s="1182" t="s">
        <v>454</v>
      </c>
      <c r="C261" s="1183"/>
      <c r="D261" s="409" t="s">
        <v>453</v>
      </c>
      <c r="E261" s="409" t="s">
        <v>452</v>
      </c>
      <c r="F261" s="409" t="s">
        <v>500</v>
      </c>
      <c r="G261" s="409" t="s">
        <v>26</v>
      </c>
      <c r="H261" s="1391"/>
      <c r="I261" s="1391">
        <v>10000</v>
      </c>
      <c r="J261" s="1391">
        <v>10000</v>
      </c>
      <c r="K261" s="1391"/>
      <c r="L261" s="1392"/>
      <c r="M261" s="1462"/>
      <c r="N261" s="1462"/>
      <c r="O261" s="1462"/>
      <c r="P261" s="1433"/>
      <c r="Q261" s="1433"/>
      <c r="R261" s="1433"/>
      <c r="S261" s="1433"/>
      <c r="T261" s="1433"/>
      <c r="U261" s="1433"/>
      <c r="V261" s="1433"/>
    </row>
    <row r="262" spans="1:22" s="1" customFormat="1" ht="12" customHeight="1" x14ac:dyDescent="0.35">
      <c r="A262" s="1179"/>
      <c r="B262" s="752" t="s">
        <v>334</v>
      </c>
      <c r="C262" s="1177"/>
      <c r="D262" s="408" t="s">
        <v>496</v>
      </c>
      <c r="E262" s="408" t="s">
        <v>459</v>
      </c>
      <c r="F262" s="408"/>
      <c r="G262" s="408"/>
      <c r="H262" s="1375">
        <f>H263+H269</f>
        <v>1044.001</v>
      </c>
      <c r="I262" s="1375">
        <f>I263+I269</f>
        <v>7671.15</v>
      </c>
      <c r="J262" s="1375">
        <f>J263+J269</f>
        <v>7864.35</v>
      </c>
      <c r="K262" s="1375">
        <f>K263+K269</f>
        <v>639.61699999999996</v>
      </c>
      <c r="L262" s="1394">
        <f>L263+L269</f>
        <v>665.20100000000002</v>
      </c>
      <c r="M262" s="1469"/>
      <c r="N262" s="1469"/>
      <c r="O262" s="1469"/>
      <c r="P262" s="1433"/>
      <c r="Q262" s="1433"/>
      <c r="R262" s="1433"/>
      <c r="S262" s="1433"/>
      <c r="T262" s="1433"/>
      <c r="U262" s="1433"/>
      <c r="V262" s="1433"/>
    </row>
    <row r="263" spans="1:22" s="1" customFormat="1" ht="10.5" customHeight="1" x14ac:dyDescent="0.35">
      <c r="A263" s="1179"/>
      <c r="B263" s="752" t="s">
        <v>79</v>
      </c>
      <c r="C263" s="1177"/>
      <c r="D263" s="408" t="s">
        <v>496</v>
      </c>
      <c r="E263" s="408" t="s">
        <v>456</v>
      </c>
      <c r="F263" s="408"/>
      <c r="G263" s="408"/>
      <c r="H263" s="1375">
        <f t="shared" ref="H263:L267" si="26">H264</f>
        <v>883.69100000000003</v>
      </c>
      <c r="I263" s="1375">
        <f t="shared" si="26"/>
        <v>3994.95</v>
      </c>
      <c r="J263" s="1375">
        <f t="shared" si="26"/>
        <v>3994.95</v>
      </c>
      <c r="K263" s="1375">
        <f t="shared" si="26"/>
        <v>639.61699999999996</v>
      </c>
      <c r="L263" s="1394">
        <f t="shared" si="26"/>
        <v>665.20100000000002</v>
      </c>
      <c r="M263" s="1469">
        <v>639.61699999999996</v>
      </c>
      <c r="N263" s="1469"/>
      <c r="O263" s="1469">
        <v>665.20100000000002</v>
      </c>
      <c r="P263" s="1433"/>
      <c r="Q263" s="1433"/>
      <c r="R263" s="1433"/>
      <c r="S263" s="1433"/>
      <c r="T263" s="1433"/>
      <c r="U263" s="1433"/>
      <c r="V263" s="1433"/>
    </row>
    <row r="264" spans="1:22" s="1" customFormat="1" ht="27" customHeight="1" x14ac:dyDescent="0.35">
      <c r="A264" s="1179"/>
      <c r="B264" s="753" t="s">
        <v>499</v>
      </c>
      <c r="C264" s="1180"/>
      <c r="D264" s="409" t="s">
        <v>496</v>
      </c>
      <c r="E264" s="409" t="s">
        <v>456</v>
      </c>
      <c r="F264" s="409" t="s">
        <v>89</v>
      </c>
      <c r="G264" s="409"/>
      <c r="H264" s="1391">
        <f t="shared" si="26"/>
        <v>883.69100000000003</v>
      </c>
      <c r="I264" s="1391">
        <f t="shared" si="26"/>
        <v>3994.95</v>
      </c>
      <c r="J264" s="1391">
        <f t="shared" si="26"/>
        <v>3994.95</v>
      </c>
      <c r="K264" s="1391">
        <f t="shared" si="26"/>
        <v>639.61699999999996</v>
      </c>
      <c r="L264" s="1392">
        <f t="shared" si="26"/>
        <v>665.20100000000002</v>
      </c>
      <c r="M264" s="1462"/>
      <c r="N264" s="1462"/>
      <c r="O264" s="1462"/>
      <c r="P264" s="1433"/>
      <c r="Q264" s="1433"/>
      <c r="R264" s="1433"/>
      <c r="S264" s="1433"/>
      <c r="T264" s="1433"/>
      <c r="U264" s="1433"/>
      <c r="V264" s="1433"/>
    </row>
    <row r="265" spans="1:22" s="1" customFormat="1" ht="14.25" customHeight="1" x14ac:dyDescent="0.35">
      <c r="A265" s="1179"/>
      <c r="B265" s="753" t="s">
        <v>109</v>
      </c>
      <c r="C265" s="1180"/>
      <c r="D265" s="409" t="s">
        <v>496</v>
      </c>
      <c r="E265" s="409" t="s">
        <v>456</v>
      </c>
      <c r="F265" s="409" t="s">
        <v>84</v>
      </c>
      <c r="G265" s="409"/>
      <c r="H265" s="1391">
        <f t="shared" si="26"/>
        <v>883.69100000000003</v>
      </c>
      <c r="I265" s="1391">
        <f t="shared" si="26"/>
        <v>3994.95</v>
      </c>
      <c r="J265" s="1391">
        <f t="shared" si="26"/>
        <v>3994.95</v>
      </c>
      <c r="K265" s="1391">
        <f t="shared" si="26"/>
        <v>639.61699999999996</v>
      </c>
      <c r="L265" s="1392">
        <f t="shared" si="26"/>
        <v>665.20100000000002</v>
      </c>
      <c r="M265" s="1462"/>
      <c r="N265" s="1462"/>
      <c r="O265" s="1462"/>
      <c r="P265" s="1433"/>
      <c r="Q265" s="1433"/>
      <c r="R265" s="1433"/>
      <c r="S265" s="1433"/>
      <c r="T265" s="1433"/>
      <c r="U265" s="1433"/>
      <c r="V265" s="1433"/>
    </row>
    <row r="266" spans="1:22" s="1" customFormat="1" ht="13.5" customHeight="1" x14ac:dyDescent="0.35">
      <c r="A266" s="1179"/>
      <c r="B266" s="753" t="s">
        <v>109</v>
      </c>
      <c r="C266" s="1180"/>
      <c r="D266" s="409" t="s">
        <v>496</v>
      </c>
      <c r="E266" s="409" t="s">
        <v>456</v>
      </c>
      <c r="F266" s="409" t="s">
        <v>82</v>
      </c>
      <c r="G266" s="409"/>
      <c r="H266" s="1391">
        <f t="shared" si="26"/>
        <v>883.69100000000003</v>
      </c>
      <c r="I266" s="1391">
        <f t="shared" si="26"/>
        <v>3994.95</v>
      </c>
      <c r="J266" s="1391">
        <f t="shared" si="26"/>
        <v>3994.95</v>
      </c>
      <c r="K266" s="1391">
        <f t="shared" si="26"/>
        <v>639.61699999999996</v>
      </c>
      <c r="L266" s="1392">
        <f t="shared" si="26"/>
        <v>665.20100000000002</v>
      </c>
      <c r="M266" s="1462"/>
      <c r="N266" s="1462"/>
      <c r="O266" s="1462"/>
      <c r="P266" s="1433"/>
      <c r="Q266" s="1433"/>
      <c r="R266" s="1433"/>
      <c r="S266" s="1433"/>
      <c r="T266" s="1433"/>
      <c r="U266" s="1433"/>
      <c r="V266" s="1433"/>
    </row>
    <row r="267" spans="1:22" s="1" customFormat="1" ht="14.25" customHeight="1" x14ac:dyDescent="0.35">
      <c r="A267" s="1179"/>
      <c r="B267" s="753" t="s">
        <v>81</v>
      </c>
      <c r="C267" s="1180"/>
      <c r="D267" s="409" t="s">
        <v>496</v>
      </c>
      <c r="E267" s="409" t="s">
        <v>456</v>
      </c>
      <c r="F267" s="409" t="s">
        <v>78</v>
      </c>
      <c r="G267" s="409"/>
      <c r="H267" s="1391">
        <f t="shared" si="26"/>
        <v>883.69100000000003</v>
      </c>
      <c r="I267" s="1391">
        <f t="shared" si="26"/>
        <v>3994.95</v>
      </c>
      <c r="J267" s="1391">
        <f t="shared" si="26"/>
        <v>3994.95</v>
      </c>
      <c r="K267" s="1391">
        <f t="shared" si="26"/>
        <v>639.61699999999996</v>
      </c>
      <c r="L267" s="1392">
        <f t="shared" si="26"/>
        <v>665.20100000000002</v>
      </c>
      <c r="M267" s="1462"/>
      <c r="N267" s="1462"/>
      <c r="O267" s="1462"/>
      <c r="P267" s="1433"/>
      <c r="Q267" s="1433"/>
      <c r="R267" s="1433"/>
      <c r="S267" s="1433"/>
      <c r="T267" s="1433"/>
      <c r="U267" s="1433"/>
      <c r="V267" s="1433"/>
    </row>
    <row r="268" spans="1:22" s="1" customFormat="1" ht="12.75" customHeight="1" x14ac:dyDescent="0.35">
      <c r="A268" s="1179"/>
      <c r="B268" s="1236" t="s">
        <v>497</v>
      </c>
      <c r="C268" s="1183"/>
      <c r="D268" s="409" t="s">
        <v>496</v>
      </c>
      <c r="E268" s="409" t="s">
        <v>456</v>
      </c>
      <c r="F268" s="409" t="s">
        <v>78</v>
      </c>
      <c r="G268" s="409" t="s">
        <v>77</v>
      </c>
      <c r="H268" s="1391">
        <v>883.69100000000003</v>
      </c>
      <c r="I268" s="1391">
        <v>3994.95</v>
      </c>
      <c r="J268" s="1391">
        <v>3994.95</v>
      </c>
      <c r="K268" s="1391">
        <v>639.61699999999996</v>
      </c>
      <c r="L268" s="1392">
        <v>665.20100000000002</v>
      </c>
      <c r="M268" s="1462"/>
      <c r="N268" s="1462"/>
      <c r="O268" s="1462"/>
      <c r="P268" s="1433"/>
      <c r="Q268" s="1433"/>
      <c r="R268" s="1433"/>
      <c r="S268" s="1433"/>
      <c r="T268" s="1433"/>
      <c r="U268" s="1433"/>
      <c r="V268" s="1433"/>
    </row>
    <row r="269" spans="1:22" s="1" customFormat="1" ht="14.5" hidden="1" x14ac:dyDescent="0.35">
      <c r="A269" s="1179"/>
      <c r="B269" s="752" t="s">
        <v>45</v>
      </c>
      <c r="C269" s="1177"/>
      <c r="D269" s="408" t="s">
        <v>496</v>
      </c>
      <c r="E269" s="408" t="s">
        <v>495</v>
      </c>
      <c r="F269" s="408"/>
      <c r="G269" s="408"/>
      <c r="H269" s="1375">
        <f t="shared" ref="H269:L272" si="27">H270</f>
        <v>160.31</v>
      </c>
      <c r="I269" s="1375">
        <f t="shared" si="27"/>
        <v>3676.2</v>
      </c>
      <c r="J269" s="1375">
        <f t="shared" si="27"/>
        <v>3869.4</v>
      </c>
      <c r="K269" s="1375">
        <f t="shared" si="27"/>
        <v>0</v>
      </c>
      <c r="L269" s="1394">
        <f t="shared" si="27"/>
        <v>0</v>
      </c>
      <c r="M269" s="1462"/>
      <c r="N269" s="1462"/>
      <c r="O269" s="1462"/>
      <c r="P269" s="1433"/>
      <c r="Q269" s="1433"/>
      <c r="R269" s="1433"/>
      <c r="S269" s="1433"/>
      <c r="T269" s="1433"/>
      <c r="U269" s="1433"/>
      <c r="V269" s="1433"/>
    </row>
    <row r="270" spans="1:22" s="1" customFormat="1" ht="31.9" hidden="1" customHeight="1" x14ac:dyDescent="0.35">
      <c r="A270" s="1179"/>
      <c r="B270" s="753" t="s">
        <v>499</v>
      </c>
      <c r="C270" s="1180"/>
      <c r="D270" s="409" t="s">
        <v>496</v>
      </c>
      <c r="E270" s="409" t="s">
        <v>495</v>
      </c>
      <c r="F270" s="409" t="s">
        <v>89</v>
      </c>
      <c r="G270" s="409"/>
      <c r="H270" s="1391">
        <f t="shared" si="27"/>
        <v>160.31</v>
      </c>
      <c r="I270" s="1391">
        <f t="shared" si="27"/>
        <v>3676.2</v>
      </c>
      <c r="J270" s="1391">
        <f t="shared" si="27"/>
        <v>3869.4</v>
      </c>
      <c r="K270" s="1391">
        <f t="shared" si="27"/>
        <v>0</v>
      </c>
      <c r="L270" s="1392">
        <f t="shared" si="27"/>
        <v>0</v>
      </c>
      <c r="M270" s="1462"/>
      <c r="N270" s="1462"/>
      <c r="O270" s="1462"/>
      <c r="P270" s="1433"/>
      <c r="Q270" s="1433"/>
      <c r="R270" s="1433"/>
      <c r="S270" s="1433"/>
      <c r="T270" s="1433"/>
      <c r="U270" s="1433"/>
      <c r="V270" s="1433"/>
    </row>
    <row r="271" spans="1:22" s="1" customFormat="1" ht="20.25" hidden="1" customHeight="1" x14ac:dyDescent="0.35">
      <c r="A271" s="1179"/>
      <c r="B271" s="753" t="s">
        <v>109</v>
      </c>
      <c r="C271" s="1180"/>
      <c r="D271" s="409" t="s">
        <v>496</v>
      </c>
      <c r="E271" s="409" t="s">
        <v>495</v>
      </c>
      <c r="F271" s="409" t="s">
        <v>84</v>
      </c>
      <c r="G271" s="409"/>
      <c r="H271" s="1391">
        <f t="shared" si="27"/>
        <v>160.31</v>
      </c>
      <c r="I271" s="1391">
        <f t="shared" si="27"/>
        <v>3676.2</v>
      </c>
      <c r="J271" s="1391">
        <f t="shared" si="27"/>
        <v>3869.4</v>
      </c>
      <c r="K271" s="1391">
        <f t="shared" si="27"/>
        <v>0</v>
      </c>
      <c r="L271" s="1392">
        <f t="shared" si="27"/>
        <v>0</v>
      </c>
      <c r="M271" s="1462"/>
      <c r="N271" s="1462"/>
      <c r="O271" s="1462"/>
      <c r="P271" s="1433"/>
      <c r="Q271" s="1433"/>
      <c r="R271" s="1433"/>
      <c r="S271" s="1433"/>
      <c r="T271" s="1433"/>
      <c r="U271" s="1433"/>
      <c r="V271" s="1433"/>
    </row>
    <row r="272" spans="1:22" s="1" customFormat="1" ht="24" hidden="1" customHeight="1" x14ac:dyDescent="0.35">
      <c r="A272" s="1179"/>
      <c r="B272" s="753" t="s">
        <v>109</v>
      </c>
      <c r="C272" s="1180"/>
      <c r="D272" s="409" t="s">
        <v>496</v>
      </c>
      <c r="E272" s="409" t="s">
        <v>495</v>
      </c>
      <c r="F272" s="409" t="s">
        <v>82</v>
      </c>
      <c r="G272" s="409"/>
      <c r="H272" s="1391">
        <f t="shared" si="27"/>
        <v>160.31</v>
      </c>
      <c r="I272" s="1391">
        <f t="shared" si="27"/>
        <v>3676.2</v>
      </c>
      <c r="J272" s="1391">
        <f t="shared" si="27"/>
        <v>3869.4</v>
      </c>
      <c r="K272" s="1391">
        <f t="shared" si="27"/>
        <v>0</v>
      </c>
      <c r="L272" s="1392">
        <f t="shared" si="27"/>
        <v>0</v>
      </c>
      <c r="M272" s="1462"/>
      <c r="N272" s="1462"/>
      <c r="O272" s="1462"/>
      <c r="P272" s="1433"/>
      <c r="Q272" s="1433"/>
      <c r="R272" s="1433"/>
      <c r="S272" s="1433"/>
      <c r="T272" s="1433"/>
      <c r="U272" s="1433"/>
      <c r="V272" s="1433"/>
    </row>
    <row r="273" spans="1:22" s="1" customFormat="1" ht="22.5" hidden="1" customHeight="1" x14ac:dyDescent="0.35">
      <c r="A273" s="1179"/>
      <c r="B273" s="753" t="s">
        <v>47</v>
      </c>
      <c r="C273" s="1180"/>
      <c r="D273" s="409" t="s">
        <v>496</v>
      </c>
      <c r="E273" s="409" t="s">
        <v>495</v>
      </c>
      <c r="F273" s="409" t="s">
        <v>43</v>
      </c>
      <c r="G273" s="409"/>
      <c r="H273" s="1391">
        <f>H274+H275+H276</f>
        <v>160.31</v>
      </c>
      <c r="I273" s="1391">
        <f>I274+I275+I276</f>
        <v>3676.2</v>
      </c>
      <c r="J273" s="1391">
        <f>J274+J275+J276</f>
        <v>3869.4</v>
      </c>
      <c r="K273" s="1391">
        <f>K274+K275+K276</f>
        <v>0</v>
      </c>
      <c r="L273" s="1392">
        <f>L274+L275+L276</f>
        <v>0</v>
      </c>
      <c r="M273" s="1462"/>
      <c r="N273" s="1462"/>
      <c r="O273" s="1462"/>
      <c r="P273" s="1433"/>
      <c r="Q273" s="1433"/>
      <c r="R273" s="1433"/>
      <c r="S273" s="1433"/>
      <c r="T273" s="1433"/>
      <c r="U273" s="1433"/>
      <c r="V273" s="1433"/>
    </row>
    <row r="274" spans="1:22" s="1" customFormat="1" ht="25.5" hidden="1" customHeight="1" x14ac:dyDescent="0.35">
      <c r="A274" s="1179"/>
      <c r="B274" s="1182" t="s">
        <v>454</v>
      </c>
      <c r="C274" s="1183"/>
      <c r="D274" s="409" t="s">
        <v>496</v>
      </c>
      <c r="E274" s="409" t="s">
        <v>495</v>
      </c>
      <c r="F274" s="409" t="s">
        <v>43</v>
      </c>
      <c r="G274" s="409" t="s">
        <v>1</v>
      </c>
      <c r="H274" s="1391">
        <v>28.454999999999998</v>
      </c>
      <c r="I274" s="1391">
        <v>252</v>
      </c>
      <c r="J274" s="1391">
        <v>265</v>
      </c>
      <c r="K274" s="1391"/>
      <c r="L274" s="1392"/>
      <c r="M274" s="1462"/>
      <c r="N274" s="1462"/>
      <c r="O274" s="1462"/>
      <c r="P274" s="1433"/>
      <c r="Q274" s="1433"/>
      <c r="R274" s="1433"/>
      <c r="S274" s="1433"/>
      <c r="T274" s="1433"/>
      <c r="U274" s="1433"/>
      <c r="V274" s="1433"/>
    </row>
    <row r="275" spans="1:22" s="1" customFormat="1" ht="18.75" hidden="1" customHeight="1" x14ac:dyDescent="0.35">
      <c r="A275" s="1179"/>
      <c r="B275" s="1182" t="s">
        <v>498</v>
      </c>
      <c r="C275" s="1183"/>
      <c r="D275" s="409" t="s">
        <v>496</v>
      </c>
      <c r="E275" s="409" t="s">
        <v>495</v>
      </c>
      <c r="F275" s="409" t="s">
        <v>43</v>
      </c>
      <c r="G275" s="409" t="s">
        <v>42</v>
      </c>
      <c r="H275" s="1391">
        <v>131.85499999999999</v>
      </c>
      <c r="I275" s="1391">
        <v>3404.2</v>
      </c>
      <c r="J275" s="1391">
        <v>3574.4</v>
      </c>
      <c r="K275" s="1391"/>
      <c r="L275" s="1392"/>
      <c r="M275" s="1462"/>
      <c r="N275" s="1462"/>
      <c r="O275" s="1462"/>
      <c r="P275" s="1433"/>
      <c r="Q275" s="1433"/>
      <c r="R275" s="1433"/>
      <c r="S275" s="1433"/>
      <c r="T275" s="1433"/>
      <c r="U275" s="1433"/>
      <c r="V275" s="1433"/>
    </row>
    <row r="276" spans="1:22" s="1" customFormat="1" ht="21" hidden="1" x14ac:dyDescent="0.35">
      <c r="A276" s="1179"/>
      <c r="B276" s="1182" t="s">
        <v>497</v>
      </c>
      <c r="C276" s="1183"/>
      <c r="D276" s="409" t="s">
        <v>496</v>
      </c>
      <c r="E276" s="409" t="s">
        <v>495</v>
      </c>
      <c r="F276" s="409" t="s">
        <v>43</v>
      </c>
      <c r="G276" s="409" t="s">
        <v>77</v>
      </c>
      <c r="H276" s="1391"/>
      <c r="I276" s="1391">
        <v>20</v>
      </c>
      <c r="J276" s="1391">
        <v>30</v>
      </c>
      <c r="K276" s="1391"/>
      <c r="L276" s="1392"/>
      <c r="M276" s="1462"/>
      <c r="N276" s="1462"/>
      <c r="O276" s="1462"/>
      <c r="P276" s="1433"/>
      <c r="Q276" s="1433"/>
      <c r="R276" s="1433"/>
      <c r="S276" s="1433"/>
      <c r="T276" s="1433"/>
      <c r="U276" s="1433"/>
      <c r="V276" s="1433"/>
    </row>
    <row r="277" spans="1:22" s="1" customFormat="1" ht="11.25" customHeight="1" x14ac:dyDescent="0.35">
      <c r="A277" s="1179"/>
      <c r="B277" s="752" t="s">
        <v>331</v>
      </c>
      <c r="C277" s="1177"/>
      <c r="D277" s="408" t="s">
        <v>464</v>
      </c>
      <c r="E277" s="408" t="s">
        <v>459</v>
      </c>
      <c r="F277" s="408"/>
      <c r="G277" s="408"/>
      <c r="H277" s="1375">
        <f>H278+H286</f>
        <v>400</v>
      </c>
      <c r="I277" s="1375">
        <f>I278+I286</f>
        <v>16233.47</v>
      </c>
      <c r="J277" s="1375">
        <f>J278+J286</f>
        <v>16021.82</v>
      </c>
      <c r="K277" s="1375">
        <f>K278+K286</f>
        <v>650</v>
      </c>
      <c r="L277" s="1394">
        <f>L278+L286</f>
        <v>700</v>
      </c>
      <c r="M277" s="1462"/>
      <c r="N277" s="1462"/>
      <c r="O277" s="1462"/>
      <c r="P277" s="1433"/>
      <c r="Q277" s="1433"/>
      <c r="R277" s="1433"/>
      <c r="S277" s="1433"/>
      <c r="T277" s="1433"/>
      <c r="U277" s="1433"/>
      <c r="V277" s="1433"/>
    </row>
    <row r="278" spans="1:22" s="1" customFormat="1" ht="14.5" hidden="1" x14ac:dyDescent="0.35">
      <c r="A278" s="1179"/>
      <c r="B278" s="752" t="s">
        <v>494</v>
      </c>
      <c r="C278" s="1177"/>
      <c r="D278" s="408" t="s">
        <v>464</v>
      </c>
      <c r="E278" s="408" t="s">
        <v>488</v>
      </c>
      <c r="F278" s="408" t="s">
        <v>106</v>
      </c>
      <c r="G278" s="408" t="s">
        <v>106</v>
      </c>
      <c r="H278" s="1375">
        <f t="shared" ref="H278:L281" si="28">H279</f>
        <v>0</v>
      </c>
      <c r="I278" s="1375">
        <f t="shared" si="28"/>
        <v>14787.32</v>
      </c>
      <c r="J278" s="1375">
        <f t="shared" si="28"/>
        <v>14621.82</v>
      </c>
      <c r="K278" s="1375">
        <f t="shared" si="28"/>
        <v>0</v>
      </c>
      <c r="L278" s="1394">
        <f t="shared" si="28"/>
        <v>0</v>
      </c>
      <c r="M278" s="1462"/>
      <c r="N278" s="1462"/>
      <c r="O278" s="1462"/>
      <c r="P278" s="1433"/>
      <c r="Q278" s="1433"/>
      <c r="R278" s="1433"/>
      <c r="S278" s="1433"/>
      <c r="T278" s="1433"/>
      <c r="U278" s="1433"/>
      <c r="V278" s="1433"/>
    </row>
    <row r="279" spans="1:22" s="1" customFormat="1" ht="31.5" hidden="1" x14ac:dyDescent="0.35">
      <c r="A279" s="1179"/>
      <c r="B279" s="752" t="s">
        <v>493</v>
      </c>
      <c r="C279" s="1177"/>
      <c r="D279" s="408" t="s">
        <v>464</v>
      </c>
      <c r="E279" s="408" t="s">
        <v>488</v>
      </c>
      <c r="F279" s="408" t="s">
        <v>311</v>
      </c>
      <c r="G279" s="408"/>
      <c r="H279" s="1375">
        <f t="shared" si="28"/>
        <v>0</v>
      </c>
      <c r="I279" s="1375">
        <f t="shared" si="28"/>
        <v>14787.32</v>
      </c>
      <c r="J279" s="1375">
        <f t="shared" si="28"/>
        <v>14621.82</v>
      </c>
      <c r="K279" s="1375">
        <f t="shared" si="28"/>
        <v>0</v>
      </c>
      <c r="L279" s="1394">
        <f t="shared" si="28"/>
        <v>0</v>
      </c>
      <c r="M279" s="1462"/>
      <c r="N279" s="1462"/>
      <c r="O279" s="1462"/>
      <c r="P279" s="1433"/>
      <c r="Q279" s="1433"/>
      <c r="R279" s="1433"/>
      <c r="S279" s="1433"/>
      <c r="T279" s="1433"/>
      <c r="U279" s="1433"/>
      <c r="V279" s="1433"/>
    </row>
    <row r="280" spans="1:22" s="1" customFormat="1" ht="21" hidden="1" x14ac:dyDescent="0.35">
      <c r="A280" s="1233"/>
      <c r="B280" s="753" t="s">
        <v>492</v>
      </c>
      <c r="C280" s="1180"/>
      <c r="D280" s="409" t="s">
        <v>464</v>
      </c>
      <c r="E280" s="409" t="s">
        <v>488</v>
      </c>
      <c r="F280" s="409" t="s">
        <v>491</v>
      </c>
      <c r="G280" s="409"/>
      <c r="H280" s="1391">
        <f t="shared" si="28"/>
        <v>0</v>
      </c>
      <c r="I280" s="1391">
        <f t="shared" si="28"/>
        <v>14787.32</v>
      </c>
      <c r="J280" s="1391">
        <f t="shared" si="28"/>
        <v>14621.82</v>
      </c>
      <c r="K280" s="1391">
        <f t="shared" si="28"/>
        <v>0</v>
      </c>
      <c r="L280" s="1392">
        <f t="shared" si="28"/>
        <v>0</v>
      </c>
      <c r="M280" s="1462"/>
      <c r="N280" s="1462"/>
      <c r="O280" s="1462"/>
      <c r="P280" s="1433"/>
      <c r="Q280" s="1433"/>
      <c r="R280" s="1433"/>
      <c r="S280" s="1433"/>
      <c r="T280" s="1433"/>
      <c r="U280" s="1433"/>
      <c r="V280" s="1433"/>
    </row>
    <row r="281" spans="1:22" s="1" customFormat="1" ht="14.5" hidden="1" x14ac:dyDescent="0.35">
      <c r="A281" s="1233"/>
      <c r="B281" s="753" t="s">
        <v>490</v>
      </c>
      <c r="C281" s="1180"/>
      <c r="D281" s="409" t="s">
        <v>464</v>
      </c>
      <c r="E281" s="409" t="s">
        <v>488</v>
      </c>
      <c r="F281" s="409" t="s">
        <v>489</v>
      </c>
      <c r="G281" s="409"/>
      <c r="H281" s="1391">
        <f t="shared" si="28"/>
        <v>0</v>
      </c>
      <c r="I281" s="1391">
        <f t="shared" si="28"/>
        <v>14787.32</v>
      </c>
      <c r="J281" s="1391">
        <f t="shared" si="28"/>
        <v>14621.82</v>
      </c>
      <c r="K281" s="1391">
        <f t="shared" si="28"/>
        <v>0</v>
      </c>
      <c r="L281" s="1392">
        <f t="shared" si="28"/>
        <v>0</v>
      </c>
      <c r="M281" s="1462"/>
      <c r="N281" s="1462"/>
      <c r="O281" s="1462"/>
      <c r="P281" s="1433"/>
      <c r="Q281" s="1433"/>
      <c r="R281" s="1433"/>
      <c r="S281" s="1433"/>
      <c r="T281" s="1433"/>
      <c r="U281" s="1433"/>
      <c r="V281" s="1433"/>
    </row>
    <row r="282" spans="1:22" s="1" customFormat="1" ht="14.5" hidden="1" x14ac:dyDescent="0.35">
      <c r="A282" s="1233"/>
      <c r="B282" s="753" t="s">
        <v>351</v>
      </c>
      <c r="C282" s="1180"/>
      <c r="D282" s="409" t="s">
        <v>464</v>
      </c>
      <c r="E282" s="409" t="s">
        <v>488</v>
      </c>
      <c r="F282" s="409" t="s">
        <v>487</v>
      </c>
      <c r="G282" s="409"/>
      <c r="H282" s="1391">
        <f>H283+H284+H285</f>
        <v>0</v>
      </c>
      <c r="I282" s="1391">
        <f>I283+I284+I285</f>
        <v>14787.32</v>
      </c>
      <c r="J282" s="1391">
        <f>J283+J284+J285</f>
        <v>14621.82</v>
      </c>
      <c r="K282" s="1391">
        <f>K283+K284+K285</f>
        <v>0</v>
      </c>
      <c r="L282" s="1392">
        <f>L283+L284+L285</f>
        <v>0</v>
      </c>
      <c r="M282" s="1462"/>
      <c r="N282" s="1462"/>
      <c r="O282" s="1462"/>
      <c r="P282" s="1433"/>
      <c r="Q282" s="1433"/>
      <c r="R282" s="1433"/>
      <c r="S282" s="1433"/>
      <c r="T282" s="1433"/>
      <c r="U282" s="1433"/>
      <c r="V282" s="1433"/>
    </row>
    <row r="283" spans="1:22" s="1" customFormat="1" ht="14.5" hidden="1" x14ac:dyDescent="0.35">
      <c r="A283" s="1179"/>
      <c r="B283" s="1182" t="s">
        <v>458</v>
      </c>
      <c r="C283" s="1183"/>
      <c r="D283" s="409" t="s">
        <v>464</v>
      </c>
      <c r="E283" s="409" t="s">
        <v>488</v>
      </c>
      <c r="F283" s="409" t="s">
        <v>487</v>
      </c>
      <c r="G283" s="409" t="s">
        <v>255</v>
      </c>
      <c r="H283" s="1391"/>
      <c r="I283" s="1391">
        <f>9300+368.205</f>
        <v>9668.2049999999999</v>
      </c>
      <c r="J283" s="1391">
        <f>9393+408.205</f>
        <v>9801.2049999999999</v>
      </c>
      <c r="K283" s="1391"/>
      <c r="L283" s="1392"/>
      <c r="M283" s="1462"/>
      <c r="N283" s="1462"/>
      <c r="O283" s="1462"/>
      <c r="P283" s="1433"/>
      <c r="Q283" s="1433"/>
      <c r="R283" s="1433"/>
      <c r="S283" s="1433"/>
      <c r="T283" s="1433"/>
      <c r="U283" s="1433"/>
      <c r="V283" s="1433"/>
    </row>
    <row r="284" spans="1:22" s="1" customFormat="1" ht="21" hidden="1" x14ac:dyDescent="0.35">
      <c r="A284" s="1179"/>
      <c r="B284" s="1182" t="s">
        <v>454</v>
      </c>
      <c r="C284" s="1183"/>
      <c r="D284" s="409" t="s">
        <v>464</v>
      </c>
      <c r="E284" s="409" t="s">
        <v>488</v>
      </c>
      <c r="F284" s="409" t="s">
        <v>487</v>
      </c>
      <c r="G284" s="409" t="s">
        <v>1</v>
      </c>
      <c r="H284" s="1391"/>
      <c r="I284" s="1391">
        <f>2310.57+320+2026.75+461.795</f>
        <v>5119.1149999999998</v>
      </c>
      <c r="J284" s="1391">
        <f>2310.57+20+2026.75+463.295</f>
        <v>4820.6149999999998</v>
      </c>
      <c r="K284" s="1391"/>
      <c r="L284" s="1392"/>
      <c r="M284" s="1462"/>
      <c r="N284" s="1462"/>
      <c r="O284" s="1462"/>
      <c r="P284" s="1433"/>
      <c r="Q284" s="1433"/>
      <c r="R284" s="1433"/>
      <c r="S284" s="1433"/>
      <c r="T284" s="1433"/>
      <c r="U284" s="1433"/>
      <c r="V284" s="1433"/>
    </row>
    <row r="285" spans="1:22" s="1" customFormat="1" ht="14.5" hidden="1" x14ac:dyDescent="0.35">
      <c r="A285" s="1179"/>
      <c r="B285" s="1182" t="s">
        <v>457</v>
      </c>
      <c r="C285" s="1183"/>
      <c r="D285" s="409" t="s">
        <v>464</v>
      </c>
      <c r="E285" s="409" t="s">
        <v>488</v>
      </c>
      <c r="F285" s="409" t="s">
        <v>487</v>
      </c>
      <c r="G285" s="409" t="s">
        <v>91</v>
      </c>
      <c r="H285" s="1391"/>
      <c r="I285" s="1391">
        <v>0</v>
      </c>
      <c r="J285" s="1391">
        <v>0</v>
      </c>
      <c r="K285" s="1391"/>
      <c r="L285" s="1392"/>
      <c r="M285" s="1462"/>
      <c r="N285" s="1462"/>
      <c r="O285" s="1462"/>
      <c r="P285" s="1433"/>
      <c r="Q285" s="1433"/>
      <c r="R285" s="1433"/>
      <c r="S285" s="1433"/>
      <c r="T285" s="1433"/>
      <c r="U285" s="1433"/>
      <c r="V285" s="1433"/>
    </row>
    <row r="286" spans="1:22" s="1" customFormat="1" ht="12" customHeight="1" x14ac:dyDescent="0.35">
      <c r="A286" s="1179"/>
      <c r="B286" s="752" t="s">
        <v>64</v>
      </c>
      <c r="C286" s="1177"/>
      <c r="D286" s="408" t="s">
        <v>464</v>
      </c>
      <c r="E286" s="408" t="s">
        <v>463</v>
      </c>
      <c r="F286" s="408" t="s">
        <v>106</v>
      </c>
      <c r="G286" s="408" t="s">
        <v>106</v>
      </c>
      <c r="H286" s="1375">
        <f>H287+H304</f>
        <v>400</v>
      </c>
      <c r="I286" s="1375">
        <f>I287+I304</f>
        <v>1446.15</v>
      </c>
      <c r="J286" s="1375">
        <f>J287+J304</f>
        <v>1400</v>
      </c>
      <c r="K286" s="1375">
        <f>K287+K304</f>
        <v>650</v>
      </c>
      <c r="L286" s="1394">
        <f>L287+L304</f>
        <v>700</v>
      </c>
      <c r="M286" s="1462"/>
      <c r="N286" s="1462"/>
      <c r="O286" s="1462"/>
      <c r="P286" s="1433"/>
      <c r="Q286" s="1433"/>
      <c r="R286" s="1433"/>
      <c r="S286" s="1433"/>
      <c r="T286" s="1433"/>
      <c r="U286" s="1433"/>
      <c r="V286" s="1433"/>
    </row>
    <row r="287" spans="1:22" s="1" customFormat="1" ht="24" customHeight="1" x14ac:dyDescent="0.35">
      <c r="A287" s="1179"/>
      <c r="B287" s="1205" t="s">
        <v>906</v>
      </c>
      <c r="C287" s="1180"/>
      <c r="D287" s="409" t="s">
        <v>464</v>
      </c>
      <c r="E287" s="409" t="s">
        <v>463</v>
      </c>
      <c r="F287" s="409" t="s">
        <v>311</v>
      </c>
      <c r="G287" s="409"/>
      <c r="H287" s="1391">
        <f>H288+H297</f>
        <v>400</v>
      </c>
      <c r="I287" s="1391">
        <f>I288+I297</f>
        <v>1380</v>
      </c>
      <c r="J287" s="1391">
        <f>J288+J297</f>
        <v>1400</v>
      </c>
      <c r="K287" s="1391">
        <f>K288+K297</f>
        <v>650</v>
      </c>
      <c r="L287" s="1392">
        <f>L288+L297</f>
        <v>700</v>
      </c>
      <c r="M287" s="1462"/>
      <c r="N287" s="1462"/>
      <c r="O287" s="1462"/>
      <c r="P287" s="1433"/>
      <c r="Q287" s="1433"/>
      <c r="R287" s="1433"/>
      <c r="S287" s="1433"/>
      <c r="T287" s="1433"/>
      <c r="U287" s="1433"/>
      <c r="V287" s="1433"/>
    </row>
    <row r="288" spans="1:22" s="1" customFormat="1" ht="21" hidden="1" x14ac:dyDescent="0.35">
      <c r="A288" s="1179"/>
      <c r="B288" s="753" t="s">
        <v>486</v>
      </c>
      <c r="C288" s="1180"/>
      <c r="D288" s="409" t="s">
        <v>464</v>
      </c>
      <c r="E288" s="409" t="s">
        <v>463</v>
      </c>
      <c r="F288" s="409" t="s">
        <v>485</v>
      </c>
      <c r="G288" s="408"/>
      <c r="H288" s="1391">
        <f>H289+H292</f>
        <v>0</v>
      </c>
      <c r="I288" s="1391">
        <f>I289+I292</f>
        <v>0</v>
      </c>
      <c r="J288" s="1391">
        <f>J289+J292</f>
        <v>0</v>
      </c>
      <c r="K288" s="1391">
        <f>K289+K292</f>
        <v>0</v>
      </c>
      <c r="L288" s="1392">
        <f>L289+L292</f>
        <v>0</v>
      </c>
      <c r="M288" s="1462"/>
      <c r="N288" s="1462"/>
      <c r="O288" s="1462"/>
      <c r="P288" s="1433"/>
      <c r="Q288" s="1433"/>
      <c r="R288" s="1433"/>
      <c r="S288" s="1433"/>
      <c r="T288" s="1433"/>
      <c r="U288" s="1433"/>
      <c r="V288" s="1433"/>
    </row>
    <row r="289" spans="1:22" s="1" customFormat="1" ht="21" hidden="1" x14ac:dyDescent="0.35">
      <c r="A289" s="1179"/>
      <c r="B289" s="753" t="s">
        <v>484</v>
      </c>
      <c r="C289" s="1180"/>
      <c r="D289" s="409" t="s">
        <v>464</v>
      </c>
      <c r="E289" s="409" t="s">
        <v>463</v>
      </c>
      <c r="F289" s="409" t="s">
        <v>483</v>
      </c>
      <c r="G289" s="408"/>
      <c r="H289" s="1391">
        <f t="shared" ref="H289:L290" si="29">H290</f>
        <v>0</v>
      </c>
      <c r="I289" s="1391">
        <f t="shared" si="29"/>
        <v>0</v>
      </c>
      <c r="J289" s="1391">
        <f t="shared" si="29"/>
        <v>0</v>
      </c>
      <c r="K289" s="1391">
        <f t="shared" si="29"/>
        <v>0</v>
      </c>
      <c r="L289" s="1392">
        <f t="shared" si="29"/>
        <v>0</v>
      </c>
      <c r="M289" s="1462"/>
      <c r="N289" s="1462"/>
      <c r="O289" s="1462"/>
      <c r="P289" s="1433"/>
      <c r="Q289" s="1433"/>
      <c r="R289" s="1433"/>
      <c r="S289" s="1433"/>
      <c r="T289" s="1433"/>
      <c r="U289" s="1433"/>
      <c r="V289" s="1433"/>
    </row>
    <row r="290" spans="1:22" s="1" customFormat="1" ht="21" hidden="1" x14ac:dyDescent="0.35">
      <c r="A290" s="1179"/>
      <c r="B290" s="753" t="s">
        <v>482</v>
      </c>
      <c r="C290" s="1180"/>
      <c r="D290" s="409" t="s">
        <v>464</v>
      </c>
      <c r="E290" s="409" t="s">
        <v>463</v>
      </c>
      <c r="F290" s="409" t="s">
        <v>480</v>
      </c>
      <c r="G290" s="409"/>
      <c r="H290" s="1391">
        <f t="shared" si="29"/>
        <v>0</v>
      </c>
      <c r="I290" s="1391">
        <f t="shared" si="29"/>
        <v>0</v>
      </c>
      <c r="J290" s="1391">
        <f t="shared" si="29"/>
        <v>0</v>
      </c>
      <c r="K290" s="1391">
        <f t="shared" si="29"/>
        <v>0</v>
      </c>
      <c r="L290" s="1392">
        <f t="shared" si="29"/>
        <v>0</v>
      </c>
      <c r="M290" s="1462"/>
      <c r="N290" s="1462"/>
      <c r="O290" s="1462"/>
      <c r="P290" s="1433"/>
      <c r="Q290" s="1433"/>
      <c r="R290" s="1433"/>
      <c r="S290" s="1433"/>
      <c r="T290" s="1433"/>
      <c r="U290" s="1433"/>
      <c r="V290" s="1433"/>
    </row>
    <row r="291" spans="1:22" s="1" customFormat="1" ht="14.5" hidden="1" x14ac:dyDescent="0.35">
      <c r="A291" s="1179"/>
      <c r="B291" s="1182" t="s">
        <v>481</v>
      </c>
      <c r="C291" s="1183"/>
      <c r="D291" s="409" t="s">
        <v>464</v>
      </c>
      <c r="E291" s="409" t="s">
        <v>463</v>
      </c>
      <c r="F291" s="409" t="s">
        <v>480</v>
      </c>
      <c r="G291" s="409" t="s">
        <v>26</v>
      </c>
      <c r="H291" s="1391">
        <v>0</v>
      </c>
      <c r="I291" s="1391">
        <v>0</v>
      </c>
      <c r="J291" s="1391">
        <v>0</v>
      </c>
      <c r="K291" s="1391">
        <v>0</v>
      </c>
      <c r="L291" s="1392">
        <v>0</v>
      </c>
      <c r="M291" s="1462"/>
      <c r="N291" s="1462"/>
      <c r="O291" s="1462"/>
      <c r="P291" s="1433"/>
      <c r="Q291" s="1433"/>
      <c r="R291" s="1433"/>
      <c r="S291" s="1433"/>
      <c r="T291" s="1433"/>
      <c r="U291" s="1433"/>
      <c r="V291" s="1433"/>
    </row>
    <row r="292" spans="1:22" s="1" customFormat="1" ht="21" hidden="1" x14ac:dyDescent="0.35">
      <c r="A292" s="1179"/>
      <c r="B292" s="753" t="s">
        <v>479</v>
      </c>
      <c r="C292" s="1180"/>
      <c r="D292" s="409" t="s">
        <v>464</v>
      </c>
      <c r="E292" s="409" t="s">
        <v>463</v>
      </c>
      <c r="F292" s="409" t="s">
        <v>478</v>
      </c>
      <c r="G292" s="408"/>
      <c r="H292" s="1391">
        <f>H293+H295</f>
        <v>0</v>
      </c>
      <c r="I292" s="1391">
        <f>I293+I295</f>
        <v>0</v>
      </c>
      <c r="J292" s="1391">
        <f>J293+J295</f>
        <v>0</v>
      </c>
      <c r="K292" s="1391">
        <f>K293+K295</f>
        <v>0</v>
      </c>
      <c r="L292" s="1392">
        <f>L293+L295</f>
        <v>0</v>
      </c>
      <c r="M292" s="1462"/>
      <c r="N292" s="1462"/>
      <c r="O292" s="1462"/>
      <c r="P292" s="1433"/>
      <c r="Q292" s="1433"/>
      <c r="R292" s="1433"/>
      <c r="S292" s="1433"/>
      <c r="T292" s="1433"/>
      <c r="U292" s="1433"/>
      <c r="V292" s="1433"/>
    </row>
    <row r="293" spans="1:22" s="1" customFormat="1" ht="14.5" hidden="1" x14ac:dyDescent="0.35">
      <c r="A293" s="1179"/>
      <c r="B293" s="753" t="s">
        <v>477</v>
      </c>
      <c r="C293" s="1180"/>
      <c r="D293" s="409" t="s">
        <v>464</v>
      </c>
      <c r="E293" s="409" t="s">
        <v>463</v>
      </c>
      <c r="F293" s="409" t="s">
        <v>476</v>
      </c>
      <c r="G293" s="409"/>
      <c r="H293" s="1391">
        <f>H294</f>
        <v>0</v>
      </c>
      <c r="I293" s="1391">
        <f>I294</f>
        <v>0</v>
      </c>
      <c r="J293" s="1391">
        <f>J294</f>
        <v>0</v>
      </c>
      <c r="K293" s="1391">
        <f>K294</f>
        <v>0</v>
      </c>
      <c r="L293" s="1392">
        <f>L294</f>
        <v>0</v>
      </c>
      <c r="M293" s="1462"/>
      <c r="N293" s="1462"/>
      <c r="O293" s="1462"/>
      <c r="P293" s="1433"/>
      <c r="Q293" s="1433"/>
      <c r="R293" s="1433"/>
      <c r="S293" s="1433"/>
      <c r="T293" s="1433"/>
      <c r="U293" s="1433"/>
      <c r="V293" s="1433"/>
    </row>
    <row r="294" spans="1:22" s="1" customFormat="1" ht="21" hidden="1" x14ac:dyDescent="0.35">
      <c r="A294" s="1179"/>
      <c r="B294" s="1182" t="s">
        <v>454</v>
      </c>
      <c r="C294" s="1183"/>
      <c r="D294" s="409" t="s">
        <v>464</v>
      </c>
      <c r="E294" s="409" t="s">
        <v>463</v>
      </c>
      <c r="F294" s="409" t="s">
        <v>476</v>
      </c>
      <c r="G294" s="409" t="s">
        <v>1</v>
      </c>
      <c r="H294" s="1391"/>
      <c r="I294" s="1391">
        <v>0</v>
      </c>
      <c r="J294" s="1391">
        <v>0</v>
      </c>
      <c r="K294" s="1391"/>
      <c r="L294" s="1392"/>
      <c r="M294" s="1462"/>
      <c r="N294" s="1462"/>
      <c r="O294" s="1462"/>
      <c r="P294" s="1433"/>
      <c r="Q294" s="1433"/>
      <c r="R294" s="1433"/>
      <c r="S294" s="1433"/>
      <c r="T294" s="1433"/>
      <c r="U294" s="1433"/>
      <c r="V294" s="1433"/>
    </row>
    <row r="295" spans="1:22" s="1" customFormat="1" ht="14.5" hidden="1" x14ac:dyDescent="0.35">
      <c r="A295" s="1179"/>
      <c r="B295" s="753" t="s">
        <v>475</v>
      </c>
      <c r="C295" s="1180"/>
      <c r="D295" s="409" t="s">
        <v>464</v>
      </c>
      <c r="E295" s="409" t="s">
        <v>463</v>
      </c>
      <c r="F295" s="409" t="s">
        <v>474</v>
      </c>
      <c r="G295" s="409"/>
      <c r="H295" s="1391">
        <f>H296</f>
        <v>0</v>
      </c>
      <c r="I295" s="1391">
        <f>I296</f>
        <v>0</v>
      </c>
      <c r="J295" s="1391">
        <f>J296</f>
        <v>0</v>
      </c>
      <c r="K295" s="1391">
        <f>K296</f>
        <v>0</v>
      </c>
      <c r="L295" s="1392">
        <f>L296</f>
        <v>0</v>
      </c>
      <c r="M295" s="1462"/>
      <c r="N295" s="1462"/>
      <c r="O295" s="1462"/>
      <c r="P295" s="1433"/>
      <c r="Q295" s="1433"/>
      <c r="R295" s="1433"/>
      <c r="S295" s="1433"/>
      <c r="T295" s="1433"/>
      <c r="U295" s="1433"/>
      <c r="V295" s="1433"/>
    </row>
    <row r="296" spans="1:22" s="1" customFormat="1" ht="21" hidden="1" x14ac:dyDescent="0.35">
      <c r="A296" s="1179"/>
      <c r="B296" s="1182" t="s">
        <v>454</v>
      </c>
      <c r="C296" s="1183"/>
      <c r="D296" s="409" t="s">
        <v>464</v>
      </c>
      <c r="E296" s="409" t="s">
        <v>463</v>
      </c>
      <c r="F296" s="409" t="s">
        <v>474</v>
      </c>
      <c r="G296" s="409" t="s">
        <v>1</v>
      </c>
      <c r="H296" s="1391">
        <v>0</v>
      </c>
      <c r="I296" s="1391">
        <v>0</v>
      </c>
      <c r="J296" s="1391">
        <v>0</v>
      </c>
      <c r="K296" s="1391">
        <v>0</v>
      </c>
      <c r="L296" s="1392">
        <v>0</v>
      </c>
      <c r="M296" s="1462"/>
      <c r="N296" s="1462"/>
      <c r="O296" s="1462"/>
      <c r="P296" s="1433"/>
      <c r="Q296" s="1433"/>
      <c r="R296" s="1433"/>
      <c r="S296" s="1433"/>
      <c r="T296" s="1433"/>
      <c r="U296" s="1433"/>
      <c r="V296" s="1433"/>
    </row>
    <row r="297" spans="1:22" s="1" customFormat="1" ht="26.25" customHeight="1" x14ac:dyDescent="0.35">
      <c r="A297" s="1179"/>
      <c r="B297" s="1393" t="s">
        <v>300</v>
      </c>
      <c r="C297" s="1180"/>
      <c r="D297" s="409" t="s">
        <v>464</v>
      </c>
      <c r="E297" s="409" t="s">
        <v>463</v>
      </c>
      <c r="F297" s="409" t="s">
        <v>299</v>
      </c>
      <c r="G297" s="409"/>
      <c r="H297" s="1391">
        <f>H298+H301</f>
        <v>400</v>
      </c>
      <c r="I297" s="1391">
        <f>I298+I301</f>
        <v>1380</v>
      </c>
      <c r="J297" s="1391">
        <f>J298+J301</f>
        <v>1400</v>
      </c>
      <c r="K297" s="1391">
        <f>K298+K301</f>
        <v>650</v>
      </c>
      <c r="L297" s="1392">
        <f>L298+L301</f>
        <v>700</v>
      </c>
      <c r="M297" s="1462"/>
      <c r="N297" s="1462"/>
      <c r="O297" s="1462"/>
      <c r="P297" s="1433"/>
      <c r="Q297" s="1433"/>
      <c r="R297" s="1433"/>
      <c r="S297" s="1433"/>
      <c r="T297" s="1433"/>
      <c r="U297" s="1433"/>
      <c r="V297" s="1433"/>
    </row>
    <row r="298" spans="1:22" s="1" customFormat="1" ht="21" x14ac:dyDescent="0.35">
      <c r="A298" s="1179"/>
      <c r="B298" s="1203" t="s">
        <v>298</v>
      </c>
      <c r="C298" s="1180"/>
      <c r="D298" s="409" t="s">
        <v>464</v>
      </c>
      <c r="E298" s="409" t="s">
        <v>463</v>
      </c>
      <c r="F298" s="409" t="s">
        <v>297</v>
      </c>
      <c r="G298" s="409"/>
      <c r="H298" s="1391">
        <f t="shared" ref="H298:L299" si="30">H299</f>
        <v>400</v>
      </c>
      <c r="I298" s="1391">
        <f t="shared" si="30"/>
        <v>1041.8699999999999</v>
      </c>
      <c r="J298" s="1391">
        <f t="shared" si="30"/>
        <v>1055.1100000000001</v>
      </c>
      <c r="K298" s="1391">
        <f t="shared" si="30"/>
        <v>650</v>
      </c>
      <c r="L298" s="1392">
        <f t="shared" si="30"/>
        <v>700</v>
      </c>
      <c r="M298" s="1462"/>
      <c r="N298" s="1462"/>
      <c r="O298" s="1462"/>
      <c r="P298" s="1433"/>
      <c r="Q298" s="1433"/>
      <c r="R298" s="1433"/>
      <c r="S298" s="1433"/>
      <c r="T298" s="1433"/>
      <c r="U298" s="1433"/>
      <c r="V298" s="1433"/>
    </row>
    <row r="299" spans="1:22" s="1" customFormat="1" ht="21" x14ac:dyDescent="0.35">
      <c r="A299" s="1233"/>
      <c r="B299" s="1393" t="s">
        <v>296</v>
      </c>
      <c r="C299" s="1180"/>
      <c r="D299" s="409" t="s">
        <v>464</v>
      </c>
      <c r="E299" s="409" t="s">
        <v>463</v>
      </c>
      <c r="F299" s="409" t="s">
        <v>294</v>
      </c>
      <c r="G299" s="409"/>
      <c r="H299" s="1391">
        <f t="shared" si="30"/>
        <v>400</v>
      </c>
      <c r="I299" s="1391">
        <f t="shared" si="30"/>
        <v>1041.8699999999999</v>
      </c>
      <c r="J299" s="1391">
        <f t="shared" si="30"/>
        <v>1055.1100000000001</v>
      </c>
      <c r="K299" s="1391">
        <f t="shared" si="30"/>
        <v>650</v>
      </c>
      <c r="L299" s="1392">
        <f t="shared" si="30"/>
        <v>700</v>
      </c>
      <c r="M299" s="1462"/>
      <c r="N299" s="1462"/>
      <c r="O299" s="1462"/>
      <c r="P299" s="1433"/>
      <c r="Q299" s="1433"/>
      <c r="R299" s="1433"/>
      <c r="S299" s="1433"/>
      <c r="T299" s="1433"/>
      <c r="U299" s="1433"/>
      <c r="V299" s="1433"/>
    </row>
    <row r="300" spans="1:22" s="1" customFormat="1" ht="21.5" thickBot="1" x14ac:dyDescent="0.4">
      <c r="A300" s="1416"/>
      <c r="B300" s="1259" t="s">
        <v>454</v>
      </c>
      <c r="C300" s="1260"/>
      <c r="D300" s="1261" t="s">
        <v>464</v>
      </c>
      <c r="E300" s="1261" t="s">
        <v>463</v>
      </c>
      <c r="F300" s="1261" t="s">
        <v>294</v>
      </c>
      <c r="G300" s="1261" t="s">
        <v>1</v>
      </c>
      <c r="H300" s="1417">
        <v>400</v>
      </c>
      <c r="I300" s="1418">
        <f>671.37+10.5+10+350</f>
        <v>1041.8699999999999</v>
      </c>
      <c r="J300" s="1418">
        <f>685.63+10.5+10+350-1.02</f>
        <v>1055.1100000000001</v>
      </c>
      <c r="K300" s="1417">
        <v>650</v>
      </c>
      <c r="L300" s="1419">
        <v>700</v>
      </c>
      <c r="M300" s="1469">
        <v>650</v>
      </c>
      <c r="N300" s="1469"/>
      <c r="O300" s="1469">
        <v>700</v>
      </c>
      <c r="P300" s="1433"/>
      <c r="Q300" s="1433"/>
      <c r="R300" s="1433"/>
      <c r="S300" s="1433"/>
      <c r="T300" s="1433"/>
      <c r="U300" s="1433"/>
      <c r="V300" s="1433"/>
    </row>
    <row r="301" spans="1:22" s="1" customFormat="1" ht="21" hidden="1" x14ac:dyDescent="0.35">
      <c r="A301" s="1195"/>
      <c r="B301" s="1420" t="s">
        <v>473</v>
      </c>
      <c r="C301" s="1421"/>
      <c r="D301" s="1413" t="s">
        <v>464</v>
      </c>
      <c r="E301" s="1413" t="s">
        <v>463</v>
      </c>
      <c r="F301" s="1413" t="s">
        <v>472</v>
      </c>
      <c r="G301" s="1413"/>
      <c r="H301" s="1414">
        <f t="shared" ref="H301:L302" si="31">H302</f>
        <v>0</v>
      </c>
      <c r="I301" s="1414">
        <f t="shared" si="31"/>
        <v>338.13</v>
      </c>
      <c r="J301" s="1414">
        <f t="shared" si="31"/>
        <v>344.89</v>
      </c>
      <c r="K301" s="1414">
        <f t="shared" si="31"/>
        <v>0</v>
      </c>
      <c r="L301" s="1415">
        <f t="shared" si="31"/>
        <v>0</v>
      </c>
      <c r="M301" s="1462"/>
      <c r="N301" s="1462"/>
      <c r="O301" s="1462"/>
      <c r="P301" s="1433"/>
      <c r="Q301" s="1433"/>
      <c r="R301" s="1433"/>
      <c r="S301" s="1433"/>
      <c r="T301" s="1433"/>
      <c r="U301" s="1433"/>
      <c r="V301" s="1433"/>
    </row>
    <row r="302" spans="1:22" s="1" customFormat="1" ht="21" hidden="1" x14ac:dyDescent="0.35">
      <c r="A302" s="1233"/>
      <c r="B302" s="753" t="s">
        <v>471</v>
      </c>
      <c r="C302" s="1180"/>
      <c r="D302" s="409" t="s">
        <v>464</v>
      </c>
      <c r="E302" s="409" t="s">
        <v>463</v>
      </c>
      <c r="F302" s="409" t="s">
        <v>470</v>
      </c>
      <c r="G302" s="409"/>
      <c r="H302" s="1391">
        <f t="shared" si="31"/>
        <v>0</v>
      </c>
      <c r="I302" s="1391">
        <f t="shared" si="31"/>
        <v>338.13</v>
      </c>
      <c r="J302" s="1391">
        <f t="shared" si="31"/>
        <v>344.89</v>
      </c>
      <c r="K302" s="1391">
        <f t="shared" si="31"/>
        <v>0</v>
      </c>
      <c r="L302" s="1392">
        <f t="shared" si="31"/>
        <v>0</v>
      </c>
      <c r="M302" s="1462"/>
      <c r="N302" s="1462"/>
      <c r="O302" s="1462"/>
      <c r="P302" s="1433"/>
      <c r="Q302" s="1433"/>
      <c r="R302" s="1433"/>
      <c r="S302" s="1433"/>
      <c r="T302" s="1433"/>
      <c r="U302" s="1433"/>
      <c r="V302" s="1433"/>
    </row>
    <row r="303" spans="1:22" s="1" customFormat="1" ht="21" hidden="1" x14ac:dyDescent="0.35">
      <c r="A303" s="1233"/>
      <c r="B303" s="1182" t="s">
        <v>454</v>
      </c>
      <c r="C303" s="1183"/>
      <c r="D303" s="409" t="s">
        <v>464</v>
      </c>
      <c r="E303" s="409" t="s">
        <v>463</v>
      </c>
      <c r="F303" s="409" t="s">
        <v>470</v>
      </c>
      <c r="G303" s="409" t="s">
        <v>1</v>
      </c>
      <c r="H303" s="1391"/>
      <c r="I303" s="1391">
        <v>338.13</v>
      </c>
      <c r="J303" s="1391">
        <v>344.89</v>
      </c>
      <c r="K303" s="1391"/>
      <c r="L303" s="1392"/>
      <c r="M303" s="1462"/>
      <c r="N303" s="1462"/>
      <c r="O303" s="1462"/>
      <c r="P303" s="1433"/>
      <c r="Q303" s="1433"/>
      <c r="R303" s="1433"/>
      <c r="S303" s="1433"/>
      <c r="T303" s="1433"/>
      <c r="U303" s="1433"/>
      <c r="V303" s="1433"/>
    </row>
    <row r="304" spans="1:22" s="1" customFormat="1" ht="21" hidden="1" x14ac:dyDescent="0.35">
      <c r="A304" s="1179"/>
      <c r="B304" s="752" t="s">
        <v>469</v>
      </c>
      <c r="C304" s="1177"/>
      <c r="D304" s="408" t="s">
        <v>464</v>
      </c>
      <c r="E304" s="408" t="s">
        <v>463</v>
      </c>
      <c r="F304" s="408" t="s">
        <v>468</v>
      </c>
      <c r="G304" s="408"/>
      <c r="H304" s="1375">
        <f t="shared" ref="H304:L306" si="32">H305</f>
        <v>0</v>
      </c>
      <c r="I304" s="1375">
        <f t="shared" si="32"/>
        <v>66.150000000000006</v>
      </c>
      <c r="J304" s="1375">
        <f t="shared" si="32"/>
        <v>0</v>
      </c>
      <c r="K304" s="1375">
        <f t="shared" si="32"/>
        <v>0</v>
      </c>
      <c r="L304" s="1394">
        <f t="shared" si="32"/>
        <v>0</v>
      </c>
      <c r="M304" s="1462"/>
      <c r="N304" s="1462"/>
      <c r="O304" s="1462"/>
      <c r="P304" s="1433"/>
      <c r="Q304" s="1433"/>
      <c r="R304" s="1433"/>
      <c r="S304" s="1433"/>
      <c r="T304" s="1433"/>
      <c r="U304" s="1433"/>
      <c r="V304" s="1433"/>
    </row>
    <row r="305" spans="1:22" s="1" customFormat="1" ht="14.5" hidden="1" x14ac:dyDescent="0.35">
      <c r="A305" s="1179"/>
      <c r="B305" s="753" t="s">
        <v>467</v>
      </c>
      <c r="C305" s="1180"/>
      <c r="D305" s="409" t="s">
        <v>464</v>
      </c>
      <c r="E305" s="409" t="s">
        <v>463</v>
      </c>
      <c r="F305" s="409" t="s">
        <v>466</v>
      </c>
      <c r="G305" s="409"/>
      <c r="H305" s="1391">
        <f t="shared" si="32"/>
        <v>0</v>
      </c>
      <c r="I305" s="1391">
        <f t="shared" si="32"/>
        <v>66.150000000000006</v>
      </c>
      <c r="J305" s="1391">
        <f t="shared" si="32"/>
        <v>0</v>
      </c>
      <c r="K305" s="1391">
        <f t="shared" si="32"/>
        <v>0</v>
      </c>
      <c r="L305" s="1392">
        <f t="shared" si="32"/>
        <v>0</v>
      </c>
      <c r="M305" s="1462"/>
      <c r="N305" s="1462"/>
      <c r="O305" s="1462"/>
      <c r="P305" s="1433"/>
      <c r="Q305" s="1433"/>
      <c r="R305" s="1433"/>
      <c r="S305" s="1433"/>
      <c r="T305" s="1433"/>
      <c r="U305" s="1433"/>
      <c r="V305" s="1433"/>
    </row>
    <row r="306" spans="1:22" s="1" customFormat="1" ht="14.5" hidden="1" x14ac:dyDescent="0.35">
      <c r="A306" s="1233"/>
      <c r="B306" s="753" t="s">
        <v>465</v>
      </c>
      <c r="C306" s="1180"/>
      <c r="D306" s="409" t="s">
        <v>464</v>
      </c>
      <c r="E306" s="409" t="s">
        <v>463</v>
      </c>
      <c r="F306" s="409" t="s">
        <v>462</v>
      </c>
      <c r="G306" s="409"/>
      <c r="H306" s="1391">
        <f t="shared" si="32"/>
        <v>0</v>
      </c>
      <c r="I306" s="1391">
        <f t="shared" si="32"/>
        <v>66.150000000000006</v>
      </c>
      <c r="J306" s="1391">
        <f t="shared" si="32"/>
        <v>0</v>
      </c>
      <c r="K306" s="1391">
        <f t="shared" si="32"/>
        <v>0</v>
      </c>
      <c r="L306" s="1392">
        <f t="shared" si="32"/>
        <v>0</v>
      </c>
      <c r="M306" s="1462"/>
      <c r="N306" s="1462"/>
      <c r="O306" s="1462"/>
      <c r="P306" s="1433"/>
      <c r="Q306" s="1433"/>
      <c r="R306" s="1433"/>
      <c r="S306" s="1433"/>
      <c r="T306" s="1433"/>
      <c r="U306" s="1433"/>
      <c r="V306" s="1433"/>
    </row>
    <row r="307" spans="1:22" s="1" customFormat="1" ht="21" hidden="1" x14ac:dyDescent="0.35">
      <c r="A307" s="1422"/>
      <c r="B307" s="1191" t="s">
        <v>454</v>
      </c>
      <c r="C307" s="1192"/>
      <c r="D307" s="1193" t="s">
        <v>464</v>
      </c>
      <c r="E307" s="1193" t="s">
        <v>463</v>
      </c>
      <c r="F307" s="1193" t="s">
        <v>462</v>
      </c>
      <c r="G307" s="1193" t="s">
        <v>1</v>
      </c>
      <c r="H307" s="1423"/>
      <c r="I307" s="1423">
        <v>66.150000000000006</v>
      </c>
      <c r="J307" s="1423">
        <v>0</v>
      </c>
      <c r="K307" s="1423"/>
      <c r="L307" s="1424"/>
      <c r="M307" s="1462"/>
      <c r="N307" s="1462"/>
      <c r="O307" s="1462"/>
      <c r="P307" s="1433"/>
      <c r="Q307" s="1433"/>
      <c r="R307" s="1433"/>
      <c r="S307" s="1433"/>
      <c r="T307" s="1433"/>
      <c r="U307" s="1433"/>
      <c r="V307" s="1433"/>
    </row>
    <row r="308" spans="1:22" s="1" customFormat="1" ht="15" hidden="1" thickBot="1" x14ac:dyDescent="0.4">
      <c r="A308" s="1168">
        <v>3</v>
      </c>
      <c r="B308" s="1169" t="s">
        <v>461</v>
      </c>
      <c r="C308" s="1161" t="s">
        <v>430</v>
      </c>
      <c r="D308" s="1425"/>
      <c r="E308" s="1425"/>
      <c r="F308" s="1425"/>
      <c r="G308" s="1425"/>
      <c r="H308" s="1388">
        <f>H309</f>
        <v>8198.5</v>
      </c>
      <c r="I308" s="1426"/>
      <c r="J308" s="1426"/>
      <c r="K308" s="1388">
        <f>K309</f>
        <v>8263</v>
      </c>
      <c r="L308" s="1389">
        <f>L309</f>
        <v>8252</v>
      </c>
      <c r="M308" s="1462"/>
      <c r="N308" s="1462"/>
      <c r="O308" s="1462"/>
      <c r="P308" s="1433"/>
      <c r="Q308" s="1433"/>
      <c r="R308" s="1433"/>
      <c r="S308" s="1433"/>
      <c r="T308" s="1433"/>
      <c r="U308" s="1433"/>
      <c r="V308" s="1433"/>
    </row>
    <row r="309" spans="1:22" s="1" customFormat="1" ht="14.5" hidden="1" x14ac:dyDescent="0.35">
      <c r="A309" s="1195"/>
      <c r="B309" s="1377" t="s">
        <v>460</v>
      </c>
      <c r="C309" s="1174"/>
      <c r="D309" s="1175" t="s">
        <v>453</v>
      </c>
      <c r="E309" s="1175" t="s">
        <v>459</v>
      </c>
      <c r="F309" s="1175"/>
      <c r="G309" s="1175"/>
      <c r="H309" s="1378">
        <f>H310+H318</f>
        <v>8198.5</v>
      </c>
      <c r="I309" s="1378">
        <f>I310+I318</f>
        <v>36399.550000000003</v>
      </c>
      <c r="J309" s="1378">
        <f>J310+J318</f>
        <v>36787.500000000007</v>
      </c>
      <c r="K309" s="1378">
        <f>K310+K318</f>
        <v>8263</v>
      </c>
      <c r="L309" s="1379">
        <f>L310+L318</f>
        <v>8252</v>
      </c>
      <c r="M309" s="1462"/>
      <c r="N309" s="1462"/>
      <c r="O309" s="1462"/>
      <c r="P309" s="1433"/>
      <c r="Q309" s="1433"/>
      <c r="R309" s="1433"/>
      <c r="S309" s="1433"/>
      <c r="T309" s="1433"/>
      <c r="U309" s="1433"/>
      <c r="V309" s="1433"/>
    </row>
    <row r="310" spans="1:22" s="1" customFormat="1" ht="14.5" hidden="1" x14ac:dyDescent="0.35">
      <c r="A310" s="1179"/>
      <c r="B310" s="752" t="s">
        <v>87</v>
      </c>
      <c r="C310" s="1177"/>
      <c r="D310" s="408" t="s">
        <v>453</v>
      </c>
      <c r="E310" s="408" t="s">
        <v>456</v>
      </c>
      <c r="F310" s="408"/>
      <c r="G310" s="408"/>
      <c r="H310" s="1375">
        <f t="shared" ref="H310:L313" si="33">H311</f>
        <v>6960</v>
      </c>
      <c r="I310" s="1375">
        <f t="shared" si="33"/>
        <v>34899.550000000003</v>
      </c>
      <c r="J310" s="1375">
        <f t="shared" si="33"/>
        <v>35187.500000000007</v>
      </c>
      <c r="K310" s="1375">
        <f t="shared" si="33"/>
        <v>6915</v>
      </c>
      <c r="L310" s="1394">
        <f t="shared" si="33"/>
        <v>6858</v>
      </c>
      <c r="M310" s="1462"/>
      <c r="N310" s="1462"/>
      <c r="O310" s="1462"/>
      <c r="P310" s="1433"/>
      <c r="Q310" s="1433"/>
      <c r="R310" s="1433"/>
      <c r="S310" s="1433"/>
      <c r="T310" s="1433"/>
      <c r="U310" s="1433"/>
      <c r="V310" s="1433"/>
    </row>
    <row r="311" spans="1:22" s="1" customFormat="1" ht="31.5" hidden="1" x14ac:dyDescent="0.35">
      <c r="A311" s="842"/>
      <c r="B311" s="1395" t="s">
        <v>942</v>
      </c>
      <c r="C311" s="1177"/>
      <c r="D311" s="408" t="s">
        <v>453</v>
      </c>
      <c r="E311" s="408" t="s">
        <v>456</v>
      </c>
      <c r="F311" s="408" t="s">
        <v>273</v>
      </c>
      <c r="G311" s="408"/>
      <c r="H311" s="1375">
        <f t="shared" si="33"/>
        <v>6960</v>
      </c>
      <c r="I311" s="1375">
        <f t="shared" si="33"/>
        <v>34899.550000000003</v>
      </c>
      <c r="J311" s="1375">
        <f t="shared" si="33"/>
        <v>35187.500000000007</v>
      </c>
      <c r="K311" s="1375">
        <f t="shared" si="33"/>
        <v>6915</v>
      </c>
      <c r="L311" s="1394">
        <f t="shared" si="33"/>
        <v>6858</v>
      </c>
      <c r="M311" s="1462"/>
      <c r="N311" s="1462"/>
      <c r="O311" s="1462"/>
      <c r="P311" s="1433"/>
      <c r="Q311" s="1433"/>
      <c r="R311" s="1433"/>
      <c r="S311" s="1433"/>
      <c r="T311" s="1433"/>
      <c r="U311" s="1433"/>
      <c r="V311" s="1433"/>
    </row>
    <row r="312" spans="1:22" s="1" customFormat="1" ht="31.5" hidden="1" x14ac:dyDescent="0.35">
      <c r="A312" s="842"/>
      <c r="B312" s="1393" t="s">
        <v>261</v>
      </c>
      <c r="C312" s="1180"/>
      <c r="D312" s="409" t="s">
        <v>453</v>
      </c>
      <c r="E312" s="409" t="s">
        <v>456</v>
      </c>
      <c r="F312" s="409" t="s">
        <v>260</v>
      </c>
      <c r="G312" s="409"/>
      <c r="H312" s="1391">
        <f t="shared" si="33"/>
        <v>6960</v>
      </c>
      <c r="I312" s="1391">
        <f t="shared" si="33"/>
        <v>34899.550000000003</v>
      </c>
      <c r="J312" s="1391">
        <f t="shared" si="33"/>
        <v>35187.500000000007</v>
      </c>
      <c r="K312" s="1391">
        <f t="shared" si="33"/>
        <v>6915</v>
      </c>
      <c r="L312" s="1392">
        <f t="shared" si="33"/>
        <v>6858</v>
      </c>
      <c r="M312" s="1462"/>
      <c r="N312" s="1462"/>
      <c r="O312" s="1462"/>
      <c r="P312" s="1433"/>
      <c r="Q312" s="1433"/>
      <c r="R312" s="1433"/>
      <c r="S312" s="1433"/>
      <c r="T312" s="1433"/>
      <c r="U312" s="1433"/>
      <c r="V312" s="1433"/>
    </row>
    <row r="313" spans="1:22" s="1" customFormat="1" ht="25.5" hidden="1" customHeight="1" x14ac:dyDescent="0.35">
      <c r="A313" s="842"/>
      <c r="B313" s="1197" t="s">
        <v>259</v>
      </c>
      <c r="C313" s="1180"/>
      <c r="D313" s="409" t="s">
        <v>453</v>
      </c>
      <c r="E313" s="409" t="s">
        <v>456</v>
      </c>
      <c r="F313" s="409" t="s">
        <v>258</v>
      </c>
      <c r="G313" s="409"/>
      <c r="H313" s="1391">
        <f t="shared" si="33"/>
        <v>6960</v>
      </c>
      <c r="I313" s="1391">
        <f t="shared" si="33"/>
        <v>34899.550000000003</v>
      </c>
      <c r="J313" s="1391">
        <f t="shared" si="33"/>
        <v>35187.500000000007</v>
      </c>
      <c r="K313" s="1391">
        <f t="shared" si="33"/>
        <v>6915</v>
      </c>
      <c r="L313" s="1392">
        <f t="shared" si="33"/>
        <v>6858</v>
      </c>
      <c r="M313" s="1462"/>
      <c r="N313" s="1462"/>
      <c r="O313" s="1462"/>
      <c r="P313" s="1433"/>
      <c r="Q313" s="1433"/>
      <c r="R313" s="1433"/>
      <c r="S313" s="1433"/>
      <c r="T313" s="1433"/>
      <c r="U313" s="1433"/>
      <c r="V313" s="1433"/>
    </row>
    <row r="314" spans="1:22" s="1" customFormat="1" ht="20.25" hidden="1" customHeight="1" x14ac:dyDescent="0.35">
      <c r="A314" s="842"/>
      <c r="B314" s="753" t="s">
        <v>351</v>
      </c>
      <c r="C314" s="1180"/>
      <c r="D314" s="409" t="s">
        <v>453</v>
      </c>
      <c r="E314" s="409" t="s">
        <v>456</v>
      </c>
      <c r="F314" s="409" t="s">
        <v>254</v>
      </c>
      <c r="G314" s="409"/>
      <c r="H314" s="1391">
        <f>H315+H316+H317</f>
        <v>6960</v>
      </c>
      <c r="I314" s="1391">
        <f>I315+I316+I317</f>
        <v>34899.550000000003</v>
      </c>
      <c r="J314" s="1391">
        <f>J315+J316+J317</f>
        <v>35187.500000000007</v>
      </c>
      <c r="K314" s="1391">
        <f>K315+K316+K317</f>
        <v>6915</v>
      </c>
      <c r="L314" s="1392">
        <f>L315+L316+L317</f>
        <v>6858</v>
      </c>
      <c r="M314" s="1462"/>
      <c r="N314" s="1462"/>
      <c r="O314" s="1462"/>
      <c r="P314" s="1433"/>
      <c r="Q314" s="1433"/>
      <c r="R314" s="1433"/>
      <c r="S314" s="1433"/>
      <c r="T314" s="1433"/>
      <c r="U314" s="1433"/>
      <c r="V314" s="1433"/>
    </row>
    <row r="315" spans="1:22" s="1" customFormat="1" ht="23.25" hidden="1" customHeight="1" x14ac:dyDescent="0.35">
      <c r="A315" s="1179"/>
      <c r="B315" s="1182" t="s">
        <v>458</v>
      </c>
      <c r="C315" s="1183"/>
      <c r="D315" s="409" t="s">
        <v>453</v>
      </c>
      <c r="E315" s="409" t="s">
        <v>456</v>
      </c>
      <c r="F315" s="409" t="s">
        <v>254</v>
      </c>
      <c r="G315" s="409" t="s">
        <v>255</v>
      </c>
      <c r="H315" s="1391">
        <v>4510.8630000000003</v>
      </c>
      <c r="I315" s="1391">
        <f>14110.32+7665.25+6074.84+8018.08-78.59-56.38-180.11-693.76</f>
        <v>34859.65</v>
      </c>
      <c r="J315" s="1391">
        <f>14110.32+8044.5+6074.84+8017.78-78.59-56.38-180.11-786.76</f>
        <v>35145.600000000006</v>
      </c>
      <c r="K315" s="1391">
        <v>4781.5150000000003</v>
      </c>
      <c r="L315" s="1392">
        <v>5068.4070000000002</v>
      </c>
      <c r="M315" s="1462"/>
      <c r="N315" s="1462"/>
      <c r="O315" s="1462"/>
      <c r="P315" s="1433"/>
      <c r="Q315" s="1433"/>
      <c r="R315" s="1433"/>
      <c r="S315" s="1433"/>
      <c r="T315" s="1433"/>
      <c r="U315" s="1433"/>
      <c r="V315" s="1433"/>
    </row>
    <row r="316" spans="1:22" s="1" customFormat="1" ht="21" hidden="1" x14ac:dyDescent="0.35">
      <c r="A316" s="1179"/>
      <c r="B316" s="1182" t="s">
        <v>454</v>
      </c>
      <c r="C316" s="1183"/>
      <c r="D316" s="409" t="s">
        <v>453</v>
      </c>
      <c r="E316" s="409" t="s">
        <v>456</v>
      </c>
      <c r="F316" s="409" t="s">
        <v>254</v>
      </c>
      <c r="G316" s="409" t="s">
        <v>1</v>
      </c>
      <c r="H316" s="1391">
        <v>2448.424</v>
      </c>
      <c r="I316" s="1391"/>
      <c r="J316" s="1391"/>
      <c r="K316" s="1391">
        <v>2132.4850000000001</v>
      </c>
      <c r="L316" s="1392">
        <v>1788.5930000000001</v>
      </c>
      <c r="M316" s="1462"/>
      <c r="N316" s="1462"/>
      <c r="O316" s="1462"/>
      <c r="P316" s="1433"/>
      <c r="Q316" s="1433"/>
      <c r="R316" s="1433"/>
      <c r="S316" s="1433"/>
      <c r="T316" s="1433"/>
      <c r="U316" s="1433"/>
      <c r="V316" s="1433"/>
    </row>
    <row r="317" spans="1:22" s="1" customFormat="1" ht="23.25" hidden="1" customHeight="1" x14ac:dyDescent="0.35">
      <c r="A317" s="1179"/>
      <c r="B317" s="1182" t="s">
        <v>457</v>
      </c>
      <c r="C317" s="1183"/>
      <c r="D317" s="409" t="s">
        <v>453</v>
      </c>
      <c r="E317" s="409" t="s">
        <v>456</v>
      </c>
      <c r="F317" s="409" t="s">
        <v>254</v>
      </c>
      <c r="G317" s="409" t="s">
        <v>91</v>
      </c>
      <c r="H317" s="1391">
        <v>0.71299999999999997</v>
      </c>
      <c r="I317" s="1391">
        <v>39.9</v>
      </c>
      <c r="J317" s="1391">
        <v>41.9</v>
      </c>
      <c r="K317" s="1391">
        <v>1</v>
      </c>
      <c r="L317" s="1392">
        <v>1</v>
      </c>
      <c r="M317" s="1462"/>
      <c r="N317" s="1462"/>
      <c r="O317" s="1462"/>
      <c r="P317" s="1433"/>
      <c r="Q317" s="1433"/>
      <c r="R317" s="1433"/>
      <c r="S317" s="1433"/>
      <c r="T317" s="1433"/>
      <c r="U317" s="1433"/>
      <c r="V317" s="1433"/>
    </row>
    <row r="318" spans="1:22" s="1" customFormat="1" ht="14.5" hidden="1" x14ac:dyDescent="0.35">
      <c r="A318" s="842"/>
      <c r="B318" s="752" t="s">
        <v>244</v>
      </c>
      <c r="C318" s="1177"/>
      <c r="D318" s="408" t="s">
        <v>453</v>
      </c>
      <c r="E318" s="408" t="s">
        <v>452</v>
      </c>
      <c r="F318" s="408"/>
      <c r="G318" s="408"/>
      <c r="H318" s="1375">
        <f t="shared" ref="H318:L319" si="34">H319</f>
        <v>1238.5</v>
      </c>
      <c r="I318" s="1375">
        <f t="shared" si="34"/>
        <v>1500</v>
      </c>
      <c r="J318" s="1375">
        <f t="shared" si="34"/>
        <v>1600</v>
      </c>
      <c r="K318" s="1375">
        <f t="shared" si="34"/>
        <v>1348</v>
      </c>
      <c r="L318" s="1394">
        <f t="shared" si="34"/>
        <v>1394</v>
      </c>
      <c r="M318" s="1462"/>
      <c r="N318" s="1462"/>
      <c r="O318" s="1462"/>
      <c r="P318" s="1433"/>
      <c r="Q318" s="1433"/>
      <c r="R318" s="1433"/>
      <c r="S318" s="1433"/>
      <c r="T318" s="1433"/>
      <c r="U318" s="1433"/>
      <c r="V318" s="1433"/>
    </row>
    <row r="319" spans="1:22" s="1" customFormat="1" ht="31.5" hidden="1" x14ac:dyDescent="0.35">
      <c r="A319" s="842"/>
      <c r="B319" s="1395" t="s">
        <v>942</v>
      </c>
      <c r="C319" s="1177"/>
      <c r="D319" s="408" t="s">
        <v>453</v>
      </c>
      <c r="E319" s="408" t="s">
        <v>452</v>
      </c>
      <c r="F319" s="408" t="s">
        <v>273</v>
      </c>
      <c r="G319" s="408"/>
      <c r="H319" s="1375">
        <f t="shared" si="34"/>
        <v>1238.5</v>
      </c>
      <c r="I319" s="1375">
        <f t="shared" si="34"/>
        <v>1500</v>
      </c>
      <c r="J319" s="1375">
        <f t="shared" si="34"/>
        <v>1600</v>
      </c>
      <c r="K319" s="1375">
        <f t="shared" si="34"/>
        <v>1348</v>
      </c>
      <c r="L319" s="1394">
        <f t="shared" si="34"/>
        <v>1394</v>
      </c>
      <c r="M319" s="1462"/>
      <c r="N319" s="1462"/>
      <c r="O319" s="1462"/>
      <c r="P319" s="1433"/>
      <c r="Q319" s="1433"/>
      <c r="R319" s="1433"/>
      <c r="S319" s="1433"/>
      <c r="T319" s="1433"/>
      <c r="U319" s="1433"/>
      <c r="V319" s="1433"/>
    </row>
    <row r="320" spans="1:22" s="1" customFormat="1" ht="14.5" hidden="1" x14ac:dyDescent="0.35">
      <c r="A320" s="1179"/>
      <c r="B320" s="1393" t="s">
        <v>836</v>
      </c>
      <c r="C320" s="1180"/>
      <c r="D320" s="409" t="s">
        <v>453</v>
      </c>
      <c r="E320" s="409" t="s">
        <v>452</v>
      </c>
      <c r="F320" s="409" t="s">
        <v>251</v>
      </c>
      <c r="G320" s="409"/>
      <c r="H320" s="1391">
        <f>H321+H324</f>
        <v>1238.5</v>
      </c>
      <c r="I320" s="1391">
        <f>I321+I324</f>
        <v>1500</v>
      </c>
      <c r="J320" s="1391">
        <f>J321+J324</f>
        <v>1600</v>
      </c>
      <c r="K320" s="1391">
        <f>K321+K324</f>
        <v>1348</v>
      </c>
      <c r="L320" s="1392">
        <f>L321+L324</f>
        <v>1394</v>
      </c>
      <c r="M320" s="1462"/>
      <c r="N320" s="1462"/>
      <c r="O320" s="1462"/>
      <c r="P320" s="1433"/>
      <c r="Q320" s="1433"/>
      <c r="R320" s="1433"/>
      <c r="S320" s="1433"/>
      <c r="T320" s="1433"/>
      <c r="U320" s="1433"/>
      <c r="V320" s="1433"/>
    </row>
    <row r="321" spans="1:22" s="1" customFormat="1" ht="24.75" hidden="1" customHeight="1" x14ac:dyDescent="0.35">
      <c r="A321" s="1179"/>
      <c r="B321" s="1197" t="s">
        <v>250</v>
      </c>
      <c r="C321" s="1180"/>
      <c r="D321" s="409" t="s">
        <v>453</v>
      </c>
      <c r="E321" s="409" t="s">
        <v>452</v>
      </c>
      <c r="F321" s="409" t="s">
        <v>249</v>
      </c>
      <c r="G321" s="409"/>
      <c r="H321" s="1391">
        <f t="shared" ref="H321:L322" si="35">H322</f>
        <v>1238.5</v>
      </c>
      <c r="I321" s="1391">
        <f t="shared" si="35"/>
        <v>1500</v>
      </c>
      <c r="J321" s="1391">
        <f t="shared" si="35"/>
        <v>1600</v>
      </c>
      <c r="K321" s="1391">
        <f t="shared" si="35"/>
        <v>1348</v>
      </c>
      <c r="L321" s="1392">
        <f t="shared" si="35"/>
        <v>1394</v>
      </c>
      <c r="M321" s="1462"/>
      <c r="N321" s="1462"/>
      <c r="O321" s="1462"/>
      <c r="P321" s="1433"/>
      <c r="Q321" s="1433"/>
      <c r="R321" s="1433"/>
      <c r="S321" s="1433"/>
      <c r="T321" s="1433"/>
      <c r="U321" s="1433"/>
      <c r="V321" s="1433"/>
    </row>
    <row r="322" spans="1:22" s="1" customFormat="1" ht="14.5" hidden="1" x14ac:dyDescent="0.35">
      <c r="A322" s="1179"/>
      <c r="B322" s="49" t="s">
        <v>248</v>
      </c>
      <c r="C322" s="1180"/>
      <c r="D322" s="409" t="s">
        <v>453</v>
      </c>
      <c r="E322" s="409" t="s">
        <v>452</v>
      </c>
      <c r="F322" s="409" t="s">
        <v>243</v>
      </c>
      <c r="G322" s="409"/>
      <c r="H322" s="1391">
        <f t="shared" si="35"/>
        <v>1238.5</v>
      </c>
      <c r="I322" s="1391">
        <f t="shared" si="35"/>
        <v>1500</v>
      </c>
      <c r="J322" s="1391">
        <f t="shared" si="35"/>
        <v>1600</v>
      </c>
      <c r="K322" s="1391">
        <f t="shared" si="35"/>
        <v>1348</v>
      </c>
      <c r="L322" s="1392">
        <f t="shared" si="35"/>
        <v>1394</v>
      </c>
      <c r="M322" s="1462"/>
      <c r="N322" s="1462"/>
      <c r="O322" s="1462"/>
      <c r="P322" s="1433"/>
      <c r="Q322" s="1433"/>
      <c r="R322" s="1433"/>
      <c r="S322" s="1433"/>
      <c r="T322" s="1433"/>
      <c r="U322" s="1433"/>
      <c r="V322" s="1433"/>
    </row>
    <row r="323" spans="1:22" s="1" customFormat="1" ht="21.5" hidden="1" thickBot="1" x14ac:dyDescent="0.4">
      <c r="A323" s="1427"/>
      <c r="B323" s="1259" t="s">
        <v>454</v>
      </c>
      <c r="C323" s="1260"/>
      <c r="D323" s="1261" t="s">
        <v>453</v>
      </c>
      <c r="E323" s="1261" t="s">
        <v>452</v>
      </c>
      <c r="F323" s="1261" t="s">
        <v>243</v>
      </c>
      <c r="G323" s="1261" t="s">
        <v>1</v>
      </c>
      <c r="H323" s="1417">
        <v>1238.5</v>
      </c>
      <c r="I323" s="1417">
        <v>1500</v>
      </c>
      <c r="J323" s="1417">
        <v>1600</v>
      </c>
      <c r="K323" s="1417">
        <v>1348</v>
      </c>
      <c r="L323" s="1419">
        <v>1394</v>
      </c>
      <c r="M323" s="1462"/>
      <c r="N323" s="1462"/>
      <c r="O323" s="1462"/>
      <c r="P323" s="1433"/>
      <c r="Q323" s="1433"/>
      <c r="R323" s="1433"/>
      <c r="S323" s="1433"/>
      <c r="T323" s="1433"/>
      <c r="U323" s="1433"/>
      <c r="V323" s="1433"/>
    </row>
    <row r="324" spans="1:22" s="1" customFormat="1" ht="14.5" hidden="1" x14ac:dyDescent="0.35">
      <c r="A324" s="1428"/>
      <c r="B324" s="1429"/>
      <c r="C324" s="1430"/>
      <c r="D324" s="1431"/>
      <c r="E324" s="1431"/>
      <c r="F324" s="1431"/>
      <c r="G324" s="1431"/>
      <c r="H324" s="1432"/>
      <c r="I324" s="1432"/>
      <c r="J324" s="1432"/>
      <c r="K324" s="1432"/>
      <c r="L324" s="1428"/>
      <c r="M324" s="1462"/>
      <c r="N324" s="1462"/>
      <c r="O324" s="1462"/>
      <c r="P324" s="1433"/>
      <c r="Q324" s="1433"/>
      <c r="R324" s="1433"/>
      <c r="S324" s="1433"/>
      <c r="T324" s="1433"/>
      <c r="U324" s="1433"/>
      <c r="V324" s="1433"/>
    </row>
    <row r="325" spans="1:22" s="1" customFormat="1" ht="14.5" x14ac:dyDescent="0.35">
      <c r="A325" s="1233"/>
      <c r="B325" s="1255" t="s">
        <v>934</v>
      </c>
      <c r="C325" s="1183"/>
      <c r="D325" s="408" t="s">
        <v>534</v>
      </c>
      <c r="E325" s="408" t="s">
        <v>459</v>
      </c>
      <c r="F325" s="409"/>
      <c r="G325" s="409"/>
      <c r="H325" s="1208">
        <f>H326</f>
        <v>800</v>
      </c>
      <c r="I325" s="1432"/>
      <c r="J325" s="1432"/>
      <c r="K325" s="1467">
        <f>K326</f>
        <v>1200</v>
      </c>
      <c r="L325" s="1467">
        <f>L326</f>
        <v>1200</v>
      </c>
      <c r="M325" s="1462"/>
      <c r="N325" s="1462"/>
      <c r="O325" s="1462"/>
      <c r="P325" s="1433"/>
      <c r="Q325" s="1433"/>
      <c r="R325" s="1433"/>
      <c r="S325" s="1433"/>
      <c r="T325" s="1433"/>
      <c r="U325" s="1433"/>
      <c r="V325" s="1433"/>
    </row>
    <row r="326" spans="1:22" s="1433" customFormat="1" ht="14.5" x14ac:dyDescent="0.35">
      <c r="A326" s="1233"/>
      <c r="B326" s="752" t="s">
        <v>920</v>
      </c>
      <c r="C326" s="1183"/>
      <c r="D326" s="408" t="s">
        <v>534</v>
      </c>
      <c r="E326" s="408" t="s">
        <v>488</v>
      </c>
      <c r="F326" s="408"/>
      <c r="G326" s="409"/>
      <c r="H326" s="1208">
        <f>H327</f>
        <v>800</v>
      </c>
      <c r="K326" s="1471">
        <f t="shared" ref="K326:L327" si="36">K327</f>
        <v>1200</v>
      </c>
      <c r="L326" s="1471">
        <f t="shared" si="36"/>
        <v>1200</v>
      </c>
      <c r="M326" s="1462"/>
      <c r="N326" s="1462"/>
      <c r="O326" s="1462"/>
    </row>
    <row r="327" spans="1:22" x14ac:dyDescent="0.3">
      <c r="A327" s="305"/>
      <c r="B327" s="753" t="s">
        <v>109</v>
      </c>
      <c r="C327" s="1183"/>
      <c r="D327" s="409" t="s">
        <v>534</v>
      </c>
      <c r="E327" s="409" t="s">
        <v>488</v>
      </c>
      <c r="F327" s="409" t="s">
        <v>84</v>
      </c>
      <c r="G327" s="409"/>
      <c r="H327" s="1200">
        <f>H328</f>
        <v>800</v>
      </c>
      <c r="K327" s="1472">
        <f t="shared" si="36"/>
        <v>1200</v>
      </c>
      <c r="L327" s="1472">
        <f t="shared" si="36"/>
        <v>1200</v>
      </c>
    </row>
    <row r="328" spans="1:22" x14ac:dyDescent="0.3">
      <c r="A328" s="273"/>
      <c r="B328" s="753" t="s">
        <v>109</v>
      </c>
      <c r="C328" s="1180"/>
      <c r="D328" s="409" t="s">
        <v>534</v>
      </c>
      <c r="E328" s="409" t="s">
        <v>488</v>
      </c>
      <c r="F328" s="409" t="s">
        <v>82</v>
      </c>
      <c r="G328" s="409"/>
      <c r="H328" s="1200">
        <f>H329</f>
        <v>800</v>
      </c>
      <c r="K328" s="1472">
        <f>K329</f>
        <v>1200</v>
      </c>
      <c r="L328" s="1472">
        <f>L329</f>
        <v>1200</v>
      </c>
    </row>
    <row r="329" spans="1:22" ht="31.5" x14ac:dyDescent="0.3">
      <c r="A329" s="305"/>
      <c r="B329" s="1205" t="s">
        <v>935</v>
      </c>
      <c r="C329" s="1180"/>
      <c r="D329" s="409" t="s">
        <v>534</v>
      </c>
      <c r="E329" s="409" t="s">
        <v>488</v>
      </c>
      <c r="F329" s="409" t="s">
        <v>919</v>
      </c>
      <c r="G329" s="409"/>
      <c r="H329" s="1200">
        <f>H331</f>
        <v>800</v>
      </c>
      <c r="K329" s="1472">
        <f>K331</f>
        <v>1200</v>
      </c>
      <c r="L329" s="1472">
        <f>L331</f>
        <v>1200</v>
      </c>
    </row>
    <row r="330" spans="1:22" ht="21" hidden="1" x14ac:dyDescent="0.3">
      <c r="A330" s="304"/>
      <c r="B330" s="1256" t="s">
        <v>921</v>
      </c>
      <c r="C330" s="1257"/>
      <c r="D330" s="1193"/>
      <c r="E330" s="1193"/>
      <c r="F330" s="1193"/>
      <c r="G330" s="1193"/>
      <c r="H330" s="1258"/>
      <c r="K330" s="1472"/>
      <c r="L330" s="1472"/>
    </row>
    <row r="331" spans="1:22" ht="21.5" thickBot="1" x14ac:dyDescent="0.35">
      <c r="A331" s="778"/>
      <c r="B331" s="1259" t="s">
        <v>454</v>
      </c>
      <c r="C331" s="1260"/>
      <c r="D331" s="1261" t="s">
        <v>534</v>
      </c>
      <c r="E331" s="1261" t="s">
        <v>488</v>
      </c>
      <c r="F331" s="1261" t="s">
        <v>919</v>
      </c>
      <c r="G331" s="1261" t="s">
        <v>1</v>
      </c>
      <c r="H331" s="1262">
        <v>800</v>
      </c>
      <c r="K331" s="1472">
        <v>1200</v>
      </c>
      <c r="L331" s="1472">
        <v>1200</v>
      </c>
      <c r="M331" s="1474">
        <v>1200</v>
      </c>
      <c r="N331" s="1474"/>
      <c r="O331" s="1474">
        <v>1200</v>
      </c>
      <c r="P331" s="1475"/>
    </row>
    <row r="333" spans="1:22" hidden="1" x14ac:dyDescent="0.3">
      <c r="L333" s="1468">
        <f>94576.187-93310.447</f>
        <v>1265.7400000000052</v>
      </c>
    </row>
  </sheetData>
  <mergeCells count="5">
    <mergeCell ref="D3:L3"/>
    <mergeCell ref="B12:H12"/>
    <mergeCell ref="A13:L13"/>
    <mergeCell ref="A14:L14"/>
    <mergeCell ref="A15:L15"/>
  </mergeCells>
  <pageMargins left="0.17" right="0.17" top="0.31496062992125984" bottom="0.31496062992125984" header="0.31496062992125984" footer="0.31496062992125984"/>
  <pageSetup scale="78" firstPageNumber="55" fitToHeight="0" orientation="portrait" useFirstPageNumber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V317"/>
  <sheetViews>
    <sheetView zoomScale="90" zoomScaleNormal="90" zoomScaleSheetLayoutView="106" workbookViewId="0">
      <selection activeCell="N25" sqref="N25"/>
    </sheetView>
  </sheetViews>
  <sheetFormatPr defaultColWidth="9.1796875" defaultRowHeight="12.5" x14ac:dyDescent="0.25"/>
  <cols>
    <col min="1" max="1" width="5.26953125" style="1" customWidth="1"/>
    <col min="2" max="2" width="62.453125" style="6" customWidth="1"/>
    <col min="3" max="3" width="10" style="5" customWidth="1"/>
    <col min="4" max="4" width="9.26953125" style="4" customWidth="1"/>
    <col min="5" max="5" width="10.453125" style="4" customWidth="1"/>
    <col min="6" max="6" width="11.54296875" style="4" customWidth="1"/>
    <col min="7" max="7" width="10.26953125" style="4" customWidth="1"/>
    <col min="8" max="9" width="14.7265625" style="263" hidden="1" customWidth="1"/>
    <col min="10" max="10" width="15.81640625" style="263" hidden="1" customWidth="1"/>
    <col min="11" max="11" width="18.7265625" style="263" customWidth="1"/>
    <col min="12" max="12" width="14.26953125" style="1" customWidth="1"/>
    <col min="13" max="13" width="11.1796875" style="1" customWidth="1"/>
    <col min="14" max="14" width="9.1796875" style="1" customWidth="1"/>
    <col min="15" max="16" width="8.81640625" style="1" customWidth="1"/>
    <col min="17" max="17" width="15.453125" style="1" customWidth="1"/>
    <col min="18" max="20" width="9.1796875" style="1" customWidth="1"/>
    <col min="21" max="21" width="13.54296875" style="1" hidden="1" customWidth="1"/>
    <col min="22" max="22" width="13.7265625" style="1" hidden="1" customWidth="1"/>
    <col min="23" max="16384" width="9.1796875" style="1"/>
  </cols>
  <sheetData>
    <row r="1" spans="1:22" ht="15.5" x14ac:dyDescent="0.35">
      <c r="K1" s="261"/>
      <c r="L1" s="870" t="s">
        <v>616</v>
      </c>
      <c r="M1" s="261"/>
      <c r="N1" s="261"/>
      <c r="O1" s="261"/>
      <c r="P1" s="261"/>
      <c r="Q1" s="261"/>
      <c r="R1" s="261"/>
    </row>
    <row r="2" spans="1:22" ht="15.5" x14ac:dyDescent="0.35">
      <c r="E2" s="261"/>
      <c r="F2" s="261"/>
      <c r="G2" s="261"/>
      <c r="H2" s="261"/>
      <c r="K2" s="261"/>
      <c r="L2" s="870" t="s">
        <v>450</v>
      </c>
      <c r="M2" s="261"/>
      <c r="N2" s="261"/>
      <c r="P2" s="261"/>
      <c r="Q2" s="261"/>
      <c r="R2" s="261"/>
    </row>
    <row r="3" spans="1:22" ht="15.5" x14ac:dyDescent="0.35">
      <c r="D3" s="3162" t="s">
        <v>449</v>
      </c>
      <c r="E3" s="3162"/>
      <c r="F3" s="3162"/>
      <c r="G3" s="3162"/>
      <c r="H3" s="3162"/>
      <c r="I3" s="3162"/>
      <c r="J3" s="3162"/>
      <c r="K3" s="3162"/>
      <c r="L3" s="3162"/>
      <c r="M3" s="261"/>
      <c r="N3" s="261"/>
      <c r="O3" s="261"/>
      <c r="P3" s="261"/>
      <c r="Q3" s="261"/>
      <c r="R3" s="261"/>
      <c r="S3" s="261"/>
      <c r="T3" s="261"/>
    </row>
    <row r="4" spans="1:22" ht="15.5" x14ac:dyDescent="0.35">
      <c r="E4" s="261"/>
      <c r="F4" s="261"/>
      <c r="G4" s="261"/>
      <c r="H4" s="261"/>
      <c r="K4" s="261"/>
      <c r="L4" s="870" t="s">
        <v>448</v>
      </c>
      <c r="M4" s="261"/>
      <c r="N4" s="261"/>
      <c r="O4" s="261"/>
      <c r="P4" s="261"/>
      <c r="Q4" s="261"/>
      <c r="R4" s="261"/>
    </row>
    <row r="5" spans="1:22" ht="15.5" x14ac:dyDescent="0.25">
      <c r="E5" s="388"/>
      <c r="F5" s="388"/>
      <c r="G5" s="388"/>
      <c r="H5" s="388"/>
      <c r="K5" s="388"/>
      <c r="L5" s="871" t="s">
        <v>902</v>
      </c>
      <c r="M5" s="388"/>
      <c r="N5" s="388"/>
      <c r="O5" s="387"/>
      <c r="Q5" s="386"/>
      <c r="R5" s="386"/>
    </row>
    <row r="6" spans="1:22" ht="15.5" hidden="1" x14ac:dyDescent="0.35">
      <c r="K6" s="4"/>
      <c r="L6" s="4"/>
      <c r="M6" s="4"/>
      <c r="N6" s="263"/>
      <c r="O6" s="870"/>
      <c r="P6" s="870"/>
      <c r="Q6" s="870"/>
      <c r="R6" s="870"/>
    </row>
    <row r="7" spans="1:22" ht="15.5" hidden="1" x14ac:dyDescent="0.35">
      <c r="D7" s="385"/>
      <c r="E7" s="385"/>
      <c r="F7" s="254"/>
      <c r="G7" s="254"/>
      <c r="H7" s="871"/>
      <c r="K7" s="4"/>
      <c r="L7" s="871" t="s">
        <v>446</v>
      </c>
      <c r="M7" s="254"/>
      <c r="N7" s="871"/>
      <c r="O7" s="870"/>
      <c r="P7" s="870"/>
      <c r="Q7" s="870"/>
      <c r="R7" s="870"/>
    </row>
    <row r="8" spans="1:22" ht="15.5" hidden="1" x14ac:dyDescent="0.35">
      <c r="E8" s="254"/>
      <c r="F8" s="254"/>
      <c r="G8" s="254"/>
      <c r="H8" s="384"/>
      <c r="K8" s="4"/>
      <c r="L8" s="254"/>
      <c r="M8" s="254"/>
      <c r="N8" s="384"/>
      <c r="P8" s="870"/>
      <c r="Q8" s="870"/>
    </row>
    <row r="9" spans="1:22" ht="15.5" hidden="1" x14ac:dyDescent="0.35">
      <c r="E9" s="254"/>
      <c r="F9" s="254"/>
      <c r="G9" s="254"/>
      <c r="H9" s="871"/>
      <c r="K9" s="4"/>
      <c r="L9" s="871" t="s">
        <v>848</v>
      </c>
      <c r="M9" s="254"/>
      <c r="N9" s="871"/>
      <c r="O9" s="870"/>
      <c r="P9" s="870"/>
      <c r="Q9" s="870"/>
      <c r="R9" s="870"/>
    </row>
    <row r="10" spans="1:22" ht="15.5" hidden="1" x14ac:dyDescent="0.35">
      <c r="B10" s="250"/>
      <c r="C10" s="249"/>
      <c r="D10" s="247"/>
      <c r="E10" s="247"/>
      <c r="F10" s="247"/>
      <c r="G10" s="247"/>
      <c r="H10" s="382"/>
      <c r="I10" s="379"/>
      <c r="J10" s="378"/>
      <c r="K10" s="381"/>
      <c r="L10" s="4"/>
      <c r="M10" s="4"/>
      <c r="N10" s="263"/>
      <c r="O10" s="870"/>
      <c r="P10" s="870"/>
      <c r="Q10" s="870"/>
    </row>
    <row r="11" spans="1:22" ht="13" x14ac:dyDescent="0.3">
      <c r="B11" s="250"/>
      <c r="C11" s="249"/>
      <c r="D11" s="247"/>
      <c r="E11" s="247"/>
      <c r="F11" s="247"/>
      <c r="G11" s="248" t="s">
        <v>442</v>
      </c>
      <c r="H11" s="380" t="e">
        <f>H10-#REF!</f>
        <v>#REF!</v>
      </c>
      <c r="I11" s="379" t="s">
        <v>443</v>
      </c>
      <c r="J11" s="378">
        <v>1804.9</v>
      </c>
      <c r="K11" s="377">
        <v>3685.4</v>
      </c>
    </row>
    <row r="12" spans="1:22" ht="15.5" x14ac:dyDescent="0.3">
      <c r="B12" s="3376"/>
      <c r="C12" s="3376"/>
      <c r="D12" s="3376"/>
      <c r="E12" s="3376"/>
      <c r="F12" s="3376"/>
      <c r="G12" s="3376"/>
      <c r="H12" s="3376"/>
      <c r="I12" s="242" t="s">
        <v>442</v>
      </c>
      <c r="J12" s="241" t="e">
        <f>J10-J11-#REF!</f>
        <v>#REF!</v>
      </c>
      <c r="K12" s="240"/>
    </row>
    <row r="13" spans="1:22" ht="15.65" customHeight="1" x14ac:dyDescent="0.25">
      <c r="A13" s="3388" t="s">
        <v>614</v>
      </c>
      <c r="B13" s="3388"/>
      <c r="C13" s="3388"/>
      <c r="D13" s="3388"/>
      <c r="E13" s="3388"/>
      <c r="F13" s="3388"/>
      <c r="G13" s="3388"/>
      <c r="H13" s="3388"/>
      <c r="I13" s="3388"/>
      <c r="J13" s="3388"/>
      <c r="K13" s="3388"/>
      <c r="L13" s="3388"/>
    </row>
    <row r="14" spans="1:22" ht="15.65" customHeight="1" x14ac:dyDescent="0.25">
      <c r="A14" s="3388" t="s">
        <v>613</v>
      </c>
      <c r="B14" s="3388"/>
      <c r="C14" s="3388"/>
      <c r="D14" s="3388"/>
      <c r="E14" s="3388"/>
      <c r="F14" s="3388"/>
      <c r="G14" s="3388"/>
      <c r="H14" s="3388"/>
      <c r="I14" s="3388"/>
      <c r="J14" s="3388"/>
      <c r="K14" s="3388"/>
      <c r="L14" s="3388"/>
      <c r="M14" s="545">
        <v>2408.288</v>
      </c>
      <c r="U14" s="376" t="e">
        <f>#REF!-#REF!</f>
        <v>#REF!</v>
      </c>
      <c r="V14" s="376" t="e">
        <f>#REF!-#REF!</f>
        <v>#REF!</v>
      </c>
    </row>
    <row r="15" spans="1:22" ht="15" customHeight="1" x14ac:dyDescent="0.25">
      <c r="A15" s="3388" t="s">
        <v>903</v>
      </c>
      <c r="B15" s="3388"/>
      <c r="C15" s="3388"/>
      <c r="D15" s="3388"/>
      <c r="E15" s="3388"/>
      <c r="F15" s="3388"/>
      <c r="G15" s="3388"/>
      <c r="H15" s="3388"/>
      <c r="I15" s="3388"/>
      <c r="J15" s="3388"/>
      <c r="K15" s="3388"/>
      <c r="L15" s="3388"/>
      <c r="M15" s="889">
        <f>K18+M14</f>
        <v>105537.72699999998</v>
      </c>
      <c r="O15" s="5"/>
      <c r="P15" s="5"/>
      <c r="Q15" s="5"/>
      <c r="R15" s="5"/>
      <c r="S15" s="5"/>
      <c r="T15" s="5"/>
      <c r="U15" s="5">
        <v>2016</v>
      </c>
      <c r="V15" s="5">
        <v>2017</v>
      </c>
    </row>
    <row r="16" spans="1:22" ht="16" thickBot="1" x14ac:dyDescent="0.4">
      <c r="A16" s="375"/>
      <c r="B16" s="236"/>
      <c r="C16" s="235"/>
      <c r="D16" s="234"/>
      <c r="E16" s="234"/>
      <c r="F16" s="234"/>
      <c r="G16" s="234"/>
      <c r="H16" s="374" t="s">
        <v>437</v>
      </c>
      <c r="I16" s="374"/>
      <c r="J16" s="374"/>
      <c r="K16" s="374"/>
      <c r="L16" s="396" t="s">
        <v>829</v>
      </c>
      <c r="U16" s="1" t="s">
        <v>612</v>
      </c>
      <c r="V16" s="1" t="s">
        <v>612</v>
      </c>
    </row>
    <row r="17" spans="1:12" x14ac:dyDescent="0.25">
      <c r="A17" s="373" t="s">
        <v>611</v>
      </c>
      <c r="B17" s="372" t="s">
        <v>322</v>
      </c>
      <c r="C17" s="371" t="s">
        <v>610</v>
      </c>
      <c r="D17" s="370" t="s">
        <v>609</v>
      </c>
      <c r="E17" s="370" t="s">
        <v>608</v>
      </c>
      <c r="F17" s="370" t="s">
        <v>607</v>
      </c>
      <c r="G17" s="370" t="s">
        <v>606</v>
      </c>
      <c r="H17" s="369" t="s">
        <v>605</v>
      </c>
      <c r="I17" s="369" t="s">
        <v>604</v>
      </c>
      <c r="J17" s="369" t="s">
        <v>603</v>
      </c>
      <c r="K17" s="369" t="s">
        <v>845</v>
      </c>
      <c r="L17" s="368" t="s">
        <v>904</v>
      </c>
    </row>
    <row r="18" spans="1:12" ht="13" x14ac:dyDescent="0.25">
      <c r="A18" s="367"/>
      <c r="B18" s="366" t="s">
        <v>602</v>
      </c>
      <c r="C18" s="365"/>
      <c r="D18" s="364"/>
      <c r="E18" s="364"/>
      <c r="F18" s="364"/>
      <c r="G18" s="364"/>
      <c r="H18" s="363">
        <f>H19+H45+H301</f>
        <v>109690.11599999999</v>
      </c>
      <c r="I18" s="363">
        <f>I19+I45</f>
        <v>265575.86900000001</v>
      </c>
      <c r="J18" s="363">
        <f>J19+J45</f>
        <v>255263.86200000002</v>
      </c>
      <c r="K18" s="363">
        <f>K20</f>
        <v>103129.43899999998</v>
      </c>
      <c r="L18" s="362">
        <f>L20</f>
        <v>105256.977</v>
      </c>
    </row>
    <row r="19" spans="1:12" ht="21" hidden="1" x14ac:dyDescent="0.25">
      <c r="A19" s="766">
        <v>1</v>
      </c>
      <c r="B19" s="767" t="s">
        <v>601</v>
      </c>
      <c r="C19" s="768" t="s">
        <v>430</v>
      </c>
      <c r="D19" s="768"/>
      <c r="E19" s="768"/>
      <c r="F19" s="768"/>
      <c r="G19" s="768"/>
      <c r="H19" s="769">
        <f>H21</f>
        <v>2717.9219999999996</v>
      </c>
      <c r="I19" s="769">
        <f>I21</f>
        <v>6828.98</v>
      </c>
      <c r="J19" s="769">
        <f>J21</f>
        <v>6828.98</v>
      </c>
      <c r="K19" s="769">
        <f>K21</f>
        <v>23760.224999999999</v>
      </c>
      <c r="L19" s="770">
        <f>L21</f>
        <v>25145.511000000002</v>
      </c>
    </row>
    <row r="20" spans="1:12" ht="21" x14ac:dyDescent="0.25">
      <c r="A20" s="281">
        <v>1</v>
      </c>
      <c r="B20" s="282" t="s">
        <v>584</v>
      </c>
      <c r="C20" s="278" t="s">
        <v>430</v>
      </c>
      <c r="D20" s="278"/>
      <c r="E20" s="278"/>
      <c r="F20" s="278"/>
      <c r="G20" s="278"/>
      <c r="H20" s="277">
        <f>H21+H107+H133+H182+H238+H248++H269+H284</f>
        <v>16053.921999999999</v>
      </c>
      <c r="I20" s="277">
        <f>I21+I82+I108+I157+I213+I224+I244+I259+I74</f>
        <v>51195.360000000001</v>
      </c>
      <c r="J20" s="277">
        <f>J21+J82+J108+J157+J213+J224+J244+J259+J74</f>
        <v>46115.53</v>
      </c>
      <c r="K20" s="60">
        <f>K21+K95+K120+K168+K224+K234+K255+K270+K87</f>
        <v>103129.43899999998</v>
      </c>
      <c r="L20" s="867">
        <f>L21+L95+L120+L168+L224+L234+L255+L270+L87</f>
        <v>105256.977</v>
      </c>
    </row>
    <row r="21" spans="1:12" x14ac:dyDescent="0.25">
      <c r="A21" s="361"/>
      <c r="B21" s="290" t="s">
        <v>431</v>
      </c>
      <c r="C21" s="289"/>
      <c r="D21" s="288" t="s">
        <v>456</v>
      </c>
      <c r="E21" s="288" t="s">
        <v>459</v>
      </c>
      <c r="F21" s="288"/>
      <c r="G21" s="288"/>
      <c r="H21" s="287">
        <f>H22+H28+H39</f>
        <v>2717.9219999999996</v>
      </c>
      <c r="I21" s="287">
        <f>I22+I28</f>
        <v>6828.98</v>
      </c>
      <c r="J21" s="287">
        <f>J22+J28</f>
        <v>6828.98</v>
      </c>
      <c r="K21" s="287">
        <f>K28+K47++K64+K70+K22</f>
        <v>23760.224999999999</v>
      </c>
      <c r="L21" s="286">
        <f>L28+L47++L64+L70+L22</f>
        <v>25145.511000000002</v>
      </c>
    </row>
    <row r="22" spans="1:12" ht="21" x14ac:dyDescent="0.25">
      <c r="A22" s="281"/>
      <c r="B22" s="282" t="s">
        <v>600</v>
      </c>
      <c r="C22" s="279"/>
      <c r="D22" s="278" t="s">
        <v>456</v>
      </c>
      <c r="E22" s="278" t="s">
        <v>488</v>
      </c>
      <c r="F22" s="278"/>
      <c r="G22" s="278"/>
      <c r="H22" s="355">
        <f t="shared" ref="H22:L26" si="0">H23</f>
        <v>0</v>
      </c>
      <c r="I22" s="355">
        <f t="shared" si="0"/>
        <v>1780.07</v>
      </c>
      <c r="J22" s="355">
        <f t="shared" si="0"/>
        <v>1780.07</v>
      </c>
      <c r="K22" s="355">
        <f t="shared" si="0"/>
        <v>1725.232</v>
      </c>
      <c r="L22" s="354">
        <f t="shared" si="0"/>
        <v>1828.7460000000001</v>
      </c>
    </row>
    <row r="23" spans="1:12" ht="20" x14ac:dyDescent="0.25">
      <c r="A23" s="273"/>
      <c r="B23" s="285" t="s">
        <v>599</v>
      </c>
      <c r="C23" s="272"/>
      <c r="D23" s="271" t="s">
        <v>456</v>
      </c>
      <c r="E23" s="271" t="s">
        <v>488</v>
      </c>
      <c r="F23" s="271" t="s">
        <v>157</v>
      </c>
      <c r="G23" s="271"/>
      <c r="H23" s="353">
        <f t="shared" si="0"/>
        <v>0</v>
      </c>
      <c r="I23" s="353">
        <f t="shared" si="0"/>
        <v>1780.07</v>
      </c>
      <c r="J23" s="353">
        <f t="shared" si="0"/>
        <v>1780.07</v>
      </c>
      <c r="K23" s="353">
        <f t="shared" si="0"/>
        <v>1725.232</v>
      </c>
      <c r="L23" s="352">
        <f t="shared" si="0"/>
        <v>1828.7460000000001</v>
      </c>
    </row>
    <row r="24" spans="1:12" ht="33" customHeight="1" x14ac:dyDescent="0.25">
      <c r="A24" s="281"/>
      <c r="B24" s="285" t="s">
        <v>865</v>
      </c>
      <c r="C24" s="272"/>
      <c r="D24" s="271" t="s">
        <v>456</v>
      </c>
      <c r="E24" s="271" t="s">
        <v>488</v>
      </c>
      <c r="F24" s="271" t="s">
        <v>598</v>
      </c>
      <c r="G24" s="271"/>
      <c r="H24" s="353">
        <f t="shared" si="0"/>
        <v>0</v>
      </c>
      <c r="I24" s="353">
        <f t="shared" si="0"/>
        <v>1780.07</v>
      </c>
      <c r="J24" s="353">
        <f t="shared" si="0"/>
        <v>1780.07</v>
      </c>
      <c r="K24" s="353">
        <f t="shared" si="0"/>
        <v>1725.232</v>
      </c>
      <c r="L24" s="352">
        <f t="shared" si="0"/>
        <v>1828.7460000000001</v>
      </c>
    </row>
    <row r="25" spans="1:12" ht="24" customHeight="1" x14ac:dyDescent="0.25">
      <c r="A25" s="281"/>
      <c r="B25" s="285" t="s">
        <v>582</v>
      </c>
      <c r="C25" s="272"/>
      <c r="D25" s="271" t="s">
        <v>595</v>
      </c>
      <c r="E25" s="271" t="s">
        <v>594</v>
      </c>
      <c r="F25" s="271" t="s">
        <v>597</v>
      </c>
      <c r="G25" s="271"/>
      <c r="H25" s="353">
        <f t="shared" si="0"/>
        <v>0</v>
      </c>
      <c r="I25" s="353">
        <f t="shared" si="0"/>
        <v>1780.07</v>
      </c>
      <c r="J25" s="353">
        <f t="shared" si="0"/>
        <v>1780.07</v>
      </c>
      <c r="K25" s="353">
        <f t="shared" si="0"/>
        <v>1725.232</v>
      </c>
      <c r="L25" s="352">
        <f t="shared" si="0"/>
        <v>1828.7460000000001</v>
      </c>
    </row>
    <row r="26" spans="1:12" ht="20" x14ac:dyDescent="0.25">
      <c r="A26" s="281"/>
      <c r="B26" s="285" t="s">
        <v>865</v>
      </c>
      <c r="C26" s="272"/>
      <c r="D26" s="271" t="s">
        <v>595</v>
      </c>
      <c r="E26" s="271" t="s">
        <v>594</v>
      </c>
      <c r="F26" s="1034" t="s">
        <v>593</v>
      </c>
      <c r="G26" s="271"/>
      <c r="H26" s="353">
        <f t="shared" si="0"/>
        <v>0</v>
      </c>
      <c r="I26" s="353">
        <f t="shared" si="0"/>
        <v>1780.07</v>
      </c>
      <c r="J26" s="353">
        <f t="shared" si="0"/>
        <v>1780.07</v>
      </c>
      <c r="K26" s="353">
        <f t="shared" si="0"/>
        <v>1725.232</v>
      </c>
      <c r="L26" s="352">
        <f t="shared" si="0"/>
        <v>1828.7460000000001</v>
      </c>
    </row>
    <row r="27" spans="1:12" x14ac:dyDescent="0.25">
      <c r="A27" s="281"/>
      <c r="B27" s="284" t="s">
        <v>571</v>
      </c>
      <c r="C27" s="283"/>
      <c r="D27" s="271" t="s">
        <v>456</v>
      </c>
      <c r="E27" s="271" t="s">
        <v>488</v>
      </c>
      <c r="F27" s="271" t="s">
        <v>593</v>
      </c>
      <c r="G27" s="271" t="s">
        <v>5</v>
      </c>
      <c r="H27" s="353"/>
      <c r="I27" s="353">
        <v>1780.07</v>
      </c>
      <c r="J27" s="353">
        <v>1780.07</v>
      </c>
      <c r="K27" s="353">
        <v>1725.232</v>
      </c>
      <c r="L27" s="352">
        <v>1828.7460000000001</v>
      </c>
    </row>
    <row r="28" spans="1:12" ht="31.5" x14ac:dyDescent="0.25">
      <c r="A28" s="281"/>
      <c r="B28" s="282" t="s">
        <v>592</v>
      </c>
      <c r="C28" s="279"/>
      <c r="D28" s="278" t="s">
        <v>456</v>
      </c>
      <c r="E28" s="278" t="s">
        <v>495</v>
      </c>
      <c r="F28" s="278"/>
      <c r="G28" s="278"/>
      <c r="H28" s="355">
        <f>H29</f>
        <v>2529.7219999999998</v>
      </c>
      <c r="I28" s="355">
        <f>I29</f>
        <v>5048.91</v>
      </c>
      <c r="J28" s="355">
        <f>J29</f>
        <v>5048.91</v>
      </c>
      <c r="K28" s="355">
        <f>K29</f>
        <v>2666.4960000000001</v>
      </c>
      <c r="L28" s="354">
        <f>L29</f>
        <v>2826.4859999999999</v>
      </c>
    </row>
    <row r="29" spans="1:12" ht="30" x14ac:dyDescent="0.25">
      <c r="A29" s="273"/>
      <c r="B29" s="285" t="s">
        <v>588</v>
      </c>
      <c r="C29" s="272"/>
      <c r="D29" s="271" t="s">
        <v>456</v>
      </c>
      <c r="E29" s="271" t="s">
        <v>495</v>
      </c>
      <c r="F29" s="1034" t="s">
        <v>157</v>
      </c>
      <c r="G29" s="271"/>
      <c r="H29" s="353">
        <f>H30+H35</f>
        <v>2529.7219999999998</v>
      </c>
      <c r="I29" s="353">
        <f>I30+I35</f>
        <v>5048.91</v>
      </c>
      <c r="J29" s="353">
        <f>J30+J35</f>
        <v>5048.91</v>
      </c>
      <c r="K29" s="353">
        <f>K30+K35</f>
        <v>2666.4960000000001</v>
      </c>
      <c r="L29" s="352">
        <f>L30+L35</f>
        <v>2826.4859999999999</v>
      </c>
    </row>
    <row r="30" spans="1:12" ht="30" x14ac:dyDescent="0.25">
      <c r="A30" s="281"/>
      <c r="B30" s="285" t="s">
        <v>591</v>
      </c>
      <c r="C30" s="272"/>
      <c r="D30" s="271" t="s">
        <v>456</v>
      </c>
      <c r="E30" s="271" t="s">
        <v>495</v>
      </c>
      <c r="F30" s="271" t="s">
        <v>155</v>
      </c>
      <c r="G30" s="271"/>
      <c r="H30" s="353">
        <f t="shared" ref="H30:L31" si="1">H31</f>
        <v>1930.1189999999999</v>
      </c>
      <c r="I30" s="353">
        <f t="shared" si="1"/>
        <v>3624.87</v>
      </c>
      <c r="J30" s="353">
        <f t="shared" si="1"/>
        <v>3624.87</v>
      </c>
      <c r="K30" s="353">
        <f t="shared" si="1"/>
        <v>2666.4960000000001</v>
      </c>
      <c r="L30" s="352">
        <f t="shared" si="1"/>
        <v>2826.4859999999999</v>
      </c>
    </row>
    <row r="31" spans="1:12" ht="24.75" customHeight="1" x14ac:dyDescent="0.25">
      <c r="A31" s="281"/>
      <c r="B31" s="285" t="s">
        <v>582</v>
      </c>
      <c r="C31" s="272"/>
      <c r="D31" s="271" t="s">
        <v>456</v>
      </c>
      <c r="E31" s="271" t="s">
        <v>495</v>
      </c>
      <c r="F31" s="271" t="s">
        <v>154</v>
      </c>
      <c r="G31" s="271"/>
      <c r="H31" s="353">
        <f t="shared" si="1"/>
        <v>1930.1189999999999</v>
      </c>
      <c r="I31" s="353">
        <f t="shared" si="1"/>
        <v>3624.87</v>
      </c>
      <c r="J31" s="353">
        <f t="shared" si="1"/>
        <v>3624.87</v>
      </c>
      <c r="K31" s="353">
        <f t="shared" si="1"/>
        <v>2666.4960000000001</v>
      </c>
      <c r="L31" s="352">
        <f t="shared" si="1"/>
        <v>2826.4859999999999</v>
      </c>
    </row>
    <row r="32" spans="1:12" ht="28.5" customHeight="1" x14ac:dyDescent="0.25">
      <c r="A32" s="281"/>
      <c r="B32" s="285" t="s">
        <v>153</v>
      </c>
      <c r="C32" s="272"/>
      <c r="D32" s="271" t="s">
        <v>456</v>
      </c>
      <c r="E32" s="271" t="s">
        <v>495</v>
      </c>
      <c r="F32" s="271" t="s">
        <v>152</v>
      </c>
      <c r="G32" s="271"/>
      <c r="H32" s="353">
        <f>H33+H34</f>
        <v>1930.1189999999999</v>
      </c>
      <c r="I32" s="353">
        <f>I33+I34</f>
        <v>3624.87</v>
      </c>
      <c r="J32" s="353">
        <f>J33+J34</f>
        <v>3624.87</v>
      </c>
      <c r="K32" s="353">
        <f>K33+K34</f>
        <v>2666.4960000000001</v>
      </c>
      <c r="L32" s="352">
        <f>L33+L34</f>
        <v>2826.4859999999999</v>
      </c>
    </row>
    <row r="33" spans="1:12" x14ac:dyDescent="0.25">
      <c r="A33" s="281"/>
      <c r="B33" s="284" t="s">
        <v>571</v>
      </c>
      <c r="C33" s="283"/>
      <c r="D33" s="271" t="s">
        <v>456</v>
      </c>
      <c r="E33" s="271" t="s">
        <v>495</v>
      </c>
      <c r="F33" s="271" t="s">
        <v>152</v>
      </c>
      <c r="G33" s="271" t="s">
        <v>5</v>
      </c>
      <c r="H33" s="353">
        <v>611.298</v>
      </c>
      <c r="I33" s="353">
        <v>2113.77</v>
      </c>
      <c r="J33" s="353">
        <v>2113.77</v>
      </c>
      <c r="K33" s="353">
        <v>833.33799999999997</v>
      </c>
      <c r="L33" s="352">
        <v>883.33799999999997</v>
      </c>
    </row>
    <row r="34" spans="1:12" ht="20.5" thickBot="1" x14ac:dyDescent="0.3">
      <c r="A34" s="281"/>
      <c r="B34" s="284" t="s">
        <v>454</v>
      </c>
      <c r="C34" s="283"/>
      <c r="D34" s="271" t="s">
        <v>456</v>
      </c>
      <c r="E34" s="271" t="s">
        <v>495</v>
      </c>
      <c r="F34" s="271" t="s">
        <v>152</v>
      </c>
      <c r="G34" s="271" t="s">
        <v>1</v>
      </c>
      <c r="H34" s="353">
        <v>1318.8209999999999</v>
      </c>
      <c r="I34" s="353">
        <f>40+1471.1</f>
        <v>1511.1</v>
      </c>
      <c r="J34" s="353">
        <f>40+1471.1</f>
        <v>1511.1</v>
      </c>
      <c r="K34" s="353">
        <v>1833.1579999999999</v>
      </c>
      <c r="L34" s="352">
        <v>1943.1479999999999</v>
      </c>
    </row>
    <row r="35" spans="1:12" ht="30" hidden="1" x14ac:dyDescent="0.25">
      <c r="A35" s="273"/>
      <c r="B35" s="342" t="s">
        <v>590</v>
      </c>
      <c r="C35" s="340"/>
      <c r="D35" s="271" t="s">
        <v>456</v>
      </c>
      <c r="E35" s="271" t="s">
        <v>495</v>
      </c>
      <c r="F35" s="271" t="s">
        <v>117</v>
      </c>
      <c r="G35" s="271"/>
      <c r="H35" s="353">
        <f t="shared" ref="H35:J37" si="2">H36</f>
        <v>599.60299999999995</v>
      </c>
      <c r="I35" s="353">
        <f t="shared" si="2"/>
        <v>1424.04</v>
      </c>
      <c r="J35" s="353">
        <f t="shared" si="2"/>
        <v>1424.04</v>
      </c>
      <c r="K35" s="353"/>
      <c r="L35" s="352"/>
    </row>
    <row r="36" spans="1:12" ht="27.75" hidden="1" customHeight="1" x14ac:dyDescent="0.25">
      <c r="A36" s="273"/>
      <c r="B36" s="342" t="s">
        <v>582</v>
      </c>
      <c r="C36" s="340"/>
      <c r="D36" s="271" t="s">
        <v>456</v>
      </c>
      <c r="E36" s="271" t="s">
        <v>495</v>
      </c>
      <c r="F36" s="271" t="s">
        <v>116</v>
      </c>
      <c r="G36" s="271"/>
      <c r="H36" s="353">
        <f t="shared" si="2"/>
        <v>599.60299999999995</v>
      </c>
      <c r="I36" s="353">
        <f t="shared" si="2"/>
        <v>1424.04</v>
      </c>
      <c r="J36" s="353">
        <f t="shared" si="2"/>
        <v>1424.04</v>
      </c>
      <c r="K36" s="353"/>
      <c r="L36" s="352"/>
    </row>
    <row r="37" spans="1:12" ht="30" hidden="1" x14ac:dyDescent="0.25">
      <c r="A37" s="273"/>
      <c r="B37" s="342" t="s">
        <v>589</v>
      </c>
      <c r="C37" s="340"/>
      <c r="D37" s="271" t="s">
        <v>456</v>
      </c>
      <c r="E37" s="271" t="s">
        <v>495</v>
      </c>
      <c r="F37" s="271" t="s">
        <v>113</v>
      </c>
      <c r="G37" s="271"/>
      <c r="H37" s="353">
        <f t="shared" si="2"/>
        <v>599.60299999999995</v>
      </c>
      <c r="I37" s="353">
        <f t="shared" si="2"/>
        <v>1424.04</v>
      </c>
      <c r="J37" s="353">
        <f t="shared" si="2"/>
        <v>1424.04</v>
      </c>
      <c r="K37" s="353"/>
      <c r="L37" s="352"/>
    </row>
    <row r="38" spans="1:12" hidden="1" x14ac:dyDescent="0.25">
      <c r="A38" s="281"/>
      <c r="B38" s="284" t="s">
        <v>571</v>
      </c>
      <c r="C38" s="283"/>
      <c r="D38" s="271" t="s">
        <v>456</v>
      </c>
      <c r="E38" s="271" t="s">
        <v>495</v>
      </c>
      <c r="F38" s="271" t="s">
        <v>113</v>
      </c>
      <c r="G38" s="271" t="s">
        <v>5</v>
      </c>
      <c r="H38" s="353">
        <v>599.60299999999995</v>
      </c>
      <c r="I38" s="353">
        <v>1424.04</v>
      </c>
      <c r="J38" s="353">
        <v>1424.04</v>
      </c>
      <c r="K38" s="353"/>
      <c r="L38" s="352"/>
    </row>
    <row r="39" spans="1:12" ht="20" hidden="1" x14ac:dyDescent="0.25">
      <c r="A39" s="281"/>
      <c r="B39" s="342" t="s">
        <v>122</v>
      </c>
      <c r="C39" s="356"/>
      <c r="D39" s="278" t="s">
        <v>456</v>
      </c>
      <c r="E39" s="278" t="s">
        <v>585</v>
      </c>
      <c r="F39" s="278"/>
      <c r="G39" s="278"/>
      <c r="H39" s="355">
        <f t="shared" ref="H39:L43" si="3">H40</f>
        <v>188.2</v>
      </c>
      <c r="I39" s="355">
        <f t="shared" si="3"/>
        <v>1048.4000000000001</v>
      </c>
      <c r="J39" s="355">
        <f t="shared" si="3"/>
        <v>1048.4000000000001</v>
      </c>
      <c r="K39" s="355">
        <f t="shared" si="3"/>
        <v>0</v>
      </c>
      <c r="L39" s="354">
        <f t="shared" si="3"/>
        <v>0</v>
      </c>
    </row>
    <row r="40" spans="1:12" ht="30" hidden="1" x14ac:dyDescent="0.25">
      <c r="A40" s="273"/>
      <c r="B40" s="285" t="s">
        <v>588</v>
      </c>
      <c r="C40" s="272"/>
      <c r="D40" s="271" t="s">
        <v>456</v>
      </c>
      <c r="E40" s="271" t="s">
        <v>585</v>
      </c>
      <c r="F40" s="271" t="s">
        <v>157</v>
      </c>
      <c r="G40" s="271"/>
      <c r="H40" s="353">
        <f t="shared" si="3"/>
        <v>188.2</v>
      </c>
      <c r="I40" s="353">
        <f t="shared" si="3"/>
        <v>1048.4000000000001</v>
      </c>
      <c r="J40" s="353">
        <f t="shared" si="3"/>
        <v>1048.4000000000001</v>
      </c>
      <c r="K40" s="353">
        <f t="shared" si="3"/>
        <v>0</v>
      </c>
      <c r="L40" s="352">
        <f t="shared" si="3"/>
        <v>0</v>
      </c>
    </row>
    <row r="41" spans="1:12" ht="20" hidden="1" x14ac:dyDescent="0.25">
      <c r="A41" s="281"/>
      <c r="B41" s="285" t="s">
        <v>587</v>
      </c>
      <c r="C41" s="272"/>
      <c r="D41" s="271" t="s">
        <v>456</v>
      </c>
      <c r="E41" s="271" t="s">
        <v>585</v>
      </c>
      <c r="F41" s="271" t="s">
        <v>155</v>
      </c>
      <c r="G41" s="271"/>
      <c r="H41" s="353">
        <f t="shared" si="3"/>
        <v>188.2</v>
      </c>
      <c r="I41" s="353">
        <f t="shared" si="3"/>
        <v>1048.4000000000001</v>
      </c>
      <c r="J41" s="353">
        <f t="shared" si="3"/>
        <v>1048.4000000000001</v>
      </c>
      <c r="K41" s="353">
        <f t="shared" si="3"/>
        <v>0</v>
      </c>
      <c r="L41" s="352">
        <f t="shared" si="3"/>
        <v>0</v>
      </c>
    </row>
    <row r="42" spans="1:12" hidden="1" x14ac:dyDescent="0.25">
      <c r="A42" s="281"/>
      <c r="B42" s="285" t="s">
        <v>582</v>
      </c>
      <c r="C42" s="272"/>
      <c r="D42" s="271" t="s">
        <v>456</v>
      </c>
      <c r="E42" s="271" t="s">
        <v>585</v>
      </c>
      <c r="F42" s="271" t="s">
        <v>154</v>
      </c>
      <c r="G42" s="271"/>
      <c r="H42" s="353">
        <f t="shared" si="3"/>
        <v>188.2</v>
      </c>
      <c r="I42" s="353">
        <f t="shared" si="3"/>
        <v>1048.4000000000001</v>
      </c>
      <c r="J42" s="353">
        <f t="shared" si="3"/>
        <v>1048.4000000000001</v>
      </c>
      <c r="K42" s="353">
        <f t="shared" si="3"/>
        <v>0</v>
      </c>
      <c r="L42" s="352">
        <f t="shared" si="3"/>
        <v>0</v>
      </c>
    </row>
    <row r="43" spans="1:12" ht="20" hidden="1" x14ac:dyDescent="0.25">
      <c r="A43" s="281"/>
      <c r="B43" s="342" t="s">
        <v>586</v>
      </c>
      <c r="C43" s="340"/>
      <c r="D43" s="271" t="s">
        <v>456</v>
      </c>
      <c r="E43" s="271" t="s">
        <v>585</v>
      </c>
      <c r="F43" s="271" t="s">
        <v>129</v>
      </c>
      <c r="G43" s="271"/>
      <c r="H43" s="353">
        <f t="shared" si="3"/>
        <v>188.2</v>
      </c>
      <c r="I43" s="353">
        <f t="shared" si="3"/>
        <v>1048.4000000000001</v>
      </c>
      <c r="J43" s="353">
        <f t="shared" si="3"/>
        <v>1048.4000000000001</v>
      </c>
      <c r="K43" s="353">
        <f t="shared" si="3"/>
        <v>0</v>
      </c>
      <c r="L43" s="352">
        <f t="shared" si="3"/>
        <v>0</v>
      </c>
    </row>
    <row r="44" spans="1:12" ht="13" hidden="1" thickBot="1" x14ac:dyDescent="0.3">
      <c r="A44" s="360"/>
      <c r="B44" s="303" t="s">
        <v>575</v>
      </c>
      <c r="C44" s="302"/>
      <c r="D44" s="301" t="s">
        <v>456</v>
      </c>
      <c r="E44" s="301" t="s">
        <v>585</v>
      </c>
      <c r="F44" s="301" t="s">
        <v>129</v>
      </c>
      <c r="G44" s="301" t="s">
        <v>120</v>
      </c>
      <c r="H44" s="359">
        <v>188.2</v>
      </c>
      <c r="I44" s="359">
        <v>1048.4000000000001</v>
      </c>
      <c r="J44" s="359">
        <v>1048.4000000000001</v>
      </c>
      <c r="K44" s="359"/>
      <c r="L44" s="358"/>
    </row>
    <row r="45" spans="1:12" ht="21.5" thickBot="1" x14ac:dyDescent="0.3">
      <c r="A45" s="298">
        <v>2</v>
      </c>
      <c r="B45" s="357" t="s">
        <v>584</v>
      </c>
      <c r="C45" s="296" t="s">
        <v>430</v>
      </c>
      <c r="D45" s="296"/>
      <c r="E45" s="296"/>
      <c r="F45" s="296"/>
      <c r="G45" s="296"/>
      <c r="H45" s="293">
        <f>H46+H95+H120+H168+H224+H235+H255+H270+H87</f>
        <v>98773.693999999989</v>
      </c>
      <c r="I45" s="293">
        <f>I46+I95+I120+I168+I224+I235+I255+I270</f>
        <v>258746.88900000002</v>
      </c>
      <c r="J45" s="293">
        <f>J46+J95+J120+J168+J224+J235+J255+J270</f>
        <v>248434.88200000001</v>
      </c>
      <c r="K45" s="293">
        <f>K46+K95+K120+K168+K224+K235+K255+K270+K87</f>
        <v>97603.710999999981</v>
      </c>
      <c r="L45" s="292">
        <f>L46+L95+L120+L168+L224+L235+L255+L270+L87</f>
        <v>99344.744999999995</v>
      </c>
    </row>
    <row r="46" spans="1:12" x14ac:dyDescent="0.25">
      <c r="A46" s="291"/>
      <c r="B46" s="290" t="s">
        <v>431</v>
      </c>
      <c r="C46" s="289"/>
      <c r="D46" s="288" t="s">
        <v>456</v>
      </c>
      <c r="E46" s="288" t="s">
        <v>459</v>
      </c>
      <c r="F46" s="288"/>
      <c r="G46" s="288"/>
      <c r="H46" s="287">
        <f>H47+H64+H70</f>
        <v>19259.577000000001</v>
      </c>
      <c r="I46" s="287">
        <f>I47+I64+I70</f>
        <v>7819.76</v>
      </c>
      <c r="J46" s="287">
        <f>J47+J64+J70</f>
        <v>5319.76</v>
      </c>
      <c r="K46" s="287">
        <f>K47+K64+K70</f>
        <v>19368.496999999999</v>
      </c>
      <c r="L46" s="286">
        <f>L47+L64+L70</f>
        <v>20490.279000000002</v>
      </c>
    </row>
    <row r="47" spans="1:12" ht="31.5" x14ac:dyDescent="0.25">
      <c r="A47" s="281"/>
      <c r="B47" s="756" t="s">
        <v>105</v>
      </c>
      <c r="C47" s="356"/>
      <c r="D47" s="278" t="s">
        <v>456</v>
      </c>
      <c r="E47" s="278" t="s">
        <v>452</v>
      </c>
      <c r="F47" s="278"/>
      <c r="G47" s="278"/>
      <c r="H47" s="355">
        <f>H48</f>
        <v>15321.947</v>
      </c>
      <c r="I47" s="355">
        <f>I48</f>
        <v>1048.4000000000001</v>
      </c>
      <c r="J47" s="355">
        <f>J48</f>
        <v>1048.4000000000001</v>
      </c>
      <c r="K47" s="355">
        <f>K48</f>
        <v>15370.41</v>
      </c>
      <c r="L47" s="354">
        <f>L48</f>
        <v>16292.628000000001</v>
      </c>
    </row>
    <row r="48" spans="1:12" ht="30" x14ac:dyDescent="0.25">
      <c r="A48" s="273"/>
      <c r="B48" s="285" t="s">
        <v>583</v>
      </c>
      <c r="C48" s="272"/>
      <c r="D48" s="271" t="s">
        <v>456</v>
      </c>
      <c r="E48" s="271" t="s">
        <v>452</v>
      </c>
      <c r="F48" s="271" t="s">
        <v>157</v>
      </c>
      <c r="G48" s="271"/>
      <c r="H48" s="353">
        <f>H49+H60</f>
        <v>15321.947</v>
      </c>
      <c r="I48" s="353">
        <f t="shared" ref="I48:J51" si="4">I49</f>
        <v>1048.4000000000001</v>
      </c>
      <c r="J48" s="353">
        <f t="shared" si="4"/>
        <v>1048.4000000000001</v>
      </c>
      <c r="K48" s="353">
        <f>K49+K60</f>
        <v>15370.41</v>
      </c>
      <c r="L48" s="352">
        <f>L49+L60</f>
        <v>16292.628000000001</v>
      </c>
    </row>
    <row r="49" spans="1:12" ht="30" x14ac:dyDescent="0.25">
      <c r="A49" s="281"/>
      <c r="B49" s="274" t="s">
        <v>156</v>
      </c>
      <c r="C49" s="272"/>
      <c r="D49" s="271" t="s">
        <v>456</v>
      </c>
      <c r="E49" s="271" t="s">
        <v>452</v>
      </c>
      <c r="F49" s="271" t="s">
        <v>155</v>
      </c>
      <c r="G49" s="271"/>
      <c r="H49" s="353">
        <f>H50</f>
        <v>13871.081</v>
      </c>
      <c r="I49" s="353">
        <f t="shared" si="4"/>
        <v>1048.4000000000001</v>
      </c>
      <c r="J49" s="353">
        <f t="shared" si="4"/>
        <v>1048.4000000000001</v>
      </c>
      <c r="K49" s="353">
        <f>K50</f>
        <v>13829.983</v>
      </c>
      <c r="L49" s="352">
        <f>L50</f>
        <v>14659.775</v>
      </c>
    </row>
    <row r="50" spans="1:12" ht="27" customHeight="1" x14ac:dyDescent="0.25">
      <c r="A50" s="281"/>
      <c r="B50" s="285" t="s">
        <v>582</v>
      </c>
      <c r="C50" s="272"/>
      <c r="D50" s="271" t="s">
        <v>456</v>
      </c>
      <c r="E50" s="271" t="s">
        <v>452</v>
      </c>
      <c r="F50" s="271" t="s">
        <v>154</v>
      </c>
      <c r="G50" s="271"/>
      <c r="H50" s="353">
        <f>H51+H54+H56+H58</f>
        <v>13871.081</v>
      </c>
      <c r="I50" s="353">
        <f t="shared" si="4"/>
        <v>1048.4000000000001</v>
      </c>
      <c r="J50" s="353">
        <f t="shared" si="4"/>
        <v>1048.4000000000001</v>
      </c>
      <c r="K50" s="353">
        <f>K51+K54+K56+K58</f>
        <v>13829.983</v>
      </c>
      <c r="L50" s="352">
        <f>L51+L54+L56+L58</f>
        <v>14659.775</v>
      </c>
    </row>
    <row r="51" spans="1:12" ht="32.25" customHeight="1" x14ac:dyDescent="0.25">
      <c r="A51" s="281"/>
      <c r="B51" s="337" t="s">
        <v>153</v>
      </c>
      <c r="C51" s="340"/>
      <c r="D51" s="271" t="s">
        <v>456</v>
      </c>
      <c r="E51" s="271" t="s">
        <v>452</v>
      </c>
      <c r="F51" s="271" t="s">
        <v>152</v>
      </c>
      <c r="G51" s="271"/>
      <c r="H51" s="353">
        <f>H52+H53</f>
        <v>13321.521000000001</v>
      </c>
      <c r="I51" s="353">
        <f t="shared" si="4"/>
        <v>1048.4000000000001</v>
      </c>
      <c r="J51" s="353">
        <f t="shared" si="4"/>
        <v>1048.4000000000001</v>
      </c>
      <c r="K51" s="353">
        <f>K52+K53</f>
        <v>13829.983</v>
      </c>
      <c r="L51" s="352">
        <f>L52+L53</f>
        <v>14659.775</v>
      </c>
    </row>
    <row r="52" spans="1:12" x14ac:dyDescent="0.25">
      <c r="A52" s="281"/>
      <c r="B52" s="284" t="s">
        <v>571</v>
      </c>
      <c r="C52" s="283"/>
      <c r="D52" s="271" t="s">
        <v>456</v>
      </c>
      <c r="E52" s="271" t="s">
        <v>452</v>
      </c>
      <c r="F52" s="271" t="s">
        <v>152</v>
      </c>
      <c r="G52" s="271" t="s">
        <v>5</v>
      </c>
      <c r="H52" s="353">
        <v>8247.4490000000005</v>
      </c>
      <c r="I52" s="353">
        <v>1048.4000000000001</v>
      </c>
      <c r="J52" s="353">
        <v>1048.4000000000001</v>
      </c>
      <c r="K52" s="353">
        <v>10225.522000000001</v>
      </c>
      <c r="L52" s="352">
        <v>10839.053</v>
      </c>
    </row>
    <row r="53" spans="1:12" ht="20" x14ac:dyDescent="0.25">
      <c r="A53" s="281"/>
      <c r="B53" s="284" t="s">
        <v>454</v>
      </c>
      <c r="C53" s="283"/>
      <c r="D53" s="271" t="s">
        <v>456</v>
      </c>
      <c r="E53" s="271" t="s">
        <v>452</v>
      </c>
      <c r="F53" s="271" t="s">
        <v>152</v>
      </c>
      <c r="G53" s="271" t="s">
        <v>1</v>
      </c>
      <c r="H53" s="353">
        <v>5074.0720000000001</v>
      </c>
      <c r="I53" s="353"/>
      <c r="J53" s="353"/>
      <c r="K53" s="353">
        <v>3604.4609999999998</v>
      </c>
      <c r="L53" s="352">
        <v>3820.7220000000002</v>
      </c>
    </row>
    <row r="54" spans="1:12" ht="20.5" hidden="1" x14ac:dyDescent="0.25">
      <c r="A54" s="281"/>
      <c r="B54" s="346" t="s">
        <v>151</v>
      </c>
      <c r="C54" s="340"/>
      <c r="D54" s="271" t="s">
        <v>456</v>
      </c>
      <c r="E54" s="271" t="s">
        <v>452</v>
      </c>
      <c r="F54" s="271" t="s">
        <v>150</v>
      </c>
      <c r="G54" s="271"/>
      <c r="H54" s="270">
        <f>H55</f>
        <v>47.06</v>
      </c>
      <c r="I54" s="270">
        <f>I55</f>
        <v>293.3</v>
      </c>
      <c r="J54" s="270">
        <f>J55</f>
        <v>293.3</v>
      </c>
      <c r="K54" s="270">
        <f>K55</f>
        <v>0</v>
      </c>
      <c r="L54" s="269">
        <f>L55</f>
        <v>0</v>
      </c>
    </row>
    <row r="55" spans="1:12" hidden="1" x14ac:dyDescent="0.25">
      <c r="A55" s="281"/>
      <c r="B55" s="284" t="s">
        <v>575</v>
      </c>
      <c r="C55" s="283"/>
      <c r="D55" s="271" t="s">
        <v>456</v>
      </c>
      <c r="E55" s="271" t="s">
        <v>452</v>
      </c>
      <c r="F55" s="271" t="s">
        <v>150</v>
      </c>
      <c r="G55" s="271" t="s">
        <v>120</v>
      </c>
      <c r="H55" s="270">
        <v>47.06</v>
      </c>
      <c r="I55" s="270">
        <v>293.3</v>
      </c>
      <c r="J55" s="270">
        <v>293.3</v>
      </c>
      <c r="K55" s="270"/>
      <c r="L55" s="269"/>
    </row>
    <row r="56" spans="1:12" ht="20" hidden="1" x14ac:dyDescent="0.25">
      <c r="A56" s="281"/>
      <c r="B56" s="351" t="s">
        <v>149</v>
      </c>
      <c r="C56" s="340"/>
      <c r="D56" s="271" t="s">
        <v>456</v>
      </c>
      <c r="E56" s="271" t="s">
        <v>452</v>
      </c>
      <c r="F56" s="271" t="s">
        <v>148</v>
      </c>
      <c r="G56" s="271"/>
      <c r="H56" s="270">
        <f>H57</f>
        <v>304.5</v>
      </c>
      <c r="I56" s="270">
        <f>I57</f>
        <v>293.3</v>
      </c>
      <c r="J56" s="270">
        <f>J57</f>
        <v>293.3</v>
      </c>
      <c r="K56" s="270">
        <f>K57</f>
        <v>0</v>
      </c>
      <c r="L56" s="269">
        <f>L57</f>
        <v>0</v>
      </c>
    </row>
    <row r="57" spans="1:12" hidden="1" x14ac:dyDescent="0.25">
      <c r="A57" s="281"/>
      <c r="B57" s="284" t="s">
        <v>575</v>
      </c>
      <c r="C57" s="283"/>
      <c r="D57" s="271" t="s">
        <v>456</v>
      </c>
      <c r="E57" s="271" t="s">
        <v>452</v>
      </c>
      <c r="F57" s="271" t="s">
        <v>148</v>
      </c>
      <c r="G57" s="271" t="s">
        <v>120</v>
      </c>
      <c r="H57" s="270">
        <v>304.5</v>
      </c>
      <c r="I57" s="270">
        <v>293.3</v>
      </c>
      <c r="J57" s="270">
        <v>293.3</v>
      </c>
      <c r="K57" s="270"/>
      <c r="L57" s="269"/>
    </row>
    <row r="58" spans="1:12" ht="40" hidden="1" x14ac:dyDescent="0.25">
      <c r="A58" s="281"/>
      <c r="B58" s="350" t="s">
        <v>145</v>
      </c>
      <c r="C58" s="283"/>
      <c r="D58" s="271" t="s">
        <v>456</v>
      </c>
      <c r="E58" s="271" t="s">
        <v>452</v>
      </c>
      <c r="F58" s="271" t="s">
        <v>144</v>
      </c>
      <c r="G58" s="271"/>
      <c r="H58" s="270">
        <f>H59</f>
        <v>198</v>
      </c>
      <c r="I58" s="270"/>
      <c r="J58" s="270"/>
      <c r="K58" s="270">
        <f>K59</f>
        <v>0</v>
      </c>
      <c r="L58" s="269">
        <f>L59</f>
        <v>0</v>
      </c>
    </row>
    <row r="59" spans="1:12" hidden="1" x14ac:dyDescent="0.25">
      <c r="A59" s="281"/>
      <c r="B59" s="284" t="s">
        <v>575</v>
      </c>
      <c r="C59" s="283"/>
      <c r="D59" s="271" t="s">
        <v>456</v>
      </c>
      <c r="E59" s="271" t="s">
        <v>452</v>
      </c>
      <c r="F59" s="271" t="s">
        <v>144</v>
      </c>
      <c r="G59" s="271" t="s">
        <v>120</v>
      </c>
      <c r="H59" s="270">
        <v>198</v>
      </c>
      <c r="I59" s="270"/>
      <c r="J59" s="270"/>
      <c r="K59" s="270"/>
      <c r="L59" s="269"/>
    </row>
    <row r="60" spans="1:12" ht="30" x14ac:dyDescent="0.25">
      <c r="A60" s="281"/>
      <c r="B60" s="306" t="s">
        <v>111</v>
      </c>
      <c r="C60" s="283"/>
      <c r="D60" s="271" t="s">
        <v>456</v>
      </c>
      <c r="E60" s="271" t="s">
        <v>452</v>
      </c>
      <c r="F60" s="349" t="s">
        <v>110</v>
      </c>
      <c r="G60" s="271"/>
      <c r="H60" s="270">
        <f>H61</f>
        <v>1450.866</v>
      </c>
      <c r="I60" s="270"/>
      <c r="J60" s="270"/>
      <c r="K60" s="270">
        <f t="shared" ref="K60:L62" si="5">K61</f>
        <v>1540.4269999999999</v>
      </c>
      <c r="L60" s="269">
        <f t="shared" si="5"/>
        <v>1632.8530000000001</v>
      </c>
    </row>
    <row r="61" spans="1:12" x14ac:dyDescent="0.25">
      <c r="A61" s="281"/>
      <c r="B61" s="274" t="s">
        <v>109</v>
      </c>
      <c r="C61" s="283"/>
      <c r="D61" s="271" t="s">
        <v>456</v>
      </c>
      <c r="E61" s="271" t="s">
        <v>452</v>
      </c>
      <c r="F61" s="349" t="s">
        <v>108</v>
      </c>
      <c r="G61" s="271"/>
      <c r="H61" s="270">
        <f>H62</f>
        <v>1450.866</v>
      </c>
      <c r="I61" s="270"/>
      <c r="J61" s="270"/>
      <c r="K61" s="270">
        <f t="shared" si="5"/>
        <v>1540.4269999999999</v>
      </c>
      <c r="L61" s="269">
        <f t="shared" si="5"/>
        <v>1632.8530000000001</v>
      </c>
    </row>
    <row r="62" spans="1:12" ht="20" x14ac:dyDescent="0.25">
      <c r="A62" s="281"/>
      <c r="B62" s="275" t="s">
        <v>107</v>
      </c>
      <c r="C62" s="283"/>
      <c r="D62" s="271" t="s">
        <v>456</v>
      </c>
      <c r="E62" s="271" t="s">
        <v>452</v>
      </c>
      <c r="F62" s="349" t="s">
        <v>104</v>
      </c>
      <c r="G62" s="271"/>
      <c r="H62" s="270">
        <f>H63</f>
        <v>1450.866</v>
      </c>
      <c r="I62" s="270"/>
      <c r="J62" s="270"/>
      <c r="K62" s="270">
        <f t="shared" si="5"/>
        <v>1540.4269999999999</v>
      </c>
      <c r="L62" s="269">
        <f t="shared" si="5"/>
        <v>1632.8530000000001</v>
      </c>
    </row>
    <row r="63" spans="1:12" x14ac:dyDescent="0.25">
      <c r="A63" s="281"/>
      <c r="B63" s="284" t="s">
        <v>571</v>
      </c>
      <c r="C63" s="283"/>
      <c r="D63" s="271" t="s">
        <v>456</v>
      </c>
      <c r="E63" s="271" t="s">
        <v>452</v>
      </c>
      <c r="F63" s="349" t="s">
        <v>104</v>
      </c>
      <c r="G63" s="271" t="s">
        <v>5</v>
      </c>
      <c r="H63" s="270">
        <v>1450.866</v>
      </c>
      <c r="I63" s="270"/>
      <c r="J63" s="270"/>
      <c r="K63" s="270">
        <v>1540.4269999999999</v>
      </c>
      <c r="L63" s="269">
        <v>1632.8530000000001</v>
      </c>
    </row>
    <row r="64" spans="1:12" x14ac:dyDescent="0.25">
      <c r="A64" s="281"/>
      <c r="B64" s="282" t="s">
        <v>68</v>
      </c>
      <c r="C64" s="279"/>
      <c r="D64" s="278" t="s">
        <v>456</v>
      </c>
      <c r="E64" s="278" t="s">
        <v>464</v>
      </c>
      <c r="F64" s="278"/>
      <c r="G64" s="278"/>
      <c r="H64" s="277">
        <f t="shared" ref="H64:L68" si="6">H65</f>
        <v>3045.93</v>
      </c>
      <c r="I64" s="277">
        <f t="shared" si="6"/>
        <v>1000</v>
      </c>
      <c r="J64" s="277">
        <f t="shared" si="6"/>
        <v>1000</v>
      </c>
      <c r="K64" s="277">
        <f t="shared" si="6"/>
        <v>3172</v>
      </c>
      <c r="L64" s="276">
        <f t="shared" si="6"/>
        <v>3322</v>
      </c>
    </row>
    <row r="65" spans="1:12" ht="20" x14ac:dyDescent="0.25">
      <c r="A65" s="273"/>
      <c r="B65" s="285" t="s">
        <v>499</v>
      </c>
      <c r="C65" s="272"/>
      <c r="D65" s="271" t="s">
        <v>456</v>
      </c>
      <c r="E65" s="271" t="s">
        <v>464</v>
      </c>
      <c r="F65" s="271" t="s">
        <v>89</v>
      </c>
      <c r="G65" s="271"/>
      <c r="H65" s="270">
        <f t="shared" si="6"/>
        <v>3045.93</v>
      </c>
      <c r="I65" s="270">
        <f t="shared" si="6"/>
        <v>1000</v>
      </c>
      <c r="J65" s="270">
        <f t="shared" si="6"/>
        <v>1000</v>
      </c>
      <c r="K65" s="270">
        <f t="shared" si="6"/>
        <v>3172</v>
      </c>
      <c r="L65" s="269">
        <f t="shared" si="6"/>
        <v>3322</v>
      </c>
    </row>
    <row r="66" spans="1:12" ht="26.25" customHeight="1" x14ac:dyDescent="0.25">
      <c r="A66" s="281"/>
      <c r="B66" s="272" t="s">
        <v>109</v>
      </c>
      <c r="C66" s="272"/>
      <c r="D66" s="271" t="s">
        <v>456</v>
      </c>
      <c r="E66" s="271" t="s">
        <v>464</v>
      </c>
      <c r="F66" s="271" t="s">
        <v>581</v>
      </c>
      <c r="G66" s="271"/>
      <c r="H66" s="270">
        <f t="shared" si="6"/>
        <v>3045.93</v>
      </c>
      <c r="I66" s="270">
        <f t="shared" si="6"/>
        <v>1000</v>
      </c>
      <c r="J66" s="270">
        <f t="shared" si="6"/>
        <v>1000</v>
      </c>
      <c r="K66" s="270">
        <f t="shared" si="6"/>
        <v>3172</v>
      </c>
      <c r="L66" s="269">
        <f t="shared" si="6"/>
        <v>3322</v>
      </c>
    </row>
    <row r="67" spans="1:12" ht="24.75" customHeight="1" x14ac:dyDescent="0.25">
      <c r="A67" s="281"/>
      <c r="B67" s="272" t="s">
        <v>109</v>
      </c>
      <c r="C67" s="272"/>
      <c r="D67" s="271" t="s">
        <v>456</v>
      </c>
      <c r="E67" s="271" t="s">
        <v>464</v>
      </c>
      <c r="F67" s="271" t="s">
        <v>82</v>
      </c>
      <c r="G67" s="271"/>
      <c r="H67" s="270">
        <f t="shared" si="6"/>
        <v>3045.93</v>
      </c>
      <c r="I67" s="270">
        <f t="shared" si="6"/>
        <v>1000</v>
      </c>
      <c r="J67" s="270">
        <f t="shared" si="6"/>
        <v>1000</v>
      </c>
      <c r="K67" s="270">
        <f t="shared" si="6"/>
        <v>3172</v>
      </c>
      <c r="L67" s="269">
        <f t="shared" si="6"/>
        <v>3322</v>
      </c>
    </row>
    <row r="68" spans="1:12" ht="24.75" customHeight="1" x14ac:dyDescent="0.25">
      <c r="A68" s="281"/>
      <c r="B68" s="272" t="s">
        <v>72</v>
      </c>
      <c r="C68" s="272"/>
      <c r="D68" s="271" t="s">
        <v>456</v>
      </c>
      <c r="E68" s="271" t="s">
        <v>464</v>
      </c>
      <c r="F68" s="271" t="s">
        <v>67</v>
      </c>
      <c r="G68" s="271"/>
      <c r="H68" s="270">
        <f t="shared" si="6"/>
        <v>3045.93</v>
      </c>
      <c r="I68" s="270">
        <f t="shared" si="6"/>
        <v>1000</v>
      </c>
      <c r="J68" s="270">
        <f t="shared" si="6"/>
        <v>1000</v>
      </c>
      <c r="K68" s="270">
        <f t="shared" si="6"/>
        <v>3172</v>
      </c>
      <c r="L68" s="269">
        <f t="shared" si="6"/>
        <v>3322</v>
      </c>
    </row>
    <row r="69" spans="1:12" ht="24" customHeight="1" x14ac:dyDescent="0.25">
      <c r="A69" s="281"/>
      <c r="B69" s="284" t="s">
        <v>580</v>
      </c>
      <c r="C69" s="283"/>
      <c r="D69" s="271" t="s">
        <v>456</v>
      </c>
      <c r="E69" s="271" t="s">
        <v>464</v>
      </c>
      <c r="F69" s="271" t="s">
        <v>67</v>
      </c>
      <c r="G69" s="271" t="s">
        <v>579</v>
      </c>
      <c r="H69" s="270">
        <v>3045.93</v>
      </c>
      <c r="I69" s="270">
        <v>1000</v>
      </c>
      <c r="J69" s="270">
        <v>1000</v>
      </c>
      <c r="K69" s="270">
        <v>3172</v>
      </c>
      <c r="L69" s="269">
        <v>3322</v>
      </c>
    </row>
    <row r="70" spans="1:12" x14ac:dyDescent="0.25">
      <c r="A70" s="281"/>
      <c r="B70" s="282" t="s">
        <v>93</v>
      </c>
      <c r="C70" s="279"/>
      <c r="D70" s="278" t="s">
        <v>456</v>
      </c>
      <c r="E70" s="278" t="s">
        <v>573</v>
      </c>
      <c r="F70" s="278"/>
      <c r="G70" s="278"/>
      <c r="H70" s="277">
        <f>H71+H77</f>
        <v>891.7</v>
      </c>
      <c r="I70" s="277">
        <f>I71+I77</f>
        <v>5771.3600000000006</v>
      </c>
      <c r="J70" s="277">
        <f>J71+J77</f>
        <v>3271.36</v>
      </c>
      <c r="K70" s="277">
        <f>K71+K77</f>
        <v>826.08699999999999</v>
      </c>
      <c r="L70" s="276">
        <f>L71+L77</f>
        <v>875.65099999999995</v>
      </c>
    </row>
    <row r="71" spans="1:12" x14ac:dyDescent="0.25">
      <c r="A71" s="273"/>
      <c r="B71" s="285" t="s">
        <v>102</v>
      </c>
      <c r="C71" s="272"/>
      <c r="D71" s="271" t="s">
        <v>456</v>
      </c>
      <c r="E71" s="271" t="s">
        <v>573</v>
      </c>
      <c r="F71" s="271" t="s">
        <v>101</v>
      </c>
      <c r="G71" s="271"/>
      <c r="H71" s="270">
        <f t="shared" ref="H71:L73" si="7">H72</f>
        <v>293.2</v>
      </c>
      <c r="I71" s="270">
        <f t="shared" si="7"/>
        <v>4856</v>
      </c>
      <c r="J71" s="270">
        <f t="shared" si="7"/>
        <v>2356</v>
      </c>
      <c r="K71" s="270">
        <f t="shared" si="7"/>
        <v>826.08699999999999</v>
      </c>
      <c r="L71" s="269">
        <f t="shared" si="7"/>
        <v>875.65099999999995</v>
      </c>
    </row>
    <row r="72" spans="1:12" ht="21" customHeight="1" x14ac:dyDescent="0.25">
      <c r="A72" s="273"/>
      <c r="B72" s="285" t="s">
        <v>109</v>
      </c>
      <c r="C72" s="272"/>
      <c r="D72" s="271" t="s">
        <v>456</v>
      </c>
      <c r="E72" s="271" t="s">
        <v>573</v>
      </c>
      <c r="F72" s="271" t="s">
        <v>100</v>
      </c>
      <c r="G72" s="271"/>
      <c r="H72" s="270">
        <f t="shared" si="7"/>
        <v>293.2</v>
      </c>
      <c r="I72" s="270">
        <f t="shared" si="7"/>
        <v>4856</v>
      </c>
      <c r="J72" s="270">
        <f t="shared" si="7"/>
        <v>2356</v>
      </c>
      <c r="K72" s="270">
        <f t="shared" si="7"/>
        <v>826.08699999999999</v>
      </c>
      <c r="L72" s="269">
        <f t="shared" si="7"/>
        <v>875.65099999999995</v>
      </c>
    </row>
    <row r="73" spans="1:12" ht="22.5" customHeight="1" x14ac:dyDescent="0.25">
      <c r="A73" s="273"/>
      <c r="B73" s="285" t="s">
        <v>109</v>
      </c>
      <c r="C73" s="272"/>
      <c r="D73" s="271" t="s">
        <v>456</v>
      </c>
      <c r="E73" s="271" t="s">
        <v>573</v>
      </c>
      <c r="F73" s="271" t="s">
        <v>99</v>
      </c>
      <c r="G73" s="271"/>
      <c r="H73" s="270">
        <f t="shared" si="7"/>
        <v>293.2</v>
      </c>
      <c r="I73" s="270">
        <f t="shared" si="7"/>
        <v>4856</v>
      </c>
      <c r="J73" s="270">
        <f t="shared" si="7"/>
        <v>2356</v>
      </c>
      <c r="K73" s="270">
        <f t="shared" si="7"/>
        <v>826.08699999999999</v>
      </c>
      <c r="L73" s="269">
        <f t="shared" si="7"/>
        <v>875.65099999999995</v>
      </c>
    </row>
    <row r="74" spans="1:12" ht="23.25" customHeight="1" x14ac:dyDescent="0.25">
      <c r="A74" s="273"/>
      <c r="B74" s="285" t="s">
        <v>577</v>
      </c>
      <c r="C74" s="272"/>
      <c r="D74" s="271" t="s">
        <v>456</v>
      </c>
      <c r="E74" s="271" t="s">
        <v>573</v>
      </c>
      <c r="F74" s="271" t="s">
        <v>92</v>
      </c>
      <c r="G74" s="271"/>
      <c r="H74" s="270">
        <f>H75+H76</f>
        <v>293.2</v>
      </c>
      <c r="I74" s="270">
        <f>I75+I76</f>
        <v>4856</v>
      </c>
      <c r="J74" s="270">
        <f>J75+J76</f>
        <v>2356</v>
      </c>
      <c r="K74" s="270">
        <f>K75+K76</f>
        <v>826.08699999999999</v>
      </c>
      <c r="L74" s="269">
        <f>L75+L76</f>
        <v>875.65099999999995</v>
      </c>
    </row>
    <row r="75" spans="1:12" ht="20" x14ac:dyDescent="0.25">
      <c r="A75" s="281"/>
      <c r="B75" s="284" t="s">
        <v>454</v>
      </c>
      <c r="C75" s="283"/>
      <c r="D75" s="271" t="s">
        <v>456</v>
      </c>
      <c r="E75" s="271" t="s">
        <v>573</v>
      </c>
      <c r="F75" s="271" t="s">
        <v>92</v>
      </c>
      <c r="G75" s="271" t="s">
        <v>1</v>
      </c>
      <c r="H75" s="270">
        <v>260</v>
      </c>
      <c r="I75" s="270">
        <v>4756</v>
      </c>
      <c r="J75" s="270">
        <v>2256</v>
      </c>
      <c r="K75" s="270">
        <f>726.095-0.008</f>
        <v>726.08699999999999</v>
      </c>
      <c r="L75" s="269">
        <f>775.659-0.008</f>
        <v>775.65099999999995</v>
      </c>
    </row>
    <row r="76" spans="1:12" ht="22.5" customHeight="1" x14ac:dyDescent="0.25">
      <c r="A76" s="281"/>
      <c r="B76" s="284" t="s">
        <v>457</v>
      </c>
      <c r="C76" s="283"/>
      <c r="D76" s="271" t="s">
        <v>456</v>
      </c>
      <c r="E76" s="271" t="s">
        <v>573</v>
      </c>
      <c r="F76" s="1034" t="s">
        <v>92</v>
      </c>
      <c r="G76" s="271" t="s">
        <v>91</v>
      </c>
      <c r="H76" s="270">
        <v>33.200000000000003</v>
      </c>
      <c r="I76" s="270">
        <f>20+80</f>
        <v>100</v>
      </c>
      <c r="J76" s="270">
        <f>20+80</f>
        <v>100</v>
      </c>
      <c r="K76" s="270">
        <v>100</v>
      </c>
      <c r="L76" s="269">
        <v>100</v>
      </c>
    </row>
    <row r="77" spans="1:12" ht="39" hidden="1" x14ac:dyDescent="0.25">
      <c r="A77" s="332"/>
      <c r="B77" s="348" t="s">
        <v>126</v>
      </c>
      <c r="C77" s="279"/>
      <c r="D77" s="278" t="s">
        <v>456</v>
      </c>
      <c r="E77" s="278" t="s">
        <v>573</v>
      </c>
      <c r="F77" s="278" t="s">
        <v>157</v>
      </c>
      <c r="G77" s="278"/>
      <c r="H77" s="277">
        <f t="shared" ref="H77:L78" si="8">H78</f>
        <v>598.5</v>
      </c>
      <c r="I77" s="277">
        <f t="shared" si="8"/>
        <v>915.36000000000013</v>
      </c>
      <c r="J77" s="277">
        <f t="shared" si="8"/>
        <v>915.36000000000013</v>
      </c>
      <c r="K77" s="277">
        <f t="shared" si="8"/>
        <v>0</v>
      </c>
      <c r="L77" s="276">
        <f t="shared" si="8"/>
        <v>0</v>
      </c>
    </row>
    <row r="78" spans="1:12" ht="39" hidden="1" x14ac:dyDescent="0.25">
      <c r="A78" s="273"/>
      <c r="B78" s="347" t="s">
        <v>578</v>
      </c>
      <c r="C78" s="272"/>
      <c r="D78" s="271" t="s">
        <v>456</v>
      </c>
      <c r="E78" s="271" t="s">
        <v>573</v>
      </c>
      <c r="F78" s="271" t="s">
        <v>155</v>
      </c>
      <c r="G78" s="271"/>
      <c r="H78" s="270">
        <f t="shared" si="8"/>
        <v>598.5</v>
      </c>
      <c r="I78" s="270">
        <f t="shared" si="8"/>
        <v>915.36000000000013</v>
      </c>
      <c r="J78" s="270">
        <f t="shared" si="8"/>
        <v>915.36000000000013</v>
      </c>
      <c r="K78" s="270">
        <f t="shared" si="8"/>
        <v>0</v>
      </c>
      <c r="L78" s="269">
        <f t="shared" si="8"/>
        <v>0</v>
      </c>
    </row>
    <row r="79" spans="1:12" ht="21.75" hidden="1" customHeight="1" x14ac:dyDescent="0.25">
      <c r="A79" s="273"/>
      <c r="B79" s="285" t="s">
        <v>109</v>
      </c>
      <c r="C79" s="272"/>
      <c r="D79" s="271" t="s">
        <v>456</v>
      </c>
      <c r="E79" s="271" t="s">
        <v>573</v>
      </c>
      <c r="F79" s="271" t="s">
        <v>154</v>
      </c>
      <c r="G79" s="271"/>
      <c r="H79" s="270">
        <f>H84</f>
        <v>598.5</v>
      </c>
      <c r="I79" s="270">
        <f>I80+I82+I84</f>
        <v>915.36000000000013</v>
      </c>
      <c r="J79" s="270">
        <f>J80+J82+J84</f>
        <v>915.36000000000013</v>
      </c>
      <c r="K79" s="270">
        <f>K84</f>
        <v>0</v>
      </c>
      <c r="L79" s="269">
        <f>L84</f>
        <v>0</v>
      </c>
    </row>
    <row r="80" spans="1:12" hidden="1" x14ac:dyDescent="0.25">
      <c r="A80" s="273"/>
      <c r="B80" s="285" t="s">
        <v>577</v>
      </c>
      <c r="C80" s="272"/>
      <c r="D80" s="271" t="s">
        <v>456</v>
      </c>
      <c r="E80" s="271" t="s">
        <v>573</v>
      </c>
      <c r="F80" s="271" t="s">
        <v>576</v>
      </c>
      <c r="G80" s="271"/>
      <c r="H80" s="270">
        <f>H81</f>
        <v>0</v>
      </c>
      <c r="I80" s="270">
        <f>I81</f>
        <v>0</v>
      </c>
      <c r="J80" s="270">
        <f>J81</f>
        <v>0</v>
      </c>
      <c r="K80" s="270">
        <f>K81</f>
        <v>0</v>
      </c>
      <c r="L80" s="269">
        <f>L81</f>
        <v>0</v>
      </c>
    </row>
    <row r="81" spans="1:12" ht="20" hidden="1" x14ac:dyDescent="0.25">
      <c r="A81" s="281"/>
      <c r="B81" s="284" t="s">
        <v>454</v>
      </c>
      <c r="C81" s="283"/>
      <c r="D81" s="271" t="s">
        <v>456</v>
      </c>
      <c r="E81" s="271" t="s">
        <v>573</v>
      </c>
      <c r="F81" s="271" t="s">
        <v>576</v>
      </c>
      <c r="G81" s="271" t="s">
        <v>1</v>
      </c>
      <c r="H81" s="270"/>
      <c r="I81" s="270">
        <v>0</v>
      </c>
      <c r="J81" s="270">
        <v>0</v>
      </c>
      <c r="K81" s="270"/>
      <c r="L81" s="269"/>
    </row>
    <row r="82" spans="1:12" ht="20.5" hidden="1" x14ac:dyDescent="0.25">
      <c r="A82" s="281"/>
      <c r="B82" s="346" t="s">
        <v>151</v>
      </c>
      <c r="C82" s="340"/>
      <c r="D82" s="271" t="s">
        <v>456</v>
      </c>
      <c r="E82" s="271" t="s">
        <v>452</v>
      </c>
      <c r="F82" s="271" t="s">
        <v>150</v>
      </c>
      <c r="G82" s="271"/>
      <c r="H82" s="270">
        <f>H83</f>
        <v>0</v>
      </c>
      <c r="I82" s="270">
        <f>I83</f>
        <v>293.3</v>
      </c>
      <c r="J82" s="270">
        <f>J83</f>
        <v>293.3</v>
      </c>
      <c r="K82" s="270">
        <f>K83</f>
        <v>0</v>
      </c>
      <c r="L82" s="269">
        <f>L83</f>
        <v>0</v>
      </c>
    </row>
    <row r="83" spans="1:12" hidden="1" x14ac:dyDescent="0.25">
      <c r="A83" s="281"/>
      <c r="B83" s="284" t="s">
        <v>575</v>
      </c>
      <c r="C83" s="283"/>
      <c r="D83" s="271" t="s">
        <v>456</v>
      </c>
      <c r="E83" s="271" t="s">
        <v>452</v>
      </c>
      <c r="F83" s="271" t="s">
        <v>150</v>
      </c>
      <c r="G83" s="271" t="s">
        <v>120</v>
      </c>
      <c r="H83" s="270"/>
      <c r="I83" s="270">
        <v>293.3</v>
      </c>
      <c r="J83" s="270">
        <v>293.3</v>
      </c>
      <c r="K83" s="270"/>
      <c r="L83" s="269"/>
    </row>
    <row r="84" spans="1:12" ht="39" hidden="1" x14ac:dyDescent="0.25">
      <c r="A84" s="281"/>
      <c r="B84" s="398" t="s">
        <v>835</v>
      </c>
      <c r="C84" s="340"/>
      <c r="D84" s="271" t="s">
        <v>456</v>
      </c>
      <c r="E84" s="271" t="s">
        <v>573</v>
      </c>
      <c r="F84" s="271" t="s">
        <v>127</v>
      </c>
      <c r="G84" s="271"/>
      <c r="H84" s="270">
        <f>H85+H86</f>
        <v>598.5</v>
      </c>
      <c r="I84" s="270">
        <f>I85+I86</f>
        <v>622.06000000000006</v>
      </c>
      <c r="J84" s="270">
        <f>J85+J86</f>
        <v>622.06000000000006</v>
      </c>
      <c r="K84" s="270">
        <f>K85+K86</f>
        <v>0</v>
      </c>
      <c r="L84" s="269">
        <f>L85+L86</f>
        <v>0</v>
      </c>
    </row>
    <row r="85" spans="1:12" hidden="1" x14ac:dyDescent="0.25">
      <c r="A85" s="281"/>
      <c r="B85" s="284" t="s">
        <v>571</v>
      </c>
      <c r="C85" s="283"/>
      <c r="D85" s="271" t="s">
        <v>456</v>
      </c>
      <c r="E85" s="271" t="s">
        <v>573</v>
      </c>
      <c r="F85" s="271" t="s">
        <v>127</v>
      </c>
      <c r="G85" s="271" t="s">
        <v>5</v>
      </c>
      <c r="H85" s="270">
        <v>561.29999999999995</v>
      </c>
      <c r="I85" s="270">
        <v>581.86</v>
      </c>
      <c r="J85" s="270">
        <v>581.86</v>
      </c>
      <c r="K85" s="270"/>
      <c r="L85" s="269"/>
    </row>
    <row r="86" spans="1:12" ht="20" hidden="1" x14ac:dyDescent="0.25">
      <c r="A86" s="281"/>
      <c r="B86" s="284" t="s">
        <v>454</v>
      </c>
      <c r="C86" s="283"/>
      <c r="D86" s="271" t="s">
        <v>456</v>
      </c>
      <c r="E86" s="271" t="s">
        <v>573</v>
      </c>
      <c r="F86" s="271" t="s">
        <v>127</v>
      </c>
      <c r="G86" s="271" t="s">
        <v>1</v>
      </c>
      <c r="H86" s="270">
        <v>37.200000000000003</v>
      </c>
      <c r="I86" s="270">
        <v>40.200000000000003</v>
      </c>
      <c r="J86" s="270">
        <v>40.200000000000003</v>
      </c>
      <c r="K86" s="270"/>
      <c r="L86" s="269"/>
    </row>
    <row r="87" spans="1:12" x14ac:dyDescent="0.25">
      <c r="A87" s="281"/>
      <c r="B87" s="280" t="s">
        <v>412</v>
      </c>
      <c r="C87" s="283"/>
      <c r="D87" s="278" t="s">
        <v>488</v>
      </c>
      <c r="E87" s="278" t="s">
        <v>459</v>
      </c>
      <c r="F87" s="271"/>
      <c r="G87" s="271"/>
      <c r="H87" s="277">
        <f>H88</f>
        <v>640.20000000000005</v>
      </c>
      <c r="I87" s="277"/>
      <c r="J87" s="277"/>
      <c r="K87" s="277">
        <f t="shared" ref="K87:L91" si="9">K88</f>
        <v>662.9</v>
      </c>
      <c r="L87" s="276">
        <f t="shared" si="9"/>
        <v>0</v>
      </c>
    </row>
    <row r="88" spans="1:12" x14ac:dyDescent="0.25">
      <c r="A88" s="281"/>
      <c r="B88" s="280" t="s">
        <v>6</v>
      </c>
      <c r="C88" s="283"/>
      <c r="D88" s="278" t="s">
        <v>488</v>
      </c>
      <c r="E88" s="278" t="s">
        <v>495</v>
      </c>
      <c r="F88" s="271"/>
      <c r="G88" s="271"/>
      <c r="H88" s="277">
        <f>H89</f>
        <v>640.20000000000005</v>
      </c>
      <c r="I88" s="277"/>
      <c r="J88" s="277"/>
      <c r="K88" s="277">
        <f t="shared" si="9"/>
        <v>662.9</v>
      </c>
      <c r="L88" s="276">
        <f t="shared" si="9"/>
        <v>0</v>
      </c>
    </row>
    <row r="89" spans="1:12" ht="21" x14ac:dyDescent="0.25">
      <c r="A89" s="281"/>
      <c r="B89" s="282" t="s">
        <v>572</v>
      </c>
      <c r="C89" s="283"/>
      <c r="D89" s="278" t="s">
        <v>488</v>
      </c>
      <c r="E89" s="278" t="s">
        <v>495</v>
      </c>
      <c r="F89" s="278" t="s">
        <v>89</v>
      </c>
      <c r="G89" s="271"/>
      <c r="H89" s="277">
        <f>H90</f>
        <v>640.20000000000005</v>
      </c>
      <c r="I89" s="277"/>
      <c r="J89" s="277"/>
      <c r="K89" s="277">
        <f t="shared" si="9"/>
        <v>662.9</v>
      </c>
      <c r="L89" s="276">
        <f t="shared" si="9"/>
        <v>0</v>
      </c>
    </row>
    <row r="90" spans="1:12" ht="25.5" customHeight="1" x14ac:dyDescent="0.25">
      <c r="A90" s="281"/>
      <c r="B90" s="285" t="s">
        <v>109</v>
      </c>
      <c r="C90" s="283"/>
      <c r="D90" s="271" t="s">
        <v>488</v>
      </c>
      <c r="E90" s="271" t="s">
        <v>495</v>
      </c>
      <c r="F90" s="271" t="s">
        <v>84</v>
      </c>
      <c r="G90" s="271"/>
      <c r="H90" s="270">
        <f>H91</f>
        <v>640.20000000000005</v>
      </c>
      <c r="I90" s="270"/>
      <c r="J90" s="270"/>
      <c r="K90" s="270">
        <f t="shared" si="9"/>
        <v>662.9</v>
      </c>
      <c r="L90" s="269">
        <f t="shared" si="9"/>
        <v>0</v>
      </c>
    </row>
    <row r="91" spans="1:12" ht="26.25" customHeight="1" x14ac:dyDescent="0.25">
      <c r="A91" s="281"/>
      <c r="B91" s="285" t="s">
        <v>109</v>
      </c>
      <c r="C91" s="283"/>
      <c r="D91" s="271" t="s">
        <v>488</v>
      </c>
      <c r="E91" s="271" t="s">
        <v>495</v>
      </c>
      <c r="F91" s="271" t="s">
        <v>82</v>
      </c>
      <c r="G91" s="271"/>
      <c r="H91" s="270">
        <f>H92</f>
        <v>640.20000000000005</v>
      </c>
      <c r="I91" s="270"/>
      <c r="J91" s="270"/>
      <c r="K91" s="270">
        <f t="shared" si="9"/>
        <v>662.9</v>
      </c>
      <c r="L91" s="269">
        <f t="shared" si="9"/>
        <v>0</v>
      </c>
    </row>
    <row r="92" spans="1:12" ht="20" x14ac:dyDescent="0.25">
      <c r="A92" s="281"/>
      <c r="B92" s="345" t="s">
        <v>8</v>
      </c>
      <c r="C92" s="283"/>
      <c r="D92" s="271" t="s">
        <v>488</v>
      </c>
      <c r="E92" s="271" t="s">
        <v>495</v>
      </c>
      <c r="F92" s="271" t="s">
        <v>2</v>
      </c>
      <c r="G92" s="271"/>
      <c r="H92" s="270">
        <f>H93+H94</f>
        <v>640.20000000000005</v>
      </c>
      <c r="I92" s="270"/>
      <c r="J92" s="270"/>
      <c r="K92" s="270">
        <f>K93+K94</f>
        <v>662.9</v>
      </c>
      <c r="L92" s="269">
        <f>L93+L94</f>
        <v>0</v>
      </c>
    </row>
    <row r="93" spans="1:12" x14ac:dyDescent="0.25">
      <c r="A93" s="281"/>
      <c r="B93" s="284" t="s">
        <v>571</v>
      </c>
      <c r="C93" s="283"/>
      <c r="D93" s="271" t="s">
        <v>488</v>
      </c>
      <c r="E93" s="271" t="s">
        <v>495</v>
      </c>
      <c r="F93" s="271" t="s">
        <v>2</v>
      </c>
      <c r="G93" s="271" t="s">
        <v>5</v>
      </c>
      <c r="H93" s="270">
        <v>638.005</v>
      </c>
      <c r="I93" s="270"/>
      <c r="J93" s="270"/>
      <c r="K93" s="270">
        <v>638.4</v>
      </c>
      <c r="L93" s="269"/>
    </row>
    <row r="94" spans="1:12" ht="20" x14ac:dyDescent="0.25">
      <c r="A94" s="281"/>
      <c r="B94" s="284" t="s">
        <v>454</v>
      </c>
      <c r="C94" s="283"/>
      <c r="D94" s="271" t="s">
        <v>488</v>
      </c>
      <c r="E94" s="271" t="s">
        <v>495</v>
      </c>
      <c r="F94" s="271" t="s">
        <v>2</v>
      </c>
      <c r="G94" s="271" t="s">
        <v>1</v>
      </c>
      <c r="H94" s="270">
        <v>2.1949999999999998</v>
      </c>
      <c r="I94" s="270"/>
      <c r="J94" s="270"/>
      <c r="K94" s="270">
        <v>24.5</v>
      </c>
      <c r="L94" s="269"/>
    </row>
    <row r="95" spans="1:12" x14ac:dyDescent="0.25">
      <c r="A95" s="273"/>
      <c r="B95" s="344" t="s">
        <v>407</v>
      </c>
      <c r="C95" s="279"/>
      <c r="D95" s="278" t="s">
        <v>495</v>
      </c>
      <c r="E95" s="278" t="s">
        <v>459</v>
      </c>
      <c r="F95" s="278"/>
      <c r="G95" s="278"/>
      <c r="H95" s="277">
        <f>H96</f>
        <v>2376.0160000000001</v>
      </c>
      <c r="I95" s="277">
        <f>I96</f>
        <v>7939.5500000000011</v>
      </c>
      <c r="J95" s="277">
        <f>J96</f>
        <v>6036.2</v>
      </c>
      <c r="K95" s="277">
        <f>K97+K114</f>
        <v>1434.508</v>
      </c>
      <c r="L95" s="276">
        <f>L97+L114</f>
        <v>1800.508</v>
      </c>
    </row>
    <row r="96" spans="1:12" ht="21" x14ac:dyDescent="0.25">
      <c r="A96" s="281"/>
      <c r="B96" s="282" t="s">
        <v>570</v>
      </c>
      <c r="C96" s="279"/>
      <c r="D96" s="278" t="s">
        <v>495</v>
      </c>
      <c r="E96" s="278" t="s">
        <v>539</v>
      </c>
      <c r="F96" s="278"/>
      <c r="G96" s="278"/>
      <c r="H96" s="277">
        <f>H97+H116</f>
        <v>2376.0160000000001</v>
      </c>
      <c r="I96" s="277">
        <f>I97+I116</f>
        <v>7939.5500000000011</v>
      </c>
      <c r="J96" s="277">
        <f>J97+J116</f>
        <v>6036.2</v>
      </c>
      <c r="K96" s="277">
        <f>K97</f>
        <v>836</v>
      </c>
      <c r="L96" s="276">
        <f>L97</f>
        <v>1202</v>
      </c>
    </row>
    <row r="97" spans="1:12" ht="20" x14ac:dyDescent="0.25">
      <c r="A97" s="273"/>
      <c r="B97" s="275" t="s">
        <v>241</v>
      </c>
      <c r="C97" s="341"/>
      <c r="D97" s="271" t="s">
        <v>495</v>
      </c>
      <c r="E97" s="271" t="s">
        <v>539</v>
      </c>
      <c r="F97" s="1034" t="s">
        <v>240</v>
      </c>
      <c r="G97" s="271"/>
      <c r="H97" s="270">
        <f>H98+H110</f>
        <v>1777.508</v>
      </c>
      <c r="I97" s="270">
        <f>I98+I110</f>
        <v>7857.2000000000007</v>
      </c>
      <c r="J97" s="270">
        <f>J98+J110</f>
        <v>5976.2</v>
      </c>
      <c r="K97" s="270">
        <f>K101+K108+K113</f>
        <v>836</v>
      </c>
      <c r="L97" s="269">
        <f>L101+L108+L113</f>
        <v>1202</v>
      </c>
    </row>
    <row r="98" spans="1:12" ht="40" x14ac:dyDescent="0.25">
      <c r="A98" s="273"/>
      <c r="B98" s="343" t="s">
        <v>239</v>
      </c>
      <c r="C98" s="341"/>
      <c r="D98" s="311" t="s">
        <v>495</v>
      </c>
      <c r="E98" s="311" t="s">
        <v>539</v>
      </c>
      <c r="F98" s="1035" t="s">
        <v>238</v>
      </c>
      <c r="G98" s="311"/>
      <c r="H98" s="270">
        <f>H99+H106</f>
        <v>473</v>
      </c>
      <c r="I98" s="270">
        <f>I99+I106</f>
        <v>6343.4000000000005</v>
      </c>
      <c r="J98" s="270">
        <f>J99+J106</f>
        <v>4462.3999999999996</v>
      </c>
      <c r="K98" s="270">
        <f>K99+K106</f>
        <v>606</v>
      </c>
      <c r="L98" s="269">
        <f>L99+L106</f>
        <v>606</v>
      </c>
    </row>
    <row r="99" spans="1:12" ht="20" x14ac:dyDescent="0.25">
      <c r="A99" s="273"/>
      <c r="B99" s="274" t="s">
        <v>236</v>
      </c>
      <c r="C99" s="341"/>
      <c r="D99" s="311" t="s">
        <v>495</v>
      </c>
      <c r="E99" s="311" t="s">
        <v>539</v>
      </c>
      <c r="F99" s="311" t="s">
        <v>235</v>
      </c>
      <c r="G99" s="311"/>
      <c r="H99" s="270">
        <f>H100+H102+H104</f>
        <v>240</v>
      </c>
      <c r="I99" s="270">
        <f>I100+I102+I104</f>
        <v>4935.1000000000004</v>
      </c>
      <c r="J99" s="270">
        <f>J100+J102+J104</f>
        <v>3024.1</v>
      </c>
      <c r="K99" s="270">
        <f>K100+K102+K104</f>
        <v>376</v>
      </c>
      <c r="L99" s="269">
        <f>L100+L102+L104</f>
        <v>376</v>
      </c>
    </row>
    <row r="100" spans="1:12" ht="20" x14ac:dyDescent="0.25">
      <c r="A100" s="273"/>
      <c r="B100" s="329" t="s">
        <v>569</v>
      </c>
      <c r="C100" s="341"/>
      <c r="D100" s="311" t="s">
        <v>495</v>
      </c>
      <c r="E100" s="311" t="s">
        <v>539</v>
      </c>
      <c r="F100" s="311" t="s">
        <v>233</v>
      </c>
      <c r="G100" s="311"/>
      <c r="H100" s="270">
        <f>H101</f>
        <v>240</v>
      </c>
      <c r="I100" s="270">
        <f>I101</f>
        <v>684.5</v>
      </c>
      <c r="J100" s="270">
        <f>J101</f>
        <v>773.5</v>
      </c>
      <c r="K100" s="270">
        <f>K101</f>
        <v>376</v>
      </c>
      <c r="L100" s="269">
        <f>L101</f>
        <v>376</v>
      </c>
    </row>
    <row r="101" spans="1:12" ht="20" x14ac:dyDescent="0.25">
      <c r="A101" s="273"/>
      <c r="B101" s="284" t="s">
        <v>454</v>
      </c>
      <c r="C101" s="283"/>
      <c r="D101" s="311" t="s">
        <v>495</v>
      </c>
      <c r="E101" s="311" t="s">
        <v>539</v>
      </c>
      <c r="F101" s="311" t="s">
        <v>233</v>
      </c>
      <c r="G101" s="271" t="s">
        <v>1</v>
      </c>
      <c r="H101" s="270">
        <v>240</v>
      </c>
      <c r="I101" s="270">
        <f>4935.1-250.6-4000</f>
        <v>684.5</v>
      </c>
      <c r="J101" s="270">
        <f>3024.1-250.6-2000</f>
        <v>773.5</v>
      </c>
      <c r="K101" s="270">
        <v>376</v>
      </c>
      <c r="L101" s="269">
        <v>376</v>
      </c>
    </row>
    <row r="102" spans="1:12" hidden="1" x14ac:dyDescent="0.25">
      <c r="A102" s="273"/>
      <c r="B102" s="319" t="s">
        <v>568</v>
      </c>
      <c r="C102" s="341"/>
      <c r="D102" s="311" t="s">
        <v>495</v>
      </c>
      <c r="E102" s="311" t="s">
        <v>539</v>
      </c>
      <c r="F102" s="311" t="s">
        <v>567</v>
      </c>
      <c r="G102" s="311"/>
      <c r="H102" s="270">
        <f>H103</f>
        <v>0</v>
      </c>
      <c r="I102" s="270">
        <f>I103</f>
        <v>250.6</v>
      </c>
      <c r="J102" s="270">
        <f>J103</f>
        <v>250.6</v>
      </c>
      <c r="K102" s="270">
        <f>K103</f>
        <v>0</v>
      </c>
      <c r="L102" s="269">
        <f>L103</f>
        <v>0</v>
      </c>
    </row>
    <row r="103" spans="1:12" ht="20" hidden="1" x14ac:dyDescent="0.25">
      <c r="A103" s="273"/>
      <c r="B103" s="284" t="s">
        <v>454</v>
      </c>
      <c r="C103" s="283"/>
      <c r="D103" s="311" t="s">
        <v>495</v>
      </c>
      <c r="E103" s="311" t="s">
        <v>539</v>
      </c>
      <c r="F103" s="311" t="s">
        <v>567</v>
      </c>
      <c r="G103" s="271" t="s">
        <v>1</v>
      </c>
      <c r="H103" s="270"/>
      <c r="I103" s="270">
        <v>250.6</v>
      </c>
      <c r="J103" s="270">
        <v>250.6</v>
      </c>
      <c r="K103" s="270"/>
      <c r="L103" s="269"/>
    </row>
    <row r="104" spans="1:12" hidden="1" x14ac:dyDescent="0.25">
      <c r="A104" s="273"/>
      <c r="B104" s="319" t="s">
        <v>566</v>
      </c>
      <c r="C104" s="341"/>
      <c r="D104" s="311" t="s">
        <v>495</v>
      </c>
      <c r="E104" s="311" t="s">
        <v>539</v>
      </c>
      <c r="F104" s="311" t="s">
        <v>565</v>
      </c>
      <c r="G104" s="311"/>
      <c r="H104" s="270">
        <f>H105</f>
        <v>0</v>
      </c>
      <c r="I104" s="270">
        <f>I105</f>
        <v>4000</v>
      </c>
      <c r="J104" s="270">
        <f>J105</f>
        <v>2000</v>
      </c>
      <c r="K104" s="270">
        <f>K105</f>
        <v>0</v>
      </c>
      <c r="L104" s="269">
        <f>L105</f>
        <v>0</v>
      </c>
    </row>
    <row r="105" spans="1:12" ht="20" hidden="1" x14ac:dyDescent="0.25">
      <c r="A105" s="273"/>
      <c r="B105" s="284" t="s">
        <v>454</v>
      </c>
      <c r="C105" s="283"/>
      <c r="D105" s="311" t="s">
        <v>495</v>
      </c>
      <c r="E105" s="311" t="s">
        <v>539</v>
      </c>
      <c r="F105" s="311" t="s">
        <v>565</v>
      </c>
      <c r="G105" s="271" t="s">
        <v>1</v>
      </c>
      <c r="H105" s="270"/>
      <c r="I105" s="270">
        <v>4000</v>
      </c>
      <c r="J105" s="270">
        <v>2000</v>
      </c>
      <c r="K105" s="270"/>
      <c r="L105" s="269"/>
    </row>
    <row r="106" spans="1:12" ht="23.25" customHeight="1" x14ac:dyDescent="0.25">
      <c r="A106" s="273"/>
      <c r="B106" s="319" t="s">
        <v>564</v>
      </c>
      <c r="C106" s="341"/>
      <c r="D106" s="311" t="s">
        <v>495</v>
      </c>
      <c r="E106" s="311" t="s">
        <v>539</v>
      </c>
      <c r="F106" s="311" t="s">
        <v>231</v>
      </c>
      <c r="G106" s="311"/>
      <c r="H106" s="270">
        <f>H107</f>
        <v>233</v>
      </c>
      <c r="I106" s="270">
        <f>I107</f>
        <v>1408.3</v>
      </c>
      <c r="J106" s="270">
        <f>J107</f>
        <v>1438.3</v>
      </c>
      <c r="K106" s="270">
        <f>K107</f>
        <v>230</v>
      </c>
      <c r="L106" s="269">
        <f>L107</f>
        <v>230</v>
      </c>
    </row>
    <row r="107" spans="1:12" ht="26.25" customHeight="1" x14ac:dyDescent="0.25">
      <c r="A107" s="273"/>
      <c r="B107" s="342" t="s">
        <v>563</v>
      </c>
      <c r="C107" s="340"/>
      <c r="D107" s="271" t="s">
        <v>495</v>
      </c>
      <c r="E107" s="271" t="s">
        <v>539</v>
      </c>
      <c r="F107" s="311" t="s">
        <v>229</v>
      </c>
      <c r="G107" s="311"/>
      <c r="H107" s="270">
        <f>H108+H109</f>
        <v>233</v>
      </c>
      <c r="I107" s="270">
        <f>I108+I109</f>
        <v>1408.3</v>
      </c>
      <c r="J107" s="270">
        <f>J108+J109</f>
        <v>1438.3</v>
      </c>
      <c r="K107" s="270">
        <f>K108+K109</f>
        <v>230</v>
      </c>
      <c r="L107" s="269">
        <f>L108+L109</f>
        <v>230</v>
      </c>
    </row>
    <row r="108" spans="1:12" ht="20" x14ac:dyDescent="0.25">
      <c r="A108" s="273"/>
      <c r="B108" s="284" t="s">
        <v>454</v>
      </c>
      <c r="C108" s="283"/>
      <c r="D108" s="271" t="s">
        <v>495</v>
      </c>
      <c r="E108" s="271" t="s">
        <v>539</v>
      </c>
      <c r="F108" s="311" t="s">
        <v>229</v>
      </c>
      <c r="G108" s="311">
        <v>240</v>
      </c>
      <c r="H108" s="270">
        <v>233</v>
      </c>
      <c r="I108" s="270">
        <f>1721.5-313.2</f>
        <v>1408.3</v>
      </c>
      <c r="J108" s="270">
        <f>1751.5-313.2</f>
        <v>1438.3</v>
      </c>
      <c r="K108" s="270">
        <v>230</v>
      </c>
      <c r="L108" s="269">
        <v>230</v>
      </c>
    </row>
    <row r="109" spans="1:12" ht="20" hidden="1" x14ac:dyDescent="0.25">
      <c r="A109" s="273"/>
      <c r="B109" s="283" t="s">
        <v>562</v>
      </c>
      <c r="C109" s="283"/>
      <c r="D109" s="271" t="s">
        <v>495</v>
      </c>
      <c r="E109" s="271" t="s">
        <v>539</v>
      </c>
      <c r="F109" s="311" t="s">
        <v>229</v>
      </c>
      <c r="G109" s="311" t="s">
        <v>561</v>
      </c>
      <c r="H109" s="270"/>
      <c r="I109" s="270"/>
      <c r="J109" s="270"/>
      <c r="K109" s="270"/>
      <c r="L109" s="269"/>
    </row>
    <row r="110" spans="1:12" ht="22.5" customHeight="1" x14ac:dyDescent="0.25">
      <c r="A110" s="273"/>
      <c r="B110" s="319" t="s">
        <v>560</v>
      </c>
      <c r="C110" s="341"/>
      <c r="D110" s="311" t="s">
        <v>495</v>
      </c>
      <c r="E110" s="311" t="s">
        <v>539</v>
      </c>
      <c r="F110" s="311" t="s">
        <v>227</v>
      </c>
      <c r="G110" s="311"/>
      <c r="H110" s="270">
        <f>H111</f>
        <v>1304.508</v>
      </c>
      <c r="I110" s="270">
        <f>I111</f>
        <v>1513.8000000000002</v>
      </c>
      <c r="J110" s="270">
        <f>J111</f>
        <v>1513.8000000000002</v>
      </c>
      <c r="K110" s="270">
        <f>K111</f>
        <v>230</v>
      </c>
      <c r="L110" s="269">
        <f>L111</f>
        <v>596</v>
      </c>
    </row>
    <row r="111" spans="1:12" ht="20" x14ac:dyDescent="0.25">
      <c r="A111" s="273"/>
      <c r="B111" s="319" t="s">
        <v>559</v>
      </c>
      <c r="C111" s="341"/>
      <c r="D111" s="311" t="s">
        <v>495</v>
      </c>
      <c r="E111" s="311" t="s">
        <v>539</v>
      </c>
      <c r="F111" s="311" t="s">
        <v>225</v>
      </c>
      <c r="G111" s="311"/>
      <c r="H111" s="270">
        <f>H112+H114</f>
        <v>1304.508</v>
      </c>
      <c r="I111" s="270">
        <f>I112+I114</f>
        <v>1513.8000000000002</v>
      </c>
      <c r="J111" s="270">
        <f>J112+J114</f>
        <v>1513.8000000000002</v>
      </c>
      <c r="K111" s="270">
        <f>K112</f>
        <v>230</v>
      </c>
      <c r="L111" s="269">
        <f>L112</f>
        <v>596</v>
      </c>
    </row>
    <row r="112" spans="1:12" ht="29.25" customHeight="1" x14ac:dyDescent="0.25">
      <c r="A112" s="273"/>
      <c r="B112" s="337" t="s">
        <v>224</v>
      </c>
      <c r="C112" s="340"/>
      <c r="D112" s="311" t="s">
        <v>495</v>
      </c>
      <c r="E112" s="311" t="s">
        <v>539</v>
      </c>
      <c r="F112" s="311" t="s">
        <v>220</v>
      </c>
      <c r="G112" s="311"/>
      <c r="H112" s="270">
        <f>H113</f>
        <v>706</v>
      </c>
      <c r="I112" s="270">
        <f>I113</f>
        <v>365.4</v>
      </c>
      <c r="J112" s="270">
        <f>J113</f>
        <v>365.4</v>
      </c>
      <c r="K112" s="270">
        <f>K113</f>
        <v>230</v>
      </c>
      <c r="L112" s="269">
        <f>L113</f>
        <v>596</v>
      </c>
    </row>
    <row r="113" spans="1:12" ht="20" x14ac:dyDescent="0.25">
      <c r="A113" s="273"/>
      <c r="B113" s="284" t="s">
        <v>454</v>
      </c>
      <c r="C113" s="283"/>
      <c r="D113" s="311" t="s">
        <v>495</v>
      </c>
      <c r="E113" s="311" t="s">
        <v>539</v>
      </c>
      <c r="F113" s="311" t="s">
        <v>220</v>
      </c>
      <c r="G113" s="271" t="s">
        <v>1</v>
      </c>
      <c r="H113" s="270">
        <v>706</v>
      </c>
      <c r="I113" s="270">
        <v>365.4</v>
      </c>
      <c r="J113" s="270">
        <v>365.4</v>
      </c>
      <c r="K113" s="270">
        <v>230</v>
      </c>
      <c r="L113" s="269">
        <v>596</v>
      </c>
    </row>
    <row r="114" spans="1:12" ht="39" x14ac:dyDescent="0.25">
      <c r="A114" s="273"/>
      <c r="B114" s="747" t="s">
        <v>833</v>
      </c>
      <c r="C114" s="340"/>
      <c r="D114" s="311" t="s">
        <v>495</v>
      </c>
      <c r="E114" s="311" t="s">
        <v>832</v>
      </c>
      <c r="F114" s="311" t="s">
        <v>157</v>
      </c>
      <c r="G114" s="311"/>
      <c r="H114" s="270">
        <v>598.50800000000004</v>
      </c>
      <c r="I114" s="270">
        <f>I115</f>
        <v>1148.4000000000001</v>
      </c>
      <c r="J114" s="270">
        <f>J115</f>
        <v>1148.4000000000001</v>
      </c>
      <c r="K114" s="270">
        <f>K115</f>
        <v>598.50800000000004</v>
      </c>
      <c r="L114" s="269">
        <f>L115</f>
        <v>598.50800000000004</v>
      </c>
    </row>
    <row r="115" spans="1:12" ht="39" x14ac:dyDescent="0.25">
      <c r="A115" s="273"/>
      <c r="B115" s="347" t="s">
        <v>578</v>
      </c>
      <c r="C115" s="283"/>
      <c r="D115" s="311" t="s">
        <v>495</v>
      </c>
      <c r="E115" s="311" t="s">
        <v>832</v>
      </c>
      <c r="F115" s="311" t="s">
        <v>155</v>
      </c>
      <c r="G115" s="271"/>
      <c r="H115" s="270">
        <v>598.50800000000004</v>
      </c>
      <c r="I115" s="270">
        <v>1148.4000000000001</v>
      </c>
      <c r="J115" s="270">
        <v>1148.4000000000001</v>
      </c>
      <c r="K115" s="270">
        <f>K116</f>
        <v>598.50800000000004</v>
      </c>
      <c r="L115" s="269">
        <f>L116</f>
        <v>598.50800000000004</v>
      </c>
    </row>
    <row r="116" spans="1:12" ht="23.25" customHeight="1" x14ac:dyDescent="0.25">
      <c r="A116" s="273"/>
      <c r="B116" s="319" t="s">
        <v>109</v>
      </c>
      <c r="C116" s="338"/>
      <c r="D116" s="271" t="s">
        <v>495</v>
      </c>
      <c r="E116" s="271" t="s">
        <v>832</v>
      </c>
      <c r="F116" s="271" t="s">
        <v>154</v>
      </c>
      <c r="G116" s="271"/>
      <c r="H116" s="270">
        <v>598.50800000000004</v>
      </c>
      <c r="I116" s="270">
        <f t="shared" ref="I116:J118" si="10">I117</f>
        <v>82.35</v>
      </c>
      <c r="J116" s="270">
        <f t="shared" si="10"/>
        <v>60</v>
      </c>
      <c r="K116" s="270">
        <f>K117</f>
        <v>598.50800000000004</v>
      </c>
      <c r="L116" s="269">
        <f>L117</f>
        <v>598.50800000000004</v>
      </c>
    </row>
    <row r="117" spans="1:12" ht="30" x14ac:dyDescent="0.25">
      <c r="A117" s="273"/>
      <c r="B117" s="319" t="s">
        <v>834</v>
      </c>
      <c r="C117" s="338"/>
      <c r="D117" s="271" t="s">
        <v>495</v>
      </c>
      <c r="E117" s="271" t="s">
        <v>832</v>
      </c>
      <c r="F117" s="271" t="s">
        <v>127</v>
      </c>
      <c r="G117" s="271"/>
      <c r="H117" s="270">
        <v>598.50800000000004</v>
      </c>
      <c r="I117" s="270">
        <f t="shared" si="10"/>
        <v>82.35</v>
      </c>
      <c r="J117" s="270">
        <f t="shared" si="10"/>
        <v>60</v>
      </c>
      <c r="K117" s="270">
        <f>K118+K119</f>
        <v>598.50800000000004</v>
      </c>
      <c r="L117" s="269">
        <f>L119+L118</f>
        <v>598.50800000000004</v>
      </c>
    </row>
    <row r="118" spans="1:12" ht="21.75" customHeight="1" x14ac:dyDescent="0.25">
      <c r="A118" s="281"/>
      <c r="B118" s="285" t="s">
        <v>571</v>
      </c>
      <c r="C118" s="312"/>
      <c r="D118" s="311" t="s">
        <v>495</v>
      </c>
      <c r="E118" s="311" t="s">
        <v>832</v>
      </c>
      <c r="F118" s="311" t="s">
        <v>127</v>
      </c>
      <c r="G118" s="311" t="s">
        <v>5</v>
      </c>
      <c r="H118" s="270">
        <v>561.30799999999999</v>
      </c>
      <c r="I118" s="270">
        <f t="shared" si="10"/>
        <v>82.35</v>
      </c>
      <c r="J118" s="270">
        <f t="shared" si="10"/>
        <v>60</v>
      </c>
      <c r="K118" s="270">
        <f>561.3+0.008</f>
        <v>561.30799999999999</v>
      </c>
      <c r="L118" s="269">
        <f>561.3+0.008</f>
        <v>561.30799999999999</v>
      </c>
    </row>
    <row r="119" spans="1:12" ht="20" x14ac:dyDescent="0.25">
      <c r="A119" s="273"/>
      <c r="B119" s="284" t="s">
        <v>454</v>
      </c>
      <c r="C119" s="283"/>
      <c r="D119" s="311" t="s">
        <v>495</v>
      </c>
      <c r="E119" s="311" t="s">
        <v>832</v>
      </c>
      <c r="F119" s="311" t="s">
        <v>127</v>
      </c>
      <c r="G119" s="271" t="s">
        <v>1</v>
      </c>
      <c r="H119" s="270">
        <v>37.200000000000003</v>
      </c>
      <c r="I119" s="270">
        <v>82.35</v>
      </c>
      <c r="J119" s="270">
        <v>60</v>
      </c>
      <c r="K119" s="270">
        <v>37.200000000000003</v>
      </c>
      <c r="L119" s="269">
        <v>37.200000000000003</v>
      </c>
    </row>
    <row r="120" spans="1:12" x14ac:dyDescent="0.25">
      <c r="A120" s="273"/>
      <c r="B120" s="326" t="s">
        <v>396</v>
      </c>
      <c r="C120" s="333"/>
      <c r="D120" s="316" t="s">
        <v>452</v>
      </c>
      <c r="E120" s="316" t="s">
        <v>459</v>
      </c>
      <c r="F120" s="316"/>
      <c r="G120" s="316"/>
      <c r="H120" s="325">
        <f>H121+H154</f>
        <v>8371.94</v>
      </c>
      <c r="I120" s="325">
        <f>I121+I154</f>
        <v>26103</v>
      </c>
      <c r="J120" s="325">
        <f>J121+J154</f>
        <v>25237</v>
      </c>
      <c r="K120" s="325">
        <f>K121+K154</f>
        <v>9743.2999999999993</v>
      </c>
      <c r="L120" s="324">
        <f>L121+L154</f>
        <v>10424.700000000001</v>
      </c>
    </row>
    <row r="121" spans="1:12" x14ac:dyDescent="0.25">
      <c r="A121" s="318"/>
      <c r="B121" s="326" t="s">
        <v>60</v>
      </c>
      <c r="C121" s="316"/>
      <c r="D121" s="316" t="s">
        <v>452</v>
      </c>
      <c r="E121" s="316" t="s">
        <v>539</v>
      </c>
      <c r="F121" s="316"/>
      <c r="G121" s="316"/>
      <c r="H121" s="325">
        <f>H122</f>
        <v>6230</v>
      </c>
      <c r="I121" s="325">
        <f>I122+I137+I149</f>
        <v>23603</v>
      </c>
      <c r="J121" s="325">
        <f>J122+J137+J149</f>
        <v>23923</v>
      </c>
      <c r="K121" s="325">
        <f>K122</f>
        <v>6170</v>
      </c>
      <c r="L121" s="324">
        <f>L122</f>
        <v>6540.2</v>
      </c>
    </row>
    <row r="122" spans="1:12" ht="30" x14ac:dyDescent="0.25">
      <c r="A122" s="273"/>
      <c r="B122" s="275" t="s">
        <v>219</v>
      </c>
      <c r="C122" s="271"/>
      <c r="D122" s="271" t="s">
        <v>452</v>
      </c>
      <c r="E122" s="271" t="s">
        <v>539</v>
      </c>
      <c r="F122" s="271" t="s">
        <v>218</v>
      </c>
      <c r="G122" s="271"/>
      <c r="H122" s="270">
        <f>H123+H131</f>
        <v>6230</v>
      </c>
      <c r="I122" s="270">
        <f t="shared" ref="I122:J124" si="11">I123</f>
        <v>653</v>
      </c>
      <c r="J122" s="270">
        <f t="shared" si="11"/>
        <v>653</v>
      </c>
      <c r="K122" s="270">
        <f>K131</f>
        <v>6170</v>
      </c>
      <c r="L122" s="269">
        <f>L131</f>
        <v>6540.2</v>
      </c>
    </row>
    <row r="123" spans="1:12" ht="20" hidden="1" x14ac:dyDescent="0.25">
      <c r="A123" s="273"/>
      <c r="B123" s="275" t="s">
        <v>217</v>
      </c>
      <c r="C123" s="311"/>
      <c r="D123" s="311" t="s">
        <v>452</v>
      </c>
      <c r="E123" s="311" t="s">
        <v>539</v>
      </c>
      <c r="F123" s="271" t="s">
        <v>216</v>
      </c>
      <c r="G123" s="311"/>
      <c r="H123" s="270">
        <f>H124</f>
        <v>3125.5</v>
      </c>
      <c r="I123" s="270">
        <f t="shared" si="11"/>
        <v>653</v>
      </c>
      <c r="J123" s="270">
        <f t="shared" si="11"/>
        <v>653</v>
      </c>
      <c r="K123" s="270"/>
      <c r="L123" s="269"/>
    </row>
    <row r="124" spans="1:12" ht="40" hidden="1" x14ac:dyDescent="0.25">
      <c r="A124" s="273"/>
      <c r="B124" s="274" t="s">
        <v>215</v>
      </c>
      <c r="C124" s="311"/>
      <c r="D124" s="311" t="s">
        <v>452</v>
      </c>
      <c r="E124" s="311" t="s">
        <v>539</v>
      </c>
      <c r="F124" s="311" t="s">
        <v>214</v>
      </c>
      <c r="G124" s="311"/>
      <c r="H124" s="270">
        <f>H125+H127+H130</f>
        <v>3125.5</v>
      </c>
      <c r="I124" s="270">
        <f t="shared" si="11"/>
        <v>653</v>
      </c>
      <c r="J124" s="270">
        <f t="shared" si="11"/>
        <v>653</v>
      </c>
      <c r="K124" s="270">
        <f>K125+K127+K130</f>
        <v>0</v>
      </c>
      <c r="L124" s="269">
        <f>L125+L127+L130</f>
        <v>0</v>
      </c>
    </row>
    <row r="125" spans="1:12" ht="13" hidden="1" x14ac:dyDescent="0.25">
      <c r="A125" s="273"/>
      <c r="B125" s="337" t="s">
        <v>201</v>
      </c>
      <c r="C125" s="311"/>
      <c r="D125" s="311" t="s">
        <v>452</v>
      </c>
      <c r="E125" s="311" t="s">
        <v>539</v>
      </c>
      <c r="F125" s="311" t="s">
        <v>213</v>
      </c>
      <c r="G125" s="271"/>
      <c r="H125" s="270">
        <f>H126</f>
        <v>2530</v>
      </c>
      <c r="I125" s="270">
        <v>653</v>
      </c>
      <c r="J125" s="270">
        <v>653</v>
      </c>
      <c r="K125" s="270">
        <f>K126</f>
        <v>0</v>
      </c>
      <c r="L125" s="269">
        <f>L126</f>
        <v>0</v>
      </c>
    </row>
    <row r="126" spans="1:12" ht="20" hidden="1" x14ac:dyDescent="0.25">
      <c r="A126" s="273"/>
      <c r="B126" s="284" t="s">
        <v>454</v>
      </c>
      <c r="C126" s="311"/>
      <c r="D126" s="311" t="s">
        <v>452</v>
      </c>
      <c r="E126" s="311" t="s">
        <v>539</v>
      </c>
      <c r="F126" s="311" t="s">
        <v>213</v>
      </c>
      <c r="G126" s="271" t="s">
        <v>1</v>
      </c>
      <c r="H126" s="270">
        <v>2530</v>
      </c>
      <c r="I126" s="270"/>
      <c r="J126" s="270"/>
      <c r="K126" s="270"/>
      <c r="L126" s="269"/>
    </row>
    <row r="127" spans="1:12" ht="20" hidden="1" x14ac:dyDescent="0.25">
      <c r="A127" s="273"/>
      <c r="B127" s="274" t="s">
        <v>212</v>
      </c>
      <c r="C127" s="311"/>
      <c r="D127" s="311" t="s">
        <v>452</v>
      </c>
      <c r="E127" s="311" t="s">
        <v>539</v>
      </c>
      <c r="F127" s="311" t="s">
        <v>209</v>
      </c>
      <c r="G127" s="271"/>
      <c r="H127" s="270">
        <f>H128</f>
        <v>100</v>
      </c>
      <c r="I127" s="270"/>
      <c r="J127" s="270"/>
      <c r="K127" s="270">
        <f>K128</f>
        <v>0</v>
      </c>
      <c r="L127" s="269">
        <f>L128</f>
        <v>0</v>
      </c>
    </row>
    <row r="128" spans="1:12" ht="20" hidden="1" x14ac:dyDescent="0.25">
      <c r="A128" s="273"/>
      <c r="B128" s="284" t="s">
        <v>454</v>
      </c>
      <c r="C128" s="311"/>
      <c r="D128" s="311" t="s">
        <v>452</v>
      </c>
      <c r="E128" s="311" t="s">
        <v>539</v>
      </c>
      <c r="F128" s="311" t="s">
        <v>209</v>
      </c>
      <c r="G128" s="271" t="s">
        <v>1</v>
      </c>
      <c r="H128" s="270">
        <v>100</v>
      </c>
      <c r="I128" s="270"/>
      <c r="J128" s="270"/>
      <c r="K128" s="270"/>
      <c r="L128" s="269"/>
    </row>
    <row r="129" spans="1:12" ht="26" hidden="1" x14ac:dyDescent="0.3">
      <c r="A129" s="273"/>
      <c r="B129" s="336" t="s">
        <v>206</v>
      </c>
      <c r="C129" s="311"/>
      <c r="D129" s="311" t="s">
        <v>452</v>
      </c>
      <c r="E129" s="311" t="s">
        <v>539</v>
      </c>
      <c r="F129" s="311" t="s">
        <v>205</v>
      </c>
      <c r="G129" s="271"/>
      <c r="H129" s="270">
        <f>H130</f>
        <v>495.5</v>
      </c>
      <c r="I129" s="270"/>
      <c r="J129" s="270"/>
      <c r="K129" s="270">
        <f>K130</f>
        <v>0</v>
      </c>
      <c r="L129" s="269">
        <f>L130</f>
        <v>0</v>
      </c>
    </row>
    <row r="130" spans="1:12" ht="20" hidden="1" x14ac:dyDescent="0.25">
      <c r="A130" s="273"/>
      <c r="B130" s="284" t="s">
        <v>454</v>
      </c>
      <c r="C130" s="311"/>
      <c r="D130" s="311" t="s">
        <v>452</v>
      </c>
      <c r="E130" s="311" t="s">
        <v>539</v>
      </c>
      <c r="F130" s="311" t="s">
        <v>205</v>
      </c>
      <c r="G130" s="271" t="s">
        <v>1</v>
      </c>
      <c r="H130" s="270">
        <v>495.5</v>
      </c>
      <c r="I130" s="270"/>
      <c r="J130" s="270"/>
      <c r="K130" s="270"/>
      <c r="L130" s="269"/>
    </row>
    <row r="131" spans="1:12" ht="30" x14ac:dyDescent="0.25">
      <c r="A131" s="273"/>
      <c r="B131" s="275" t="s">
        <v>837</v>
      </c>
      <c r="C131" s="311"/>
      <c r="D131" s="311" t="s">
        <v>452</v>
      </c>
      <c r="E131" s="311" t="s">
        <v>539</v>
      </c>
      <c r="F131" s="271" t="s">
        <v>204</v>
      </c>
      <c r="G131" s="271"/>
      <c r="H131" s="270">
        <f>H132</f>
        <v>3104.5</v>
      </c>
      <c r="I131" s="270"/>
      <c r="J131" s="270"/>
      <c r="K131" s="270">
        <f>K132</f>
        <v>6170</v>
      </c>
      <c r="L131" s="269">
        <f>L132</f>
        <v>6540.2</v>
      </c>
    </row>
    <row r="132" spans="1:12" x14ac:dyDescent="0.25">
      <c r="A132" s="273"/>
      <c r="B132" s="274" t="s">
        <v>203</v>
      </c>
      <c r="C132" s="311"/>
      <c r="D132" s="311" t="s">
        <v>452</v>
      </c>
      <c r="E132" s="311" t="s">
        <v>539</v>
      </c>
      <c r="F132" s="311" t="s">
        <v>202</v>
      </c>
      <c r="G132" s="271"/>
      <c r="H132" s="270">
        <f>H133+H135</f>
        <v>3104.5</v>
      </c>
      <c r="I132" s="270"/>
      <c r="J132" s="270"/>
      <c r="K132" s="270">
        <f>K133+K135</f>
        <v>6170</v>
      </c>
      <c r="L132" s="269">
        <f>L133+L135</f>
        <v>6540.2</v>
      </c>
    </row>
    <row r="133" spans="1:12" ht="22.5" customHeight="1" x14ac:dyDescent="0.25">
      <c r="A133" s="273"/>
      <c r="B133" s="274" t="s">
        <v>558</v>
      </c>
      <c r="C133" s="311"/>
      <c r="D133" s="311" t="s">
        <v>452</v>
      </c>
      <c r="E133" s="311" t="s">
        <v>539</v>
      </c>
      <c r="F133" s="311" t="s">
        <v>200</v>
      </c>
      <c r="G133" s="271"/>
      <c r="H133" s="270">
        <f>H134</f>
        <v>2704.5</v>
      </c>
      <c r="I133" s="270"/>
      <c r="J133" s="270"/>
      <c r="K133" s="270">
        <f>K134</f>
        <v>1970</v>
      </c>
      <c r="L133" s="269">
        <f>L134</f>
        <v>2140.1999999999998</v>
      </c>
    </row>
    <row r="134" spans="1:12" ht="20" x14ac:dyDescent="0.25">
      <c r="A134" s="273"/>
      <c r="B134" s="284" t="s">
        <v>454</v>
      </c>
      <c r="C134" s="311"/>
      <c r="D134" s="311" t="s">
        <v>452</v>
      </c>
      <c r="E134" s="311" t="s">
        <v>539</v>
      </c>
      <c r="F134" s="311" t="s">
        <v>200</v>
      </c>
      <c r="G134" s="271" t="s">
        <v>1</v>
      </c>
      <c r="H134" s="270">
        <v>2704.5</v>
      </c>
      <c r="I134" s="270"/>
      <c r="J134" s="270"/>
      <c r="K134" s="270">
        <v>1970</v>
      </c>
      <c r="L134" s="269">
        <v>2140.1999999999998</v>
      </c>
    </row>
    <row r="135" spans="1:12" ht="20" x14ac:dyDescent="0.25">
      <c r="A135" s="273"/>
      <c r="B135" s="274" t="s">
        <v>199</v>
      </c>
      <c r="C135" s="311"/>
      <c r="D135" s="311" t="s">
        <v>452</v>
      </c>
      <c r="E135" s="311" t="s">
        <v>539</v>
      </c>
      <c r="F135" s="311" t="s">
        <v>198</v>
      </c>
      <c r="G135" s="271"/>
      <c r="H135" s="270">
        <f>H136</f>
        <v>400</v>
      </c>
      <c r="I135" s="270"/>
      <c r="J135" s="270"/>
      <c r="K135" s="270">
        <f>K136</f>
        <v>4200</v>
      </c>
      <c r="L135" s="269">
        <f>L136</f>
        <v>4400</v>
      </c>
    </row>
    <row r="136" spans="1:12" ht="20" x14ac:dyDescent="0.25">
      <c r="A136" s="273"/>
      <c r="B136" s="284" t="s">
        <v>454</v>
      </c>
      <c r="C136" s="311"/>
      <c r="D136" s="311" t="s">
        <v>452</v>
      </c>
      <c r="E136" s="311" t="s">
        <v>539</v>
      </c>
      <c r="F136" s="311" t="s">
        <v>198</v>
      </c>
      <c r="G136" s="271" t="s">
        <v>1</v>
      </c>
      <c r="H136" s="270">
        <v>400</v>
      </c>
      <c r="I136" s="270"/>
      <c r="J136" s="270"/>
      <c r="K136" s="270">
        <v>4200</v>
      </c>
      <c r="L136" s="269">
        <v>4400</v>
      </c>
    </row>
    <row r="137" spans="1:12" ht="31.5" hidden="1" x14ac:dyDescent="0.25">
      <c r="A137" s="281"/>
      <c r="B137" s="335" t="s">
        <v>557</v>
      </c>
      <c r="C137" s="278"/>
      <c r="D137" s="278" t="s">
        <v>452</v>
      </c>
      <c r="E137" s="278" t="s">
        <v>539</v>
      </c>
      <c r="F137" s="278" t="s">
        <v>556</v>
      </c>
      <c r="G137" s="278"/>
      <c r="H137" s="277">
        <f>H138</f>
        <v>0</v>
      </c>
      <c r="I137" s="277">
        <f>I138</f>
        <v>22950</v>
      </c>
      <c r="J137" s="277">
        <f>J138</f>
        <v>23270</v>
      </c>
      <c r="K137" s="277">
        <f>K138</f>
        <v>0</v>
      </c>
      <c r="L137" s="276">
        <f>L138</f>
        <v>0</v>
      </c>
    </row>
    <row r="138" spans="1:12" ht="20" hidden="1" x14ac:dyDescent="0.25">
      <c r="A138" s="273"/>
      <c r="B138" s="319" t="s">
        <v>555</v>
      </c>
      <c r="C138" s="311"/>
      <c r="D138" s="311" t="s">
        <v>452</v>
      </c>
      <c r="E138" s="311" t="s">
        <v>539</v>
      </c>
      <c r="F138" s="311" t="s">
        <v>554</v>
      </c>
      <c r="G138" s="311"/>
      <c r="H138" s="270">
        <f>H139+H142</f>
        <v>0</v>
      </c>
      <c r="I138" s="270">
        <f>I139+I142</f>
        <v>22950</v>
      </c>
      <c r="J138" s="270">
        <f>J139+J142</f>
        <v>23270</v>
      </c>
      <c r="K138" s="270">
        <f>K139+K142</f>
        <v>0</v>
      </c>
      <c r="L138" s="269">
        <f>L139+L142</f>
        <v>0</v>
      </c>
    </row>
    <row r="139" spans="1:12" ht="30" hidden="1" x14ac:dyDescent="0.25">
      <c r="A139" s="273"/>
      <c r="B139" s="319" t="s">
        <v>553</v>
      </c>
      <c r="C139" s="311"/>
      <c r="D139" s="311" t="s">
        <v>452</v>
      </c>
      <c r="E139" s="311" t="s">
        <v>539</v>
      </c>
      <c r="F139" s="311" t="s">
        <v>552</v>
      </c>
      <c r="G139" s="311"/>
      <c r="H139" s="270">
        <f t="shared" ref="H139:L140" si="12">H140</f>
        <v>0</v>
      </c>
      <c r="I139" s="270">
        <f t="shared" si="12"/>
        <v>0</v>
      </c>
      <c r="J139" s="270">
        <f t="shared" si="12"/>
        <v>0</v>
      </c>
      <c r="K139" s="270">
        <f t="shared" si="12"/>
        <v>0</v>
      </c>
      <c r="L139" s="269">
        <f t="shared" si="12"/>
        <v>0</v>
      </c>
    </row>
    <row r="140" spans="1:12" ht="30" hidden="1" x14ac:dyDescent="0.25">
      <c r="A140" s="273"/>
      <c r="B140" s="285" t="s">
        <v>551</v>
      </c>
      <c r="C140" s="311"/>
      <c r="D140" s="311" t="s">
        <v>452</v>
      </c>
      <c r="E140" s="311" t="s">
        <v>539</v>
      </c>
      <c r="F140" s="311" t="s">
        <v>550</v>
      </c>
      <c r="G140" s="311"/>
      <c r="H140" s="270">
        <f t="shared" si="12"/>
        <v>0</v>
      </c>
      <c r="I140" s="270">
        <f t="shared" si="12"/>
        <v>0</v>
      </c>
      <c r="J140" s="270">
        <f t="shared" si="12"/>
        <v>0</v>
      </c>
      <c r="K140" s="270">
        <f t="shared" si="12"/>
        <v>0</v>
      </c>
      <c r="L140" s="269">
        <f t="shared" si="12"/>
        <v>0</v>
      </c>
    </row>
    <row r="141" spans="1:12" hidden="1" x14ac:dyDescent="0.25">
      <c r="A141" s="273"/>
      <c r="B141" s="284" t="s">
        <v>481</v>
      </c>
      <c r="C141" s="311"/>
      <c r="D141" s="311" t="s">
        <v>452</v>
      </c>
      <c r="E141" s="311" t="s">
        <v>539</v>
      </c>
      <c r="F141" s="311" t="s">
        <v>550</v>
      </c>
      <c r="G141" s="271" t="s">
        <v>26</v>
      </c>
      <c r="H141" s="270">
        <v>0</v>
      </c>
      <c r="I141" s="270">
        <v>0</v>
      </c>
      <c r="J141" s="270">
        <v>0</v>
      </c>
      <c r="K141" s="270">
        <v>0</v>
      </c>
      <c r="L141" s="269">
        <v>0</v>
      </c>
    </row>
    <row r="142" spans="1:12" ht="40" hidden="1" x14ac:dyDescent="0.25">
      <c r="A142" s="273"/>
      <c r="B142" s="319" t="s">
        <v>549</v>
      </c>
      <c r="C142" s="311"/>
      <c r="D142" s="311" t="s">
        <v>548</v>
      </c>
      <c r="E142" s="311" t="s">
        <v>539</v>
      </c>
      <c r="F142" s="311" t="s">
        <v>547</v>
      </c>
      <c r="G142" s="311"/>
      <c r="H142" s="270">
        <f>H143+H145+H147</f>
        <v>0</v>
      </c>
      <c r="I142" s="270">
        <f>I143+I145+I147</f>
        <v>22950</v>
      </c>
      <c r="J142" s="270">
        <f>J143+J145+J147</f>
        <v>23270</v>
      </c>
      <c r="K142" s="270">
        <f>K143+K145+K147</f>
        <v>0</v>
      </c>
      <c r="L142" s="269">
        <f>L143+L145+L147</f>
        <v>0</v>
      </c>
    </row>
    <row r="143" spans="1:12" ht="20" hidden="1" x14ac:dyDescent="0.25">
      <c r="A143" s="273"/>
      <c r="B143" s="285" t="s">
        <v>546</v>
      </c>
      <c r="C143" s="311"/>
      <c r="D143" s="311" t="s">
        <v>452</v>
      </c>
      <c r="E143" s="311" t="s">
        <v>539</v>
      </c>
      <c r="F143" s="311" t="s">
        <v>545</v>
      </c>
      <c r="G143" s="311"/>
      <c r="H143" s="270">
        <f>H144</f>
        <v>0</v>
      </c>
      <c r="I143" s="270">
        <f>I144</f>
        <v>2750</v>
      </c>
      <c r="J143" s="270">
        <f>J144</f>
        <v>3070</v>
      </c>
      <c r="K143" s="270">
        <f>K144</f>
        <v>0</v>
      </c>
      <c r="L143" s="269">
        <f>L144</f>
        <v>0</v>
      </c>
    </row>
    <row r="144" spans="1:12" ht="20" hidden="1" x14ac:dyDescent="0.25">
      <c r="A144" s="273"/>
      <c r="B144" s="284" t="s">
        <v>454</v>
      </c>
      <c r="C144" s="311"/>
      <c r="D144" s="311" t="s">
        <v>452</v>
      </c>
      <c r="E144" s="311" t="s">
        <v>539</v>
      </c>
      <c r="F144" s="311" t="s">
        <v>545</v>
      </c>
      <c r="G144" s="271" t="s">
        <v>1</v>
      </c>
      <c r="H144" s="270"/>
      <c r="I144" s="270">
        <v>2750</v>
      </c>
      <c r="J144" s="270">
        <v>3070</v>
      </c>
      <c r="K144" s="270"/>
      <c r="L144" s="269"/>
    </row>
    <row r="145" spans="1:12" ht="30" hidden="1" x14ac:dyDescent="0.25">
      <c r="A145" s="318"/>
      <c r="B145" s="285" t="s">
        <v>544</v>
      </c>
      <c r="C145" s="311"/>
      <c r="D145" s="311" t="s">
        <v>452</v>
      </c>
      <c r="E145" s="311" t="s">
        <v>539</v>
      </c>
      <c r="F145" s="311" t="s">
        <v>543</v>
      </c>
      <c r="G145" s="311"/>
      <c r="H145" s="270">
        <f>H146</f>
        <v>0</v>
      </c>
      <c r="I145" s="270">
        <f>I146</f>
        <v>9100</v>
      </c>
      <c r="J145" s="270">
        <f>J146</f>
        <v>9100</v>
      </c>
      <c r="K145" s="270">
        <f>K146</f>
        <v>0</v>
      </c>
      <c r="L145" s="269">
        <f>L146</f>
        <v>0</v>
      </c>
    </row>
    <row r="146" spans="1:12" ht="20" hidden="1" x14ac:dyDescent="0.25">
      <c r="A146" s="318"/>
      <c r="B146" s="284" t="s">
        <v>454</v>
      </c>
      <c r="C146" s="311"/>
      <c r="D146" s="311" t="s">
        <v>452</v>
      </c>
      <c r="E146" s="311" t="s">
        <v>539</v>
      </c>
      <c r="F146" s="311" t="s">
        <v>543</v>
      </c>
      <c r="G146" s="271" t="s">
        <v>1</v>
      </c>
      <c r="H146" s="270"/>
      <c r="I146" s="270">
        <v>9100</v>
      </c>
      <c r="J146" s="270">
        <v>9100</v>
      </c>
      <c r="K146" s="270"/>
      <c r="L146" s="269"/>
    </row>
    <row r="147" spans="1:12" ht="40" hidden="1" x14ac:dyDescent="0.25">
      <c r="A147" s="318"/>
      <c r="B147" s="285" t="s">
        <v>542</v>
      </c>
      <c r="C147" s="311"/>
      <c r="D147" s="311" t="s">
        <v>452</v>
      </c>
      <c r="E147" s="311" t="s">
        <v>539</v>
      </c>
      <c r="F147" s="311" t="s">
        <v>541</v>
      </c>
      <c r="G147" s="311"/>
      <c r="H147" s="270">
        <f>H148</f>
        <v>0</v>
      </c>
      <c r="I147" s="270">
        <f>I148</f>
        <v>11100</v>
      </c>
      <c r="J147" s="270">
        <f>J148</f>
        <v>11100</v>
      </c>
      <c r="K147" s="270">
        <f>K148</f>
        <v>0</v>
      </c>
      <c r="L147" s="269">
        <f>L148</f>
        <v>0</v>
      </c>
    </row>
    <row r="148" spans="1:12" ht="20" hidden="1" x14ac:dyDescent="0.25">
      <c r="A148" s="318"/>
      <c r="B148" s="284" t="s">
        <v>454</v>
      </c>
      <c r="C148" s="311"/>
      <c r="D148" s="311" t="s">
        <v>452</v>
      </c>
      <c r="E148" s="311" t="s">
        <v>539</v>
      </c>
      <c r="F148" s="311" t="s">
        <v>541</v>
      </c>
      <c r="G148" s="271" t="s">
        <v>1</v>
      </c>
      <c r="H148" s="270"/>
      <c r="I148" s="270">
        <v>11100</v>
      </c>
      <c r="J148" s="270">
        <v>11100</v>
      </c>
      <c r="K148" s="270"/>
      <c r="L148" s="269"/>
    </row>
    <row r="149" spans="1:12" ht="31.5" hidden="1" x14ac:dyDescent="0.25">
      <c r="A149" s="332"/>
      <c r="B149" s="282" t="s">
        <v>499</v>
      </c>
      <c r="C149" s="279"/>
      <c r="D149" s="278" t="s">
        <v>452</v>
      </c>
      <c r="E149" s="278" t="s">
        <v>539</v>
      </c>
      <c r="F149" s="278" t="s">
        <v>89</v>
      </c>
      <c r="G149" s="278"/>
      <c r="H149" s="277">
        <f t="shared" ref="H149:L152" si="13">H150</f>
        <v>0</v>
      </c>
      <c r="I149" s="277">
        <f t="shared" si="13"/>
        <v>0</v>
      </c>
      <c r="J149" s="277">
        <f t="shared" si="13"/>
        <v>0</v>
      </c>
      <c r="K149" s="277">
        <f t="shared" si="13"/>
        <v>0</v>
      </c>
      <c r="L149" s="276">
        <f t="shared" si="13"/>
        <v>0</v>
      </c>
    </row>
    <row r="150" spans="1:12" hidden="1" x14ac:dyDescent="0.25">
      <c r="A150" s="281"/>
      <c r="B150" s="282" t="s">
        <v>109</v>
      </c>
      <c r="C150" s="279"/>
      <c r="D150" s="278" t="s">
        <v>452</v>
      </c>
      <c r="E150" s="278" t="s">
        <v>539</v>
      </c>
      <c r="F150" s="278" t="s">
        <v>84</v>
      </c>
      <c r="G150" s="278"/>
      <c r="H150" s="277">
        <f t="shared" si="13"/>
        <v>0</v>
      </c>
      <c r="I150" s="277">
        <f t="shared" si="13"/>
        <v>0</v>
      </c>
      <c r="J150" s="277">
        <f t="shared" si="13"/>
        <v>0</v>
      </c>
      <c r="K150" s="277">
        <f t="shared" si="13"/>
        <v>0</v>
      </c>
      <c r="L150" s="276">
        <f t="shared" si="13"/>
        <v>0</v>
      </c>
    </row>
    <row r="151" spans="1:12" hidden="1" x14ac:dyDescent="0.25">
      <c r="A151" s="281"/>
      <c r="B151" s="282" t="s">
        <v>109</v>
      </c>
      <c r="C151" s="279"/>
      <c r="D151" s="278" t="s">
        <v>452</v>
      </c>
      <c r="E151" s="278" t="s">
        <v>539</v>
      </c>
      <c r="F151" s="278" t="s">
        <v>82</v>
      </c>
      <c r="G151" s="278"/>
      <c r="H151" s="277">
        <f t="shared" si="13"/>
        <v>0</v>
      </c>
      <c r="I151" s="277">
        <f t="shared" si="13"/>
        <v>0</v>
      </c>
      <c r="J151" s="277">
        <f t="shared" si="13"/>
        <v>0</v>
      </c>
      <c r="K151" s="277">
        <f t="shared" si="13"/>
        <v>0</v>
      </c>
      <c r="L151" s="276">
        <f t="shared" si="13"/>
        <v>0</v>
      </c>
    </row>
    <row r="152" spans="1:12" ht="40" hidden="1" x14ac:dyDescent="0.25">
      <c r="A152" s="318"/>
      <c r="B152" s="285" t="s">
        <v>540</v>
      </c>
      <c r="C152" s="271"/>
      <c r="D152" s="271" t="s">
        <v>452</v>
      </c>
      <c r="E152" s="271" t="s">
        <v>539</v>
      </c>
      <c r="F152" s="271" t="s">
        <v>538</v>
      </c>
      <c r="G152" s="271"/>
      <c r="H152" s="270">
        <f t="shared" si="13"/>
        <v>0</v>
      </c>
      <c r="I152" s="270">
        <f t="shared" si="13"/>
        <v>0</v>
      </c>
      <c r="J152" s="270">
        <f t="shared" si="13"/>
        <v>0</v>
      </c>
      <c r="K152" s="270">
        <f t="shared" si="13"/>
        <v>0</v>
      </c>
      <c r="L152" s="269">
        <f t="shared" si="13"/>
        <v>0</v>
      </c>
    </row>
    <row r="153" spans="1:12" ht="20" hidden="1" x14ac:dyDescent="0.25">
      <c r="A153" s="318"/>
      <c r="B153" s="284" t="s">
        <v>454</v>
      </c>
      <c r="C153" s="311"/>
      <c r="D153" s="311" t="s">
        <v>452</v>
      </c>
      <c r="E153" s="311" t="s">
        <v>539</v>
      </c>
      <c r="F153" s="311" t="s">
        <v>538</v>
      </c>
      <c r="G153" s="271" t="s">
        <v>1</v>
      </c>
      <c r="H153" s="270"/>
      <c r="I153" s="270">
        <v>0</v>
      </c>
      <c r="J153" s="270">
        <v>0</v>
      </c>
      <c r="K153" s="270"/>
      <c r="L153" s="269"/>
    </row>
    <row r="154" spans="1:12" x14ac:dyDescent="0.25">
      <c r="A154" s="318"/>
      <c r="B154" s="326" t="s">
        <v>51</v>
      </c>
      <c r="C154" s="316"/>
      <c r="D154" s="316" t="s">
        <v>452</v>
      </c>
      <c r="E154" s="316" t="s">
        <v>534</v>
      </c>
      <c r="F154" s="316"/>
      <c r="G154" s="316"/>
      <c r="H154" s="325">
        <f>H155+H159</f>
        <v>2141.94</v>
      </c>
      <c r="I154" s="325">
        <f>I155+I159</f>
        <v>2500</v>
      </c>
      <c r="J154" s="325">
        <f>J155+J159</f>
        <v>1314</v>
      </c>
      <c r="K154" s="325">
        <f>K155+K159</f>
        <v>3573.3</v>
      </c>
      <c r="L154" s="324">
        <f>L155+L159</f>
        <v>3884.5</v>
      </c>
    </row>
    <row r="155" spans="1:12" ht="30" x14ac:dyDescent="0.25">
      <c r="A155" s="273"/>
      <c r="B155" s="275" t="s">
        <v>293</v>
      </c>
      <c r="C155" s="271"/>
      <c r="D155" s="271" t="s">
        <v>452</v>
      </c>
      <c r="E155" s="271" t="s">
        <v>534</v>
      </c>
      <c r="F155" s="271" t="s">
        <v>292</v>
      </c>
      <c r="G155" s="271"/>
      <c r="H155" s="270">
        <f t="shared" ref="H155:L157" si="14">H156</f>
        <v>310</v>
      </c>
      <c r="I155" s="270">
        <f t="shared" si="14"/>
        <v>84</v>
      </c>
      <c r="J155" s="270">
        <f t="shared" si="14"/>
        <v>84</v>
      </c>
      <c r="K155" s="270">
        <f t="shared" si="14"/>
        <v>320</v>
      </c>
      <c r="L155" s="269">
        <f t="shared" si="14"/>
        <v>330</v>
      </c>
    </row>
    <row r="156" spans="1:12" ht="30" x14ac:dyDescent="0.25">
      <c r="A156" s="281"/>
      <c r="B156" s="274" t="s">
        <v>289</v>
      </c>
      <c r="C156" s="278"/>
      <c r="D156" s="278" t="s">
        <v>452</v>
      </c>
      <c r="E156" s="278" t="s">
        <v>534</v>
      </c>
      <c r="F156" s="278" t="s">
        <v>286</v>
      </c>
      <c r="G156" s="278"/>
      <c r="H156" s="277">
        <f t="shared" si="14"/>
        <v>310</v>
      </c>
      <c r="I156" s="277">
        <f t="shared" si="14"/>
        <v>84</v>
      </c>
      <c r="J156" s="277">
        <f t="shared" si="14"/>
        <v>84</v>
      </c>
      <c r="K156" s="277">
        <f t="shared" si="14"/>
        <v>320</v>
      </c>
      <c r="L156" s="276">
        <f t="shared" si="14"/>
        <v>330</v>
      </c>
    </row>
    <row r="157" spans="1:12" ht="20" x14ac:dyDescent="0.25">
      <c r="A157" s="273"/>
      <c r="B157" s="334" t="s">
        <v>287</v>
      </c>
      <c r="C157" s="311"/>
      <c r="D157" s="311" t="s">
        <v>452</v>
      </c>
      <c r="E157" s="311" t="s">
        <v>534</v>
      </c>
      <c r="F157" s="311" t="s">
        <v>275</v>
      </c>
      <c r="G157" s="311"/>
      <c r="H157" s="270">
        <f t="shared" si="14"/>
        <v>310</v>
      </c>
      <c r="I157" s="270">
        <f t="shared" si="14"/>
        <v>84</v>
      </c>
      <c r="J157" s="270">
        <f t="shared" si="14"/>
        <v>84</v>
      </c>
      <c r="K157" s="270">
        <f t="shared" si="14"/>
        <v>320</v>
      </c>
      <c r="L157" s="269">
        <f t="shared" si="14"/>
        <v>330</v>
      </c>
    </row>
    <row r="158" spans="1:12" ht="20" x14ac:dyDescent="0.25">
      <c r="A158" s="273"/>
      <c r="B158" s="284" t="s">
        <v>454</v>
      </c>
      <c r="C158" s="311"/>
      <c r="D158" s="311" t="s">
        <v>452</v>
      </c>
      <c r="E158" s="311" t="s">
        <v>534</v>
      </c>
      <c r="F158" s="311" t="s">
        <v>275</v>
      </c>
      <c r="G158" s="271" t="s">
        <v>1</v>
      </c>
      <c r="H158" s="270">
        <v>310</v>
      </c>
      <c r="I158" s="270">
        <v>84</v>
      </c>
      <c r="J158" s="270">
        <v>84</v>
      </c>
      <c r="K158" s="270">
        <v>320</v>
      </c>
      <c r="L158" s="269">
        <v>330</v>
      </c>
    </row>
    <row r="159" spans="1:12" ht="27.65" customHeight="1" x14ac:dyDescent="0.25">
      <c r="A159" s="305"/>
      <c r="B159" s="285" t="s">
        <v>499</v>
      </c>
      <c r="C159" s="272"/>
      <c r="D159" s="271" t="s">
        <v>452</v>
      </c>
      <c r="E159" s="271" t="s">
        <v>534</v>
      </c>
      <c r="F159" s="271" t="s">
        <v>89</v>
      </c>
      <c r="G159" s="271"/>
      <c r="H159" s="270">
        <f t="shared" ref="H159:J160" si="15">H160</f>
        <v>1831.94</v>
      </c>
      <c r="I159" s="270">
        <f t="shared" si="15"/>
        <v>2416</v>
      </c>
      <c r="J159" s="270">
        <f t="shared" si="15"/>
        <v>1230</v>
      </c>
      <c r="K159" s="270">
        <f>K166+K162</f>
        <v>3253.3</v>
      </c>
      <c r="L159" s="269">
        <f>L166+L162</f>
        <v>3554.5</v>
      </c>
    </row>
    <row r="160" spans="1:12" ht="21" customHeight="1" x14ac:dyDescent="0.25">
      <c r="A160" s="273"/>
      <c r="B160" s="285" t="s">
        <v>109</v>
      </c>
      <c r="C160" s="272"/>
      <c r="D160" s="271" t="s">
        <v>452</v>
      </c>
      <c r="E160" s="271" t="s">
        <v>534</v>
      </c>
      <c r="F160" s="271" t="s">
        <v>84</v>
      </c>
      <c r="G160" s="271"/>
      <c r="H160" s="270">
        <f t="shared" si="15"/>
        <v>1831.94</v>
      </c>
      <c r="I160" s="270">
        <f t="shared" si="15"/>
        <v>2416</v>
      </c>
      <c r="J160" s="270">
        <f t="shared" si="15"/>
        <v>1230</v>
      </c>
      <c r="K160" s="270">
        <f>K161</f>
        <v>3253.3</v>
      </c>
      <c r="L160" s="269">
        <f>L161</f>
        <v>3554.5</v>
      </c>
    </row>
    <row r="161" spans="1:13" ht="21.75" customHeight="1" x14ac:dyDescent="0.25">
      <c r="A161" s="273"/>
      <c r="B161" s="285" t="s">
        <v>109</v>
      </c>
      <c r="C161" s="272"/>
      <c r="D161" s="271" t="s">
        <v>452</v>
      </c>
      <c r="E161" s="271" t="s">
        <v>534</v>
      </c>
      <c r="F161" s="271" t="s">
        <v>82</v>
      </c>
      <c r="G161" s="271"/>
      <c r="H161" s="270">
        <f>H162+H164+H167</f>
        <v>1831.94</v>
      </c>
      <c r="I161" s="270">
        <f>I162+I164+I167</f>
        <v>2416</v>
      </c>
      <c r="J161" s="270">
        <f>J162+J164+J167</f>
        <v>1230</v>
      </c>
      <c r="K161" s="270">
        <f>K162+K164+K167</f>
        <v>3253.3</v>
      </c>
      <c r="L161" s="269">
        <f>L162+L164+L167</f>
        <v>3554.5</v>
      </c>
    </row>
    <row r="162" spans="1:13" ht="23.25" customHeight="1" x14ac:dyDescent="0.25">
      <c r="A162" s="281"/>
      <c r="B162" s="285" t="s">
        <v>537</v>
      </c>
      <c r="C162" s="271"/>
      <c r="D162" s="271" t="s">
        <v>452</v>
      </c>
      <c r="E162" s="271" t="s">
        <v>534</v>
      </c>
      <c r="F162" s="271" t="s">
        <v>536</v>
      </c>
      <c r="G162" s="271"/>
      <c r="H162" s="270">
        <f>H163</f>
        <v>0</v>
      </c>
      <c r="I162" s="270">
        <f>I163</f>
        <v>1650</v>
      </c>
      <c r="J162" s="270">
        <f>J163</f>
        <v>650</v>
      </c>
      <c r="K162" s="270">
        <f>K163</f>
        <v>1253.3</v>
      </c>
      <c r="L162" s="269">
        <f>L163</f>
        <v>554.5</v>
      </c>
    </row>
    <row r="163" spans="1:13" ht="20" x14ac:dyDescent="0.25">
      <c r="A163" s="318"/>
      <c r="B163" s="284" t="s">
        <v>454</v>
      </c>
      <c r="C163" s="311"/>
      <c r="D163" s="311" t="s">
        <v>452</v>
      </c>
      <c r="E163" s="311" t="s">
        <v>534</v>
      </c>
      <c r="F163" s="311" t="s">
        <v>536</v>
      </c>
      <c r="G163" s="271" t="s">
        <v>1</v>
      </c>
      <c r="H163" s="270"/>
      <c r="I163" s="270">
        <v>1650</v>
      </c>
      <c r="J163" s="270">
        <v>650</v>
      </c>
      <c r="K163" s="270">
        <v>1253.3</v>
      </c>
      <c r="L163" s="269">
        <v>554.5</v>
      </c>
      <c r="M163" s="545" t="s">
        <v>615</v>
      </c>
    </row>
    <row r="164" spans="1:13" hidden="1" x14ac:dyDescent="0.25">
      <c r="A164" s="281"/>
      <c r="B164" s="285" t="s">
        <v>535</v>
      </c>
      <c r="C164" s="271"/>
      <c r="D164" s="271" t="s">
        <v>452</v>
      </c>
      <c r="E164" s="271" t="s">
        <v>534</v>
      </c>
      <c r="F164" s="271" t="s">
        <v>54</v>
      </c>
      <c r="G164" s="271"/>
      <c r="H164" s="270">
        <f>H165</f>
        <v>94.8</v>
      </c>
      <c r="I164" s="270">
        <f>I165</f>
        <v>266</v>
      </c>
      <c r="J164" s="270">
        <f>J165</f>
        <v>280</v>
      </c>
      <c r="K164" s="270">
        <f>K165</f>
        <v>0</v>
      </c>
      <c r="L164" s="269">
        <f>L165</f>
        <v>0</v>
      </c>
    </row>
    <row r="165" spans="1:13" ht="20" hidden="1" x14ac:dyDescent="0.25">
      <c r="A165" s="327"/>
      <c r="B165" s="284" t="s">
        <v>454</v>
      </c>
      <c r="C165" s="311"/>
      <c r="D165" s="311" t="s">
        <v>452</v>
      </c>
      <c r="E165" s="311" t="s">
        <v>534</v>
      </c>
      <c r="F165" s="311" t="s">
        <v>54</v>
      </c>
      <c r="G165" s="271" t="s">
        <v>1</v>
      </c>
      <c r="H165" s="270">
        <v>94.8</v>
      </c>
      <c r="I165" s="270">
        <v>266</v>
      </c>
      <c r="J165" s="270">
        <v>280</v>
      </c>
      <c r="K165" s="270"/>
      <c r="L165" s="269"/>
    </row>
    <row r="166" spans="1:13" ht="22.5" customHeight="1" x14ac:dyDescent="0.25">
      <c r="A166" s="327"/>
      <c r="B166" s="285" t="s">
        <v>53</v>
      </c>
      <c r="C166" s="271"/>
      <c r="D166" s="271" t="s">
        <v>452</v>
      </c>
      <c r="E166" s="271" t="s">
        <v>534</v>
      </c>
      <c r="F166" s="271" t="s">
        <v>50</v>
      </c>
      <c r="G166" s="271"/>
      <c r="H166" s="270">
        <f>H167</f>
        <v>1737.14</v>
      </c>
      <c r="I166" s="270">
        <f>I167</f>
        <v>500</v>
      </c>
      <c r="J166" s="270">
        <f>J167</f>
        <v>300</v>
      </c>
      <c r="K166" s="270">
        <f>K167</f>
        <v>2000</v>
      </c>
      <c r="L166" s="269">
        <f>L167</f>
        <v>3000</v>
      </c>
    </row>
    <row r="167" spans="1:13" ht="20" x14ac:dyDescent="0.25">
      <c r="A167" s="327"/>
      <c r="B167" s="284" t="s">
        <v>454</v>
      </c>
      <c r="C167" s="311"/>
      <c r="D167" s="311" t="s">
        <v>452</v>
      </c>
      <c r="E167" s="311" t="s">
        <v>534</v>
      </c>
      <c r="F167" s="311" t="s">
        <v>50</v>
      </c>
      <c r="G167" s="271" t="s">
        <v>1</v>
      </c>
      <c r="H167" s="270">
        <v>1737.14</v>
      </c>
      <c r="I167" s="270">
        <v>500</v>
      </c>
      <c r="J167" s="270">
        <v>300</v>
      </c>
      <c r="K167" s="270">
        <v>2000</v>
      </c>
      <c r="L167" s="269">
        <v>3000</v>
      </c>
    </row>
    <row r="168" spans="1:13" x14ac:dyDescent="0.25">
      <c r="A168" s="327"/>
      <c r="B168" s="326" t="s">
        <v>378</v>
      </c>
      <c r="C168" s="333"/>
      <c r="D168" s="316" t="s">
        <v>463</v>
      </c>
      <c r="E168" s="316" t="s">
        <v>459</v>
      </c>
      <c r="F168" s="316"/>
      <c r="G168" s="316"/>
      <c r="H168" s="325">
        <f>H169+H179+H199</f>
        <v>59437.959999999992</v>
      </c>
      <c r="I168" s="325">
        <f>I169+I179+I199</f>
        <v>157340.40900000001</v>
      </c>
      <c r="J168" s="325">
        <f>J169+J179+J199</f>
        <v>152028.25200000001</v>
      </c>
      <c r="K168" s="325">
        <f>K169+K179+K199</f>
        <v>57011.663</v>
      </c>
      <c r="L168" s="324">
        <f>L169+L179+L199</f>
        <v>57065.803999999996</v>
      </c>
    </row>
    <row r="169" spans="1:13" x14ac:dyDescent="0.25">
      <c r="A169" s="318"/>
      <c r="B169" s="326" t="s">
        <v>11</v>
      </c>
      <c r="C169" s="316"/>
      <c r="D169" s="316" t="s">
        <v>463</v>
      </c>
      <c r="E169" s="316" t="s">
        <v>456</v>
      </c>
      <c r="F169" s="316"/>
      <c r="G169" s="316"/>
      <c r="H169" s="325">
        <f t="shared" ref="H169:L171" si="16">H170</f>
        <v>1886.2020000000002</v>
      </c>
      <c r="I169" s="325">
        <f t="shared" si="16"/>
        <v>9116.6290000000008</v>
      </c>
      <c r="J169" s="325">
        <f t="shared" si="16"/>
        <v>9559.5519999999997</v>
      </c>
      <c r="K169" s="325">
        <f t="shared" si="16"/>
        <v>822.47400000000005</v>
      </c>
      <c r="L169" s="324">
        <f t="shared" si="16"/>
        <v>871.82299999999998</v>
      </c>
    </row>
    <row r="170" spans="1:13" ht="31.15" customHeight="1" x14ac:dyDescent="0.25">
      <c r="A170" s="305"/>
      <c r="B170" s="285" t="s">
        <v>499</v>
      </c>
      <c r="C170" s="272"/>
      <c r="D170" s="271" t="s">
        <v>463</v>
      </c>
      <c r="E170" s="271" t="s">
        <v>456</v>
      </c>
      <c r="F170" s="271" t="s">
        <v>89</v>
      </c>
      <c r="G170" s="271"/>
      <c r="H170" s="270">
        <f t="shared" si="16"/>
        <v>1886.2020000000002</v>
      </c>
      <c r="I170" s="270">
        <f t="shared" si="16"/>
        <v>9116.6290000000008</v>
      </c>
      <c r="J170" s="270">
        <f t="shared" si="16"/>
        <v>9559.5519999999997</v>
      </c>
      <c r="K170" s="270">
        <f t="shared" si="16"/>
        <v>822.47400000000005</v>
      </c>
      <c r="L170" s="269">
        <f t="shared" si="16"/>
        <v>871.82299999999998</v>
      </c>
    </row>
    <row r="171" spans="1:13" ht="23.25" customHeight="1" x14ac:dyDescent="0.25">
      <c r="A171" s="273"/>
      <c r="B171" s="285" t="s">
        <v>109</v>
      </c>
      <c r="C171" s="272"/>
      <c r="D171" s="271" t="s">
        <v>463</v>
      </c>
      <c r="E171" s="271" t="s">
        <v>456</v>
      </c>
      <c r="F171" s="271" t="s">
        <v>84</v>
      </c>
      <c r="G171" s="271"/>
      <c r="H171" s="270">
        <f t="shared" si="16"/>
        <v>1886.2020000000002</v>
      </c>
      <c r="I171" s="270">
        <f t="shared" si="16"/>
        <v>9116.6290000000008</v>
      </c>
      <c r="J171" s="270">
        <f t="shared" si="16"/>
        <v>9559.5519999999997</v>
      </c>
      <c r="K171" s="270">
        <f t="shared" si="16"/>
        <v>822.47400000000005</v>
      </c>
      <c r="L171" s="269">
        <f t="shared" si="16"/>
        <v>871.82299999999998</v>
      </c>
    </row>
    <row r="172" spans="1:13" ht="25.5" customHeight="1" x14ac:dyDescent="0.25">
      <c r="A172" s="273"/>
      <c r="B172" s="285" t="s">
        <v>109</v>
      </c>
      <c r="C172" s="272"/>
      <c r="D172" s="271" t="s">
        <v>463</v>
      </c>
      <c r="E172" s="271" t="s">
        <v>456</v>
      </c>
      <c r="F172" s="271" t="s">
        <v>82</v>
      </c>
      <c r="G172" s="271"/>
      <c r="H172" s="270">
        <f>H173+H175+H177</f>
        <v>1886.2020000000002</v>
      </c>
      <c r="I172" s="270">
        <f>I173+I175+I177</f>
        <v>9116.6290000000008</v>
      </c>
      <c r="J172" s="270">
        <f>J173+J175+J177</f>
        <v>9559.5519999999997</v>
      </c>
      <c r="K172" s="270">
        <f>K173+K175+K177</f>
        <v>822.47400000000005</v>
      </c>
      <c r="L172" s="269">
        <f>L173+L175+L177</f>
        <v>871.82299999999998</v>
      </c>
    </row>
    <row r="173" spans="1:13" hidden="1" x14ac:dyDescent="0.25">
      <c r="A173" s="281"/>
      <c r="B173" s="285" t="s">
        <v>533</v>
      </c>
      <c r="C173" s="271"/>
      <c r="D173" s="271" t="s">
        <v>463</v>
      </c>
      <c r="E173" s="271" t="s">
        <v>456</v>
      </c>
      <c r="F173" s="271" t="s">
        <v>30</v>
      </c>
      <c r="G173" s="271"/>
      <c r="H173" s="270">
        <f>H174</f>
        <v>1172.7070000000001</v>
      </c>
      <c r="I173" s="270">
        <f>I174</f>
        <v>210</v>
      </c>
      <c r="J173" s="270">
        <f>J174</f>
        <v>210</v>
      </c>
      <c r="K173" s="270">
        <f>K174</f>
        <v>0</v>
      </c>
      <c r="L173" s="269">
        <f>L174</f>
        <v>0</v>
      </c>
    </row>
    <row r="174" spans="1:13" ht="20" hidden="1" x14ac:dyDescent="0.25">
      <c r="A174" s="318"/>
      <c r="B174" s="284" t="s">
        <v>454</v>
      </c>
      <c r="C174" s="271"/>
      <c r="D174" s="311" t="s">
        <v>463</v>
      </c>
      <c r="E174" s="311" t="s">
        <v>456</v>
      </c>
      <c r="F174" s="271" t="s">
        <v>30</v>
      </c>
      <c r="G174" s="271" t="s">
        <v>1</v>
      </c>
      <c r="H174" s="270">
        <v>1172.7070000000001</v>
      </c>
      <c r="I174" s="270">
        <v>210</v>
      </c>
      <c r="J174" s="270">
        <v>210</v>
      </c>
      <c r="K174" s="270"/>
      <c r="L174" s="269"/>
    </row>
    <row r="175" spans="1:13" hidden="1" x14ac:dyDescent="0.25">
      <c r="A175" s="281"/>
      <c r="B175" s="285" t="s">
        <v>532</v>
      </c>
      <c r="C175" s="271"/>
      <c r="D175" s="271" t="s">
        <v>463</v>
      </c>
      <c r="E175" s="271" t="s">
        <v>456</v>
      </c>
      <c r="F175" s="271" t="s">
        <v>531</v>
      </c>
      <c r="G175" s="271"/>
      <c r="H175" s="270">
        <f>H176</f>
        <v>0</v>
      </c>
      <c r="I175" s="270">
        <f>I176</f>
        <v>2166.81</v>
      </c>
      <c r="J175" s="270">
        <f>J176</f>
        <v>2272.7420000000002</v>
      </c>
      <c r="K175" s="270">
        <f>K176</f>
        <v>0</v>
      </c>
      <c r="L175" s="269">
        <f>L176</f>
        <v>0</v>
      </c>
    </row>
    <row r="176" spans="1:13" ht="20" hidden="1" x14ac:dyDescent="0.25">
      <c r="A176" s="318"/>
      <c r="B176" s="284" t="s">
        <v>454</v>
      </c>
      <c r="C176" s="271"/>
      <c r="D176" s="311" t="s">
        <v>463</v>
      </c>
      <c r="E176" s="311" t="s">
        <v>456</v>
      </c>
      <c r="F176" s="311" t="s">
        <v>531</v>
      </c>
      <c r="G176" s="271" t="s">
        <v>1</v>
      </c>
      <c r="H176" s="270"/>
      <c r="I176" s="270">
        <v>2166.81</v>
      </c>
      <c r="J176" s="270">
        <v>2272.7420000000002</v>
      </c>
      <c r="K176" s="270"/>
      <c r="L176" s="269"/>
    </row>
    <row r="177" spans="1:12" ht="27.75" customHeight="1" x14ac:dyDescent="0.25">
      <c r="A177" s="281"/>
      <c r="B177" s="285" t="s">
        <v>12</v>
      </c>
      <c r="C177" s="271"/>
      <c r="D177" s="271" t="s">
        <v>463</v>
      </c>
      <c r="E177" s="271" t="s">
        <v>456</v>
      </c>
      <c r="F177" s="271" t="s">
        <v>10</v>
      </c>
      <c r="G177" s="271"/>
      <c r="H177" s="270">
        <f>H178</f>
        <v>713.495</v>
      </c>
      <c r="I177" s="270">
        <f>I178</f>
        <v>6739.8190000000004</v>
      </c>
      <c r="J177" s="270">
        <f>J178</f>
        <v>7076.81</v>
      </c>
      <c r="K177" s="270">
        <f>K178</f>
        <v>822.47400000000005</v>
      </c>
      <c r="L177" s="269">
        <f>L178</f>
        <v>871.82299999999998</v>
      </c>
    </row>
    <row r="178" spans="1:12" ht="20" x14ac:dyDescent="0.25">
      <c r="A178" s="318"/>
      <c r="B178" s="284" t="s">
        <v>454</v>
      </c>
      <c r="C178" s="271"/>
      <c r="D178" s="311" t="s">
        <v>463</v>
      </c>
      <c r="E178" s="311" t="s">
        <v>456</v>
      </c>
      <c r="F178" s="311" t="s">
        <v>10</v>
      </c>
      <c r="G178" s="271" t="s">
        <v>1</v>
      </c>
      <c r="H178" s="270">
        <v>713.495</v>
      </c>
      <c r="I178" s="270">
        <v>6739.8190000000004</v>
      </c>
      <c r="J178" s="270">
        <v>7076.81</v>
      </c>
      <c r="K178" s="270">
        <v>822.47400000000005</v>
      </c>
      <c r="L178" s="269">
        <v>871.82299999999998</v>
      </c>
    </row>
    <row r="179" spans="1:12" x14ac:dyDescent="0.25">
      <c r="A179" s="327"/>
      <c r="B179" s="326" t="s">
        <v>530</v>
      </c>
      <c r="C179" s="316"/>
      <c r="D179" s="316" t="s">
        <v>463</v>
      </c>
      <c r="E179" s="316" t="s">
        <v>488</v>
      </c>
      <c r="F179" s="316"/>
      <c r="G179" s="316"/>
      <c r="H179" s="325">
        <f>H180+H184+H190</f>
        <v>10309.368999999999</v>
      </c>
      <c r="I179" s="325">
        <f>I180+I184</f>
        <v>18720.599999999999</v>
      </c>
      <c r="J179" s="325">
        <f>J180+J184</f>
        <v>15705.6</v>
      </c>
      <c r="K179" s="325">
        <f>K180+K184+K190</f>
        <v>14371.742</v>
      </c>
      <c r="L179" s="324">
        <f>L180+L184+L190</f>
        <v>12149.311</v>
      </c>
    </row>
    <row r="180" spans="1:12" ht="30" x14ac:dyDescent="0.25">
      <c r="A180" s="327"/>
      <c r="B180" s="780" t="s">
        <v>197</v>
      </c>
      <c r="C180" s="271"/>
      <c r="D180" s="271" t="s">
        <v>463</v>
      </c>
      <c r="E180" s="271" t="s">
        <v>488</v>
      </c>
      <c r="F180" s="271" t="s">
        <v>196</v>
      </c>
      <c r="G180" s="271"/>
      <c r="H180" s="270">
        <f t="shared" ref="H180:L182" si="17">H181</f>
        <v>2200</v>
      </c>
      <c r="I180" s="270">
        <f t="shared" si="17"/>
        <v>75</v>
      </c>
      <c r="J180" s="270">
        <f t="shared" si="17"/>
        <v>75</v>
      </c>
      <c r="K180" s="270">
        <f t="shared" si="17"/>
        <v>1800</v>
      </c>
      <c r="L180" s="269">
        <f t="shared" si="17"/>
        <v>2500</v>
      </c>
    </row>
    <row r="181" spans="1:12" ht="23.25" customHeight="1" x14ac:dyDescent="0.25">
      <c r="A181" s="327"/>
      <c r="B181" s="306" t="s">
        <v>195</v>
      </c>
      <c r="C181" s="271"/>
      <c r="D181" s="311" t="s">
        <v>463</v>
      </c>
      <c r="E181" s="311" t="s">
        <v>488</v>
      </c>
      <c r="F181" s="271" t="s">
        <v>194</v>
      </c>
      <c r="G181" s="271"/>
      <c r="H181" s="270">
        <f t="shared" si="17"/>
        <v>2200</v>
      </c>
      <c r="I181" s="270">
        <f t="shared" si="17"/>
        <v>75</v>
      </c>
      <c r="J181" s="270">
        <f t="shared" si="17"/>
        <v>75</v>
      </c>
      <c r="K181" s="270">
        <f t="shared" si="17"/>
        <v>1800</v>
      </c>
      <c r="L181" s="269">
        <f t="shared" si="17"/>
        <v>2500</v>
      </c>
    </row>
    <row r="182" spans="1:12" ht="20" x14ac:dyDescent="0.25">
      <c r="A182" s="327"/>
      <c r="B182" s="331" t="s">
        <v>193</v>
      </c>
      <c r="C182" s="311"/>
      <c r="D182" s="311" t="s">
        <v>463</v>
      </c>
      <c r="E182" s="311" t="s">
        <v>488</v>
      </c>
      <c r="F182" s="311" t="s">
        <v>191</v>
      </c>
      <c r="G182" s="311"/>
      <c r="H182" s="270">
        <f t="shared" si="17"/>
        <v>2200</v>
      </c>
      <c r="I182" s="270">
        <f t="shared" si="17"/>
        <v>75</v>
      </c>
      <c r="J182" s="270">
        <f t="shared" si="17"/>
        <v>75</v>
      </c>
      <c r="K182" s="270">
        <f t="shared" si="17"/>
        <v>1800</v>
      </c>
      <c r="L182" s="269">
        <f t="shared" si="17"/>
        <v>2500</v>
      </c>
    </row>
    <row r="183" spans="1:12" ht="24.75" customHeight="1" x14ac:dyDescent="0.25">
      <c r="A183" s="327"/>
      <c r="B183" s="284" t="s">
        <v>481</v>
      </c>
      <c r="C183" s="271"/>
      <c r="D183" s="311" t="s">
        <v>463</v>
      </c>
      <c r="E183" s="311" t="s">
        <v>488</v>
      </c>
      <c r="F183" s="311" t="s">
        <v>191</v>
      </c>
      <c r="G183" s="271" t="s">
        <v>26</v>
      </c>
      <c r="H183" s="270">
        <v>2200</v>
      </c>
      <c r="I183" s="270">
        <v>75</v>
      </c>
      <c r="J183" s="270">
        <v>75</v>
      </c>
      <c r="K183" s="270">
        <v>1800</v>
      </c>
      <c r="L183" s="269">
        <v>2500</v>
      </c>
    </row>
    <row r="184" spans="1:12" ht="40" x14ac:dyDescent="0.25">
      <c r="A184" s="273"/>
      <c r="B184" s="306" t="s">
        <v>529</v>
      </c>
      <c r="C184" s="271"/>
      <c r="D184" s="271" t="s">
        <v>463</v>
      </c>
      <c r="E184" s="271" t="s">
        <v>488</v>
      </c>
      <c r="F184" s="1034" t="s">
        <v>181</v>
      </c>
      <c r="G184" s="271"/>
      <c r="H184" s="270">
        <f>H187+H198</f>
        <v>3648.4989999999998</v>
      </c>
      <c r="I184" s="270">
        <f>I185+I190</f>
        <v>18645.599999999999</v>
      </c>
      <c r="J184" s="270">
        <f>J185+J190</f>
        <v>15630.6</v>
      </c>
      <c r="K184" s="270">
        <f>K187+K198</f>
        <v>12571.742</v>
      </c>
      <c r="L184" s="269">
        <f>L187+L198</f>
        <v>9649.3109999999997</v>
      </c>
    </row>
    <row r="185" spans="1:12" ht="20" x14ac:dyDescent="0.25">
      <c r="A185" s="320"/>
      <c r="B185" s="274" t="s">
        <v>180</v>
      </c>
      <c r="C185" s="311"/>
      <c r="D185" s="311" t="s">
        <v>463</v>
      </c>
      <c r="E185" s="311" t="s">
        <v>488</v>
      </c>
      <c r="F185" s="311" t="s">
        <v>179</v>
      </c>
      <c r="G185" s="311"/>
      <c r="H185" s="270">
        <f>H186</f>
        <v>3282.5</v>
      </c>
      <c r="I185" s="270">
        <f>I186</f>
        <v>500</v>
      </c>
      <c r="J185" s="270">
        <f>J186</f>
        <v>500</v>
      </c>
      <c r="K185" s="270">
        <f>K186</f>
        <v>3705.89</v>
      </c>
      <c r="L185" s="269">
        <f>L186</f>
        <v>3902.35</v>
      </c>
    </row>
    <row r="186" spans="1:12" ht="20" x14ac:dyDescent="0.25">
      <c r="A186" s="320"/>
      <c r="B186" s="329" t="s">
        <v>525</v>
      </c>
      <c r="C186" s="311"/>
      <c r="D186" s="311" t="s">
        <v>463</v>
      </c>
      <c r="E186" s="311" t="s">
        <v>488</v>
      </c>
      <c r="F186" s="311" t="s">
        <v>178</v>
      </c>
      <c r="G186" s="311"/>
      <c r="H186" s="270">
        <f>H187+H188</f>
        <v>3282.5</v>
      </c>
      <c r="I186" s="270">
        <f>I187+I188</f>
        <v>500</v>
      </c>
      <c r="J186" s="270">
        <f>J187+J188</f>
        <v>500</v>
      </c>
      <c r="K186" s="270">
        <f>K187+K188</f>
        <v>3705.89</v>
      </c>
      <c r="L186" s="269">
        <f>L187+L188</f>
        <v>3902.35</v>
      </c>
    </row>
    <row r="187" spans="1:12" ht="20" x14ac:dyDescent="0.25">
      <c r="A187" s="318"/>
      <c r="B187" s="284" t="s">
        <v>454</v>
      </c>
      <c r="C187" s="311"/>
      <c r="D187" s="311" t="s">
        <v>463</v>
      </c>
      <c r="E187" s="311" t="s">
        <v>488</v>
      </c>
      <c r="F187" s="311" t="s">
        <v>178</v>
      </c>
      <c r="G187" s="271" t="s">
        <v>1</v>
      </c>
      <c r="H187" s="270">
        <v>3282.5</v>
      </c>
      <c r="I187" s="270"/>
      <c r="J187" s="270"/>
      <c r="K187" s="270">
        <v>3705.89</v>
      </c>
      <c r="L187" s="269">
        <v>3902.35</v>
      </c>
    </row>
    <row r="188" spans="1:12" hidden="1" x14ac:dyDescent="0.25">
      <c r="A188" s="318"/>
      <c r="B188" s="285" t="s">
        <v>528</v>
      </c>
      <c r="C188" s="311"/>
      <c r="D188" s="311" t="s">
        <v>463</v>
      </c>
      <c r="E188" s="311" t="s">
        <v>488</v>
      </c>
      <c r="F188" s="311" t="s">
        <v>527</v>
      </c>
      <c r="G188" s="311"/>
      <c r="H188" s="270">
        <f>H189</f>
        <v>0</v>
      </c>
      <c r="I188" s="270">
        <f>I189</f>
        <v>500</v>
      </c>
      <c r="J188" s="270">
        <f>J189</f>
        <v>500</v>
      </c>
      <c r="K188" s="270">
        <f>K189</f>
        <v>0</v>
      </c>
      <c r="L188" s="269">
        <f>L189</f>
        <v>0</v>
      </c>
    </row>
    <row r="189" spans="1:12" ht="20" hidden="1" x14ac:dyDescent="0.25">
      <c r="A189" s="318"/>
      <c r="B189" s="284" t="s">
        <v>454</v>
      </c>
      <c r="C189" s="271"/>
      <c r="D189" s="311" t="s">
        <v>463</v>
      </c>
      <c r="E189" s="311" t="s">
        <v>488</v>
      </c>
      <c r="F189" s="311" t="s">
        <v>526</v>
      </c>
      <c r="G189" s="271" t="s">
        <v>1</v>
      </c>
      <c r="H189" s="270"/>
      <c r="I189" s="270">
        <v>500</v>
      </c>
      <c r="J189" s="270">
        <v>500</v>
      </c>
      <c r="K189" s="270"/>
      <c r="L189" s="269"/>
    </row>
    <row r="190" spans="1:12" ht="31.5" hidden="1" x14ac:dyDescent="0.25">
      <c r="A190" s="320"/>
      <c r="B190" s="282" t="s">
        <v>499</v>
      </c>
      <c r="C190" s="311"/>
      <c r="D190" s="330" t="s">
        <v>463</v>
      </c>
      <c r="E190" s="330" t="s">
        <v>488</v>
      </c>
      <c r="F190" s="311" t="s">
        <v>177</v>
      </c>
      <c r="G190" s="330"/>
      <c r="H190" s="277">
        <f>H191</f>
        <v>4460.87</v>
      </c>
      <c r="I190" s="277">
        <f>I191</f>
        <v>18145.599999999999</v>
      </c>
      <c r="J190" s="277">
        <f>J191</f>
        <v>15130.6</v>
      </c>
      <c r="K190" s="277">
        <f>K191</f>
        <v>0</v>
      </c>
      <c r="L190" s="276">
        <f>L191</f>
        <v>0</v>
      </c>
    </row>
    <row r="191" spans="1:12" hidden="1" x14ac:dyDescent="0.25">
      <c r="A191" s="320"/>
      <c r="B191" s="272" t="s">
        <v>109</v>
      </c>
      <c r="C191" s="311"/>
      <c r="D191" s="311" t="s">
        <v>463</v>
      </c>
      <c r="E191" s="311" t="s">
        <v>488</v>
      </c>
      <c r="F191" s="311" t="s">
        <v>177</v>
      </c>
      <c r="G191" s="311"/>
      <c r="H191" s="270">
        <f>H192</f>
        <v>4460.87</v>
      </c>
      <c r="I191" s="270">
        <f>I192+I194</f>
        <v>18145.599999999999</v>
      </c>
      <c r="J191" s="270">
        <f>J192+J194</f>
        <v>15130.6</v>
      </c>
      <c r="K191" s="270">
        <f t="shared" ref="K191:L193" si="18">K192</f>
        <v>0</v>
      </c>
      <c r="L191" s="269">
        <f t="shared" si="18"/>
        <v>0</v>
      </c>
    </row>
    <row r="192" spans="1:12" hidden="1" x14ac:dyDescent="0.25">
      <c r="A192" s="318"/>
      <c r="B192" s="272" t="s">
        <v>109</v>
      </c>
      <c r="C192" s="311"/>
      <c r="D192" s="311" t="s">
        <v>463</v>
      </c>
      <c r="E192" s="311" t="s">
        <v>488</v>
      </c>
      <c r="F192" s="271" t="s">
        <v>82</v>
      </c>
      <c r="G192" s="311"/>
      <c r="H192" s="270">
        <f>H193</f>
        <v>4460.87</v>
      </c>
      <c r="I192" s="270">
        <f>I193</f>
        <v>15145.6</v>
      </c>
      <c r="J192" s="270">
        <f>J193</f>
        <v>12030.6</v>
      </c>
      <c r="K192" s="270">
        <f t="shared" si="18"/>
        <v>0</v>
      </c>
      <c r="L192" s="269">
        <f t="shared" si="18"/>
        <v>0</v>
      </c>
    </row>
    <row r="193" spans="1:12" ht="20" hidden="1" x14ac:dyDescent="0.25">
      <c r="A193" s="327"/>
      <c r="B193" s="329" t="s">
        <v>525</v>
      </c>
      <c r="C193" s="271"/>
      <c r="D193" s="311" t="s">
        <v>463</v>
      </c>
      <c r="E193" s="311" t="s">
        <v>488</v>
      </c>
      <c r="F193" s="271" t="s">
        <v>524</v>
      </c>
      <c r="G193" s="271"/>
      <c r="H193" s="270">
        <f>H194</f>
        <v>4460.87</v>
      </c>
      <c r="I193" s="270">
        <v>15145.6</v>
      </c>
      <c r="J193" s="270">
        <v>12030.6</v>
      </c>
      <c r="K193" s="270">
        <f t="shared" si="18"/>
        <v>0</v>
      </c>
      <c r="L193" s="269">
        <f t="shared" si="18"/>
        <v>0</v>
      </c>
    </row>
    <row r="194" spans="1:12" hidden="1" x14ac:dyDescent="0.25">
      <c r="A194" s="327"/>
      <c r="B194" s="284" t="s">
        <v>481</v>
      </c>
      <c r="C194" s="311"/>
      <c r="D194" s="311" t="s">
        <v>463</v>
      </c>
      <c r="E194" s="311" t="s">
        <v>488</v>
      </c>
      <c r="F194" s="271" t="s">
        <v>524</v>
      </c>
      <c r="G194" s="271" t="s">
        <v>26</v>
      </c>
      <c r="H194" s="270">
        <v>4460.87</v>
      </c>
      <c r="I194" s="270">
        <f>I195+I196</f>
        <v>3000</v>
      </c>
      <c r="J194" s="270">
        <f>J195+J196</f>
        <v>3100</v>
      </c>
      <c r="K194" s="270"/>
      <c r="L194" s="269"/>
    </row>
    <row r="195" spans="1:12" ht="20" hidden="1" x14ac:dyDescent="0.25">
      <c r="A195" s="327"/>
      <c r="B195" s="284" t="s">
        <v>454</v>
      </c>
      <c r="C195" s="271"/>
      <c r="D195" s="311" t="s">
        <v>463</v>
      </c>
      <c r="E195" s="311" t="s">
        <v>488</v>
      </c>
      <c r="F195" s="311" t="s">
        <v>522</v>
      </c>
      <c r="G195" s="271" t="s">
        <v>1</v>
      </c>
      <c r="H195" s="270"/>
      <c r="I195" s="270">
        <v>1000</v>
      </c>
      <c r="J195" s="270">
        <v>1100</v>
      </c>
      <c r="K195" s="270"/>
      <c r="L195" s="269"/>
    </row>
    <row r="196" spans="1:12" ht="20" hidden="1" x14ac:dyDescent="0.25">
      <c r="A196" s="327"/>
      <c r="B196" s="284" t="s">
        <v>523</v>
      </c>
      <c r="C196" s="271"/>
      <c r="D196" s="311" t="s">
        <v>463</v>
      </c>
      <c r="E196" s="311" t="s">
        <v>488</v>
      </c>
      <c r="F196" s="311" t="s">
        <v>522</v>
      </c>
      <c r="G196" s="271" t="s">
        <v>521</v>
      </c>
      <c r="H196" s="270"/>
      <c r="I196" s="270">
        <v>2000</v>
      </c>
      <c r="J196" s="270">
        <v>2000</v>
      </c>
      <c r="K196" s="270"/>
      <c r="L196" s="269"/>
    </row>
    <row r="197" spans="1:12" ht="26" x14ac:dyDescent="0.25">
      <c r="A197" s="327"/>
      <c r="B197" s="328" t="s">
        <v>40</v>
      </c>
      <c r="C197" s="271"/>
      <c r="D197" s="311" t="s">
        <v>463</v>
      </c>
      <c r="E197" s="311" t="s">
        <v>488</v>
      </c>
      <c r="F197" s="311" t="s">
        <v>177</v>
      </c>
      <c r="G197" s="271"/>
      <c r="H197" s="270">
        <f>H198</f>
        <v>365.99900000000002</v>
      </c>
      <c r="I197" s="270"/>
      <c r="J197" s="270"/>
      <c r="K197" s="270">
        <f>K198</f>
        <v>8865.8520000000008</v>
      </c>
      <c r="L197" s="269">
        <f>L198</f>
        <v>5746.9610000000002</v>
      </c>
    </row>
    <row r="198" spans="1:12" ht="20" x14ac:dyDescent="0.25">
      <c r="A198" s="327"/>
      <c r="B198" s="284" t="s">
        <v>454</v>
      </c>
      <c r="C198" s="271"/>
      <c r="D198" s="311" t="s">
        <v>463</v>
      </c>
      <c r="E198" s="311" t="s">
        <v>488</v>
      </c>
      <c r="F198" s="311" t="s">
        <v>177</v>
      </c>
      <c r="G198" s="271" t="s">
        <v>1</v>
      </c>
      <c r="H198" s="270">
        <v>365.99900000000002</v>
      </c>
      <c r="I198" s="270"/>
      <c r="J198" s="270"/>
      <c r="K198" s="270">
        <v>8865.8520000000008</v>
      </c>
      <c r="L198" s="269">
        <v>5746.9610000000002</v>
      </c>
    </row>
    <row r="199" spans="1:12" x14ac:dyDescent="0.25">
      <c r="A199" s="318"/>
      <c r="B199" s="326" t="s">
        <v>34</v>
      </c>
      <c r="C199" s="316"/>
      <c r="D199" s="316" t="s">
        <v>463</v>
      </c>
      <c r="E199" s="316" t="s">
        <v>495</v>
      </c>
      <c r="F199" s="316"/>
      <c r="G199" s="316"/>
      <c r="H199" s="325">
        <f>H200+H206</f>
        <v>47242.388999999996</v>
      </c>
      <c r="I199" s="325">
        <f>I200+I206</f>
        <v>129503.18000000001</v>
      </c>
      <c r="J199" s="325">
        <f>J200+J206</f>
        <v>126763.1</v>
      </c>
      <c r="K199" s="325">
        <f>K200+K206</f>
        <v>41817.447</v>
      </c>
      <c r="L199" s="324">
        <f>L200+L206</f>
        <v>44044.67</v>
      </c>
    </row>
    <row r="200" spans="1:12" ht="30" x14ac:dyDescent="0.25">
      <c r="A200" s="273"/>
      <c r="B200" s="781" t="s">
        <v>838</v>
      </c>
      <c r="C200" s="271"/>
      <c r="D200" s="271" t="s">
        <v>463</v>
      </c>
      <c r="E200" s="271" t="s">
        <v>495</v>
      </c>
      <c r="F200" s="1034" t="s">
        <v>189</v>
      </c>
      <c r="G200" s="271"/>
      <c r="H200" s="270">
        <f>H201</f>
        <v>44242.388999999996</v>
      </c>
      <c r="I200" s="270">
        <f>I201</f>
        <v>125.25</v>
      </c>
      <c r="J200" s="270">
        <f>J201</f>
        <v>65</v>
      </c>
      <c r="K200" s="270">
        <f>K201</f>
        <v>41817.447</v>
      </c>
      <c r="L200" s="269">
        <f>L201</f>
        <v>44044.67</v>
      </c>
    </row>
    <row r="201" spans="1:12" ht="30" x14ac:dyDescent="0.25">
      <c r="A201" s="281"/>
      <c r="B201" s="274" t="s">
        <v>188</v>
      </c>
      <c r="C201" s="278"/>
      <c r="D201" s="271" t="s">
        <v>463</v>
      </c>
      <c r="E201" s="271" t="s">
        <v>495</v>
      </c>
      <c r="F201" s="1034" t="s">
        <v>187</v>
      </c>
      <c r="G201" s="278"/>
      <c r="H201" s="270">
        <f>H202+H204</f>
        <v>44242.388999999996</v>
      </c>
      <c r="I201" s="270">
        <f>I202</f>
        <v>125.25</v>
      </c>
      <c r="J201" s="270">
        <f>J202</f>
        <v>65</v>
      </c>
      <c r="K201" s="270">
        <f>K202+K204</f>
        <v>41817.447</v>
      </c>
      <c r="L201" s="269">
        <f>L202+L204</f>
        <v>44044.67</v>
      </c>
    </row>
    <row r="202" spans="1:12" ht="30" x14ac:dyDescent="0.25">
      <c r="A202" s="273"/>
      <c r="B202" s="275" t="s">
        <v>186</v>
      </c>
      <c r="C202" s="311"/>
      <c r="D202" s="311" t="s">
        <v>463</v>
      </c>
      <c r="E202" s="311" t="s">
        <v>495</v>
      </c>
      <c r="F202" s="1035" t="s">
        <v>185</v>
      </c>
      <c r="G202" s="311"/>
      <c r="H202" s="270">
        <f>H203</f>
        <v>23803.393</v>
      </c>
      <c r="I202" s="270">
        <f>I203</f>
        <v>125.25</v>
      </c>
      <c r="J202" s="270">
        <f>J203</f>
        <v>65</v>
      </c>
      <c r="K202" s="270">
        <f>K203</f>
        <v>11794.38</v>
      </c>
      <c r="L202" s="269">
        <f>L203</f>
        <v>13021.602999999999</v>
      </c>
    </row>
    <row r="203" spans="1:12" ht="20" x14ac:dyDescent="0.25">
      <c r="A203" s="273"/>
      <c r="B203" s="284" t="s">
        <v>454</v>
      </c>
      <c r="C203" s="271"/>
      <c r="D203" s="311" t="s">
        <v>463</v>
      </c>
      <c r="E203" s="311" t="s">
        <v>495</v>
      </c>
      <c r="F203" s="311" t="s">
        <v>185</v>
      </c>
      <c r="G203" s="271" t="s">
        <v>1</v>
      </c>
      <c r="H203" s="270">
        <v>23803.393</v>
      </c>
      <c r="I203" s="270">
        <v>125.25</v>
      </c>
      <c r="J203" s="270">
        <v>65</v>
      </c>
      <c r="K203" s="270">
        <v>11794.38</v>
      </c>
      <c r="L203" s="269">
        <v>13021.602999999999</v>
      </c>
    </row>
    <row r="204" spans="1:12" ht="30" x14ac:dyDescent="0.25">
      <c r="A204" s="273"/>
      <c r="B204" s="275" t="s">
        <v>184</v>
      </c>
      <c r="C204" s="271"/>
      <c r="D204" s="311" t="s">
        <v>463</v>
      </c>
      <c r="E204" s="311" t="s">
        <v>495</v>
      </c>
      <c r="F204" s="311" t="s">
        <v>183</v>
      </c>
      <c r="G204" s="271"/>
      <c r="H204" s="270">
        <f>H205</f>
        <v>20438.995999999999</v>
      </c>
      <c r="I204" s="270"/>
      <c r="J204" s="270"/>
      <c r="K204" s="270">
        <f>K205</f>
        <v>30023.066999999999</v>
      </c>
      <c r="L204" s="269">
        <f>L205</f>
        <v>31023.066999999999</v>
      </c>
    </row>
    <row r="205" spans="1:12" ht="20" x14ac:dyDescent="0.25">
      <c r="A205" s="273"/>
      <c r="B205" s="284" t="s">
        <v>454</v>
      </c>
      <c r="C205" s="271"/>
      <c r="D205" s="311" t="s">
        <v>463</v>
      </c>
      <c r="E205" s="311" t="s">
        <v>495</v>
      </c>
      <c r="F205" s="311" t="s">
        <v>183</v>
      </c>
      <c r="G205" s="271" t="s">
        <v>1</v>
      </c>
      <c r="H205" s="270">
        <v>20438.995999999999</v>
      </c>
      <c r="I205" s="270"/>
      <c r="J205" s="270"/>
      <c r="K205" s="270">
        <v>30023.066999999999</v>
      </c>
      <c r="L205" s="269">
        <v>31023.066999999999</v>
      </c>
    </row>
    <row r="206" spans="1:12" ht="42" hidden="1" x14ac:dyDescent="0.25">
      <c r="A206" s="281"/>
      <c r="B206" s="323" t="s">
        <v>176</v>
      </c>
      <c r="C206" s="278"/>
      <c r="D206" s="278" t="s">
        <v>463</v>
      </c>
      <c r="E206" s="278" t="s">
        <v>495</v>
      </c>
      <c r="F206" s="278" t="s">
        <v>175</v>
      </c>
      <c r="G206" s="278"/>
      <c r="H206" s="277">
        <f>H207+H211</f>
        <v>3000</v>
      </c>
      <c r="I206" s="277">
        <f>I207+I211</f>
        <v>129377.93000000001</v>
      </c>
      <c r="J206" s="277">
        <f>J207+J211</f>
        <v>126698.1</v>
      </c>
      <c r="K206" s="277">
        <f>K207+K211</f>
        <v>0</v>
      </c>
      <c r="L206" s="276">
        <f>L207+L211</f>
        <v>0</v>
      </c>
    </row>
    <row r="207" spans="1:12" ht="30" hidden="1" x14ac:dyDescent="0.25">
      <c r="A207" s="322"/>
      <c r="B207" s="274" t="s">
        <v>174</v>
      </c>
      <c r="C207" s="311"/>
      <c r="D207" s="311" t="s">
        <v>463</v>
      </c>
      <c r="E207" s="311" t="s">
        <v>495</v>
      </c>
      <c r="F207" s="311" t="s">
        <v>173</v>
      </c>
      <c r="G207" s="311"/>
      <c r="H207" s="270">
        <f t="shared" ref="H207:L209" si="19">H208</f>
        <v>3000</v>
      </c>
      <c r="I207" s="270">
        <f t="shared" si="19"/>
        <v>8900</v>
      </c>
      <c r="J207" s="270">
        <f t="shared" si="19"/>
        <v>8900</v>
      </c>
      <c r="K207" s="270">
        <f t="shared" si="19"/>
        <v>0</v>
      </c>
      <c r="L207" s="269">
        <f t="shared" si="19"/>
        <v>0</v>
      </c>
    </row>
    <row r="208" spans="1:12" hidden="1" x14ac:dyDescent="0.25">
      <c r="A208" s="281"/>
      <c r="B208" s="319" t="s">
        <v>520</v>
      </c>
      <c r="C208" s="278"/>
      <c r="D208" s="271" t="s">
        <v>463</v>
      </c>
      <c r="E208" s="271" t="s">
        <v>495</v>
      </c>
      <c r="F208" s="311" t="s">
        <v>173</v>
      </c>
      <c r="G208" s="278"/>
      <c r="H208" s="270">
        <f t="shared" si="19"/>
        <v>3000</v>
      </c>
      <c r="I208" s="270">
        <f t="shared" si="19"/>
        <v>8900</v>
      </c>
      <c r="J208" s="270">
        <f t="shared" si="19"/>
        <v>8900</v>
      </c>
      <c r="K208" s="270">
        <f t="shared" si="19"/>
        <v>0</v>
      </c>
      <c r="L208" s="269">
        <f t="shared" si="19"/>
        <v>0</v>
      </c>
    </row>
    <row r="209" spans="1:12" hidden="1" x14ac:dyDescent="0.25">
      <c r="A209" s="322"/>
      <c r="B209" s="321" t="s">
        <v>172</v>
      </c>
      <c r="C209" s="311"/>
      <c r="D209" s="311" t="s">
        <v>463</v>
      </c>
      <c r="E209" s="311" t="s">
        <v>495</v>
      </c>
      <c r="F209" s="311" t="s">
        <v>159</v>
      </c>
      <c r="G209" s="311"/>
      <c r="H209" s="270">
        <f t="shared" si="19"/>
        <v>3000</v>
      </c>
      <c r="I209" s="270">
        <f t="shared" si="19"/>
        <v>8900</v>
      </c>
      <c r="J209" s="270">
        <f t="shared" si="19"/>
        <v>8900</v>
      </c>
      <c r="K209" s="270">
        <f t="shared" si="19"/>
        <v>0</v>
      </c>
      <c r="L209" s="269">
        <f t="shared" si="19"/>
        <v>0</v>
      </c>
    </row>
    <row r="210" spans="1:12" ht="20" hidden="1" x14ac:dyDescent="0.25">
      <c r="A210" s="318"/>
      <c r="B210" s="284" t="s">
        <v>454</v>
      </c>
      <c r="C210" s="271"/>
      <c r="D210" s="311" t="s">
        <v>463</v>
      </c>
      <c r="E210" s="311" t="s">
        <v>495</v>
      </c>
      <c r="F210" s="311" t="s">
        <v>159</v>
      </c>
      <c r="G210" s="271" t="s">
        <v>1</v>
      </c>
      <c r="H210" s="270">
        <v>3000</v>
      </c>
      <c r="I210" s="270">
        <v>8900</v>
      </c>
      <c r="J210" s="270">
        <v>8900</v>
      </c>
      <c r="K210" s="270">
        <v>0</v>
      </c>
      <c r="L210" s="269">
        <v>0</v>
      </c>
    </row>
    <row r="211" spans="1:12" ht="20" hidden="1" x14ac:dyDescent="0.25">
      <c r="A211" s="320"/>
      <c r="B211" s="319" t="s">
        <v>519</v>
      </c>
      <c r="C211" s="311"/>
      <c r="D211" s="311" t="s">
        <v>463</v>
      </c>
      <c r="E211" s="311" t="s">
        <v>495</v>
      </c>
      <c r="F211" s="311" t="s">
        <v>518</v>
      </c>
      <c r="G211" s="311"/>
      <c r="H211" s="270">
        <f>H212+H217</f>
        <v>0</v>
      </c>
      <c r="I211" s="270">
        <f>I212+I217</f>
        <v>120477.93000000001</v>
      </c>
      <c r="J211" s="270">
        <f>J212+J217</f>
        <v>117798.1</v>
      </c>
      <c r="K211" s="270">
        <f>K212+K217</f>
        <v>0</v>
      </c>
      <c r="L211" s="269">
        <f>L212+L217</f>
        <v>0</v>
      </c>
    </row>
    <row r="212" spans="1:12" ht="30" hidden="1" x14ac:dyDescent="0.25">
      <c r="A212" s="320"/>
      <c r="B212" s="319" t="s">
        <v>517</v>
      </c>
      <c r="C212" s="311"/>
      <c r="D212" s="311" t="s">
        <v>463</v>
      </c>
      <c r="E212" s="311" t="s">
        <v>495</v>
      </c>
      <c r="F212" s="311" t="s">
        <v>516</v>
      </c>
      <c r="G212" s="311"/>
      <c r="H212" s="270">
        <f>H213+H215</f>
        <v>0</v>
      </c>
      <c r="I212" s="270">
        <f>I213+I215</f>
        <v>32789.83</v>
      </c>
      <c r="J212" s="270">
        <f>J213+J215</f>
        <v>30080</v>
      </c>
      <c r="K212" s="270">
        <f>K213+K215</f>
        <v>0</v>
      </c>
      <c r="L212" s="269">
        <f>L213+L215</f>
        <v>0</v>
      </c>
    </row>
    <row r="213" spans="1:12" ht="20" hidden="1" x14ac:dyDescent="0.25">
      <c r="A213" s="318"/>
      <c r="B213" s="285" t="s">
        <v>515</v>
      </c>
      <c r="C213" s="311"/>
      <c r="D213" s="311" t="s">
        <v>463</v>
      </c>
      <c r="E213" s="311" t="s">
        <v>495</v>
      </c>
      <c r="F213" s="311" t="s">
        <v>514</v>
      </c>
      <c r="G213" s="311"/>
      <c r="H213" s="270">
        <f>H214</f>
        <v>0</v>
      </c>
      <c r="I213" s="270">
        <f>I214</f>
        <v>31489.83</v>
      </c>
      <c r="J213" s="270">
        <f>J214</f>
        <v>28780</v>
      </c>
      <c r="K213" s="270">
        <f>K214</f>
        <v>0</v>
      </c>
      <c r="L213" s="269">
        <f>L214</f>
        <v>0</v>
      </c>
    </row>
    <row r="214" spans="1:12" ht="20" hidden="1" x14ac:dyDescent="0.25">
      <c r="A214" s="318"/>
      <c r="B214" s="284" t="s">
        <v>454</v>
      </c>
      <c r="C214" s="271"/>
      <c r="D214" s="311" t="s">
        <v>463</v>
      </c>
      <c r="E214" s="311" t="s">
        <v>495</v>
      </c>
      <c r="F214" s="311" t="s">
        <v>514</v>
      </c>
      <c r="G214" s="271" t="s">
        <v>1</v>
      </c>
      <c r="H214" s="270"/>
      <c r="I214" s="270">
        <v>31489.83</v>
      </c>
      <c r="J214" s="270">
        <v>28780</v>
      </c>
      <c r="K214" s="270"/>
      <c r="L214" s="269"/>
    </row>
    <row r="215" spans="1:12" ht="20" hidden="1" x14ac:dyDescent="0.25">
      <c r="A215" s="318"/>
      <c r="B215" s="285" t="s">
        <v>513</v>
      </c>
      <c r="C215" s="311"/>
      <c r="D215" s="311" t="s">
        <v>463</v>
      </c>
      <c r="E215" s="311" t="s">
        <v>495</v>
      </c>
      <c r="F215" s="311" t="s">
        <v>512</v>
      </c>
      <c r="G215" s="311"/>
      <c r="H215" s="270">
        <f>H216</f>
        <v>0</v>
      </c>
      <c r="I215" s="270">
        <f>I216</f>
        <v>1300</v>
      </c>
      <c r="J215" s="270">
        <f>J216</f>
        <v>1300</v>
      </c>
      <c r="K215" s="270">
        <f>K216</f>
        <v>0</v>
      </c>
      <c r="L215" s="269">
        <f>L216</f>
        <v>0</v>
      </c>
    </row>
    <row r="216" spans="1:12" ht="20" hidden="1" x14ac:dyDescent="0.25">
      <c r="A216" s="318"/>
      <c r="B216" s="284" t="s">
        <v>454</v>
      </c>
      <c r="C216" s="271"/>
      <c r="D216" s="311" t="s">
        <v>463</v>
      </c>
      <c r="E216" s="311" t="s">
        <v>495</v>
      </c>
      <c r="F216" s="311" t="s">
        <v>512</v>
      </c>
      <c r="G216" s="271" t="s">
        <v>1</v>
      </c>
      <c r="H216" s="270"/>
      <c r="I216" s="270">
        <v>1300</v>
      </c>
      <c r="J216" s="270">
        <v>1300</v>
      </c>
      <c r="K216" s="270"/>
      <c r="L216" s="269"/>
    </row>
    <row r="217" spans="1:12" ht="20" hidden="1" x14ac:dyDescent="0.25">
      <c r="A217" s="273"/>
      <c r="B217" s="317" t="s">
        <v>511</v>
      </c>
      <c r="C217" s="316"/>
      <c r="D217" s="315" t="s">
        <v>463</v>
      </c>
      <c r="E217" s="315" t="s">
        <v>495</v>
      </c>
      <c r="F217" s="315" t="s">
        <v>510</v>
      </c>
      <c r="G217" s="315"/>
      <c r="H217" s="314">
        <f>H218+H222</f>
        <v>0</v>
      </c>
      <c r="I217" s="314">
        <f>I218+I222</f>
        <v>87688.1</v>
      </c>
      <c r="J217" s="314">
        <f>J218+J222</f>
        <v>87718.1</v>
      </c>
      <c r="K217" s="314">
        <f>K218+K222</f>
        <v>0</v>
      </c>
      <c r="L217" s="313">
        <f>L218+L222</f>
        <v>0</v>
      </c>
    </row>
    <row r="218" spans="1:12" hidden="1" x14ac:dyDescent="0.25">
      <c r="A218" s="281"/>
      <c r="B218" s="312" t="s">
        <v>351</v>
      </c>
      <c r="C218" s="311"/>
      <c r="D218" s="311" t="s">
        <v>463</v>
      </c>
      <c r="E218" s="311" t="s">
        <v>495</v>
      </c>
      <c r="F218" s="311" t="s">
        <v>508</v>
      </c>
      <c r="G218" s="311"/>
      <c r="H218" s="270">
        <f>H219+H220+H221</f>
        <v>0</v>
      </c>
      <c r="I218" s="270">
        <f>I219+I220+I221</f>
        <v>87058.1</v>
      </c>
      <c r="J218" s="270">
        <f>J219+J220+J221</f>
        <v>87058.1</v>
      </c>
      <c r="K218" s="270">
        <f>K219+K220+K221</f>
        <v>0</v>
      </c>
      <c r="L218" s="269">
        <f>L219+L220+L221</f>
        <v>0</v>
      </c>
    </row>
    <row r="219" spans="1:12" hidden="1" x14ac:dyDescent="0.25">
      <c r="A219" s="273"/>
      <c r="B219" s="284" t="s">
        <v>458</v>
      </c>
      <c r="C219" s="271"/>
      <c r="D219" s="311" t="s">
        <v>463</v>
      </c>
      <c r="E219" s="311" t="s">
        <v>495</v>
      </c>
      <c r="F219" s="311" t="s">
        <v>508</v>
      </c>
      <c r="G219" s="271" t="s">
        <v>255</v>
      </c>
      <c r="H219" s="270"/>
      <c r="I219" s="270">
        <v>49197.66</v>
      </c>
      <c r="J219" s="270">
        <v>49197.66</v>
      </c>
      <c r="K219" s="270"/>
      <c r="L219" s="269"/>
    </row>
    <row r="220" spans="1:12" ht="20" hidden="1" x14ac:dyDescent="0.25">
      <c r="A220" s="273"/>
      <c r="B220" s="284" t="s">
        <v>454</v>
      </c>
      <c r="C220" s="271"/>
      <c r="D220" s="311" t="s">
        <v>463</v>
      </c>
      <c r="E220" s="311" t="s">
        <v>495</v>
      </c>
      <c r="F220" s="311" t="s">
        <v>508</v>
      </c>
      <c r="G220" s="271" t="s">
        <v>1</v>
      </c>
      <c r="H220" s="270"/>
      <c r="I220" s="270">
        <v>37820.44</v>
      </c>
      <c r="J220" s="270">
        <v>37820.44</v>
      </c>
      <c r="K220" s="270"/>
      <c r="L220" s="269"/>
    </row>
    <row r="221" spans="1:12" hidden="1" x14ac:dyDescent="0.25">
      <c r="A221" s="273"/>
      <c r="B221" s="284" t="s">
        <v>457</v>
      </c>
      <c r="C221" s="271"/>
      <c r="D221" s="311" t="s">
        <v>463</v>
      </c>
      <c r="E221" s="311" t="s">
        <v>495</v>
      </c>
      <c r="F221" s="311" t="s">
        <v>508</v>
      </c>
      <c r="G221" s="271" t="s">
        <v>91</v>
      </c>
      <c r="H221" s="270"/>
      <c r="I221" s="270">
        <v>40</v>
      </c>
      <c r="J221" s="270">
        <v>40</v>
      </c>
      <c r="K221" s="270"/>
      <c r="L221" s="269"/>
    </row>
    <row r="222" spans="1:12" ht="20" hidden="1" x14ac:dyDescent="0.25">
      <c r="A222" s="281"/>
      <c r="B222" s="272" t="s">
        <v>509</v>
      </c>
      <c r="C222" s="311"/>
      <c r="D222" s="311" t="s">
        <v>463</v>
      </c>
      <c r="E222" s="311" t="s">
        <v>495</v>
      </c>
      <c r="F222" s="311" t="s">
        <v>508</v>
      </c>
      <c r="G222" s="311"/>
      <c r="H222" s="270">
        <f>H223</f>
        <v>0</v>
      </c>
      <c r="I222" s="270">
        <f>I223</f>
        <v>630</v>
      </c>
      <c r="J222" s="270">
        <f>J223</f>
        <v>660</v>
      </c>
      <c r="K222" s="270">
        <f>K223</f>
        <v>0</v>
      </c>
      <c r="L222" s="269">
        <f>L223</f>
        <v>0</v>
      </c>
    </row>
    <row r="223" spans="1:12" ht="20" hidden="1" x14ac:dyDescent="0.25">
      <c r="A223" s="273"/>
      <c r="B223" s="284" t="s">
        <v>454</v>
      </c>
      <c r="C223" s="271"/>
      <c r="D223" s="311" t="s">
        <v>463</v>
      </c>
      <c r="E223" s="311" t="s">
        <v>495</v>
      </c>
      <c r="F223" s="311" t="s">
        <v>508</v>
      </c>
      <c r="G223" s="271" t="s">
        <v>1</v>
      </c>
      <c r="H223" s="270"/>
      <c r="I223" s="270">
        <v>630</v>
      </c>
      <c r="J223" s="270">
        <v>660</v>
      </c>
      <c r="K223" s="270"/>
      <c r="L223" s="269"/>
    </row>
    <row r="224" spans="1:12" x14ac:dyDescent="0.25">
      <c r="A224" s="273"/>
      <c r="B224" s="282" t="s">
        <v>348</v>
      </c>
      <c r="C224" s="279"/>
      <c r="D224" s="278" t="s">
        <v>506</v>
      </c>
      <c r="E224" s="278" t="s">
        <v>459</v>
      </c>
      <c r="F224" s="278"/>
      <c r="G224" s="278"/>
      <c r="H224" s="277">
        <f t="shared" ref="H224:L226" si="20">H225</f>
        <v>284</v>
      </c>
      <c r="I224" s="277">
        <f t="shared" si="20"/>
        <v>740</v>
      </c>
      <c r="J224" s="277">
        <f t="shared" si="20"/>
        <v>740</v>
      </c>
      <c r="K224" s="277">
        <f t="shared" si="20"/>
        <v>348</v>
      </c>
      <c r="L224" s="276">
        <f t="shared" si="20"/>
        <v>362</v>
      </c>
    </row>
    <row r="225" spans="1:12" x14ac:dyDescent="0.25">
      <c r="A225" s="281"/>
      <c r="B225" s="282" t="s">
        <v>264</v>
      </c>
      <c r="C225" s="279"/>
      <c r="D225" s="278" t="s">
        <v>506</v>
      </c>
      <c r="E225" s="278" t="s">
        <v>506</v>
      </c>
      <c r="F225" s="278"/>
      <c r="G225" s="278"/>
      <c r="H225" s="277">
        <f t="shared" si="20"/>
        <v>284</v>
      </c>
      <c r="I225" s="277">
        <f t="shared" si="20"/>
        <v>740</v>
      </c>
      <c r="J225" s="277">
        <f t="shared" si="20"/>
        <v>740</v>
      </c>
      <c r="K225" s="277">
        <f t="shared" si="20"/>
        <v>348</v>
      </c>
      <c r="L225" s="276">
        <f t="shared" si="20"/>
        <v>362</v>
      </c>
    </row>
    <row r="226" spans="1:12" ht="30" x14ac:dyDescent="0.25">
      <c r="A226" s="273"/>
      <c r="B226" s="275" t="s">
        <v>839</v>
      </c>
      <c r="C226" s="272"/>
      <c r="D226" s="271" t="s">
        <v>506</v>
      </c>
      <c r="E226" s="271" t="s">
        <v>506</v>
      </c>
      <c r="F226" s="271" t="s">
        <v>273</v>
      </c>
      <c r="G226" s="271"/>
      <c r="H226" s="270">
        <f t="shared" si="20"/>
        <v>284</v>
      </c>
      <c r="I226" s="270">
        <f t="shared" si="20"/>
        <v>740</v>
      </c>
      <c r="J226" s="270">
        <f t="shared" si="20"/>
        <v>740</v>
      </c>
      <c r="K226" s="270">
        <f t="shared" si="20"/>
        <v>348</v>
      </c>
      <c r="L226" s="269">
        <f t="shared" si="20"/>
        <v>362</v>
      </c>
    </row>
    <row r="227" spans="1:12" ht="20" x14ac:dyDescent="0.25">
      <c r="A227" s="273"/>
      <c r="B227" s="275" t="s">
        <v>272</v>
      </c>
      <c r="C227" s="272"/>
      <c r="D227" s="271" t="s">
        <v>506</v>
      </c>
      <c r="E227" s="271" t="s">
        <v>506</v>
      </c>
      <c r="F227" s="271" t="s">
        <v>271</v>
      </c>
      <c r="G227" s="271"/>
      <c r="H227" s="270">
        <f>H228+H231</f>
        <v>284</v>
      </c>
      <c r="I227" s="270">
        <f>I228+I231</f>
        <v>740</v>
      </c>
      <c r="J227" s="270">
        <f>J228+J231</f>
        <v>740</v>
      </c>
      <c r="K227" s="270">
        <f>K228+K231</f>
        <v>348</v>
      </c>
      <c r="L227" s="269">
        <f>L228+L231</f>
        <v>362</v>
      </c>
    </row>
    <row r="228" spans="1:12" ht="40" hidden="1" x14ac:dyDescent="0.25">
      <c r="A228" s="273"/>
      <c r="B228" s="310" t="s">
        <v>270</v>
      </c>
      <c r="C228" s="272"/>
      <c r="D228" s="271" t="s">
        <v>506</v>
      </c>
      <c r="E228" s="271" t="s">
        <v>506</v>
      </c>
      <c r="F228" s="271" t="s">
        <v>267</v>
      </c>
      <c r="G228" s="271"/>
      <c r="H228" s="270">
        <f t="shared" ref="H228:L229" si="21">H229</f>
        <v>0</v>
      </c>
      <c r="I228" s="270">
        <f t="shared" si="21"/>
        <v>320</v>
      </c>
      <c r="J228" s="270">
        <f t="shared" si="21"/>
        <v>320</v>
      </c>
      <c r="K228" s="270">
        <f t="shared" si="21"/>
        <v>0</v>
      </c>
      <c r="L228" s="269">
        <f t="shared" si="21"/>
        <v>0</v>
      </c>
    </row>
    <row r="229" spans="1:12" ht="20" hidden="1" x14ac:dyDescent="0.25">
      <c r="A229" s="305"/>
      <c r="B229" s="309" t="s">
        <v>4</v>
      </c>
      <c r="C229" s="272"/>
      <c r="D229" s="271" t="s">
        <v>506</v>
      </c>
      <c r="E229" s="271" t="s">
        <v>506</v>
      </c>
      <c r="F229" s="271" t="s">
        <v>507</v>
      </c>
      <c r="G229" s="271"/>
      <c r="H229" s="270">
        <f t="shared" si="21"/>
        <v>0</v>
      </c>
      <c r="I229" s="270">
        <f t="shared" si="21"/>
        <v>320</v>
      </c>
      <c r="J229" s="270">
        <f t="shared" si="21"/>
        <v>320</v>
      </c>
      <c r="K229" s="270">
        <f t="shared" si="21"/>
        <v>0</v>
      </c>
      <c r="L229" s="269">
        <f t="shared" si="21"/>
        <v>0</v>
      </c>
    </row>
    <row r="230" spans="1:12" ht="20" hidden="1" x14ac:dyDescent="0.25">
      <c r="A230" s="305"/>
      <c r="B230" s="274" t="s">
        <v>268</v>
      </c>
      <c r="C230" s="283"/>
      <c r="D230" s="271" t="s">
        <v>506</v>
      </c>
      <c r="E230" s="271" t="s">
        <v>506</v>
      </c>
      <c r="F230" s="271" t="s">
        <v>507</v>
      </c>
      <c r="G230" s="271" t="s">
        <v>1</v>
      </c>
      <c r="H230" s="270"/>
      <c r="I230" s="270">
        <v>320</v>
      </c>
      <c r="J230" s="270">
        <v>320</v>
      </c>
      <c r="K230" s="270"/>
      <c r="L230" s="269"/>
    </row>
    <row r="231" spans="1:12" ht="20" x14ac:dyDescent="0.25">
      <c r="A231" s="305"/>
      <c r="B231" s="285" t="s">
        <v>268</v>
      </c>
      <c r="C231" s="283"/>
      <c r="D231" s="271" t="s">
        <v>506</v>
      </c>
      <c r="E231" s="271" t="s">
        <v>506</v>
      </c>
      <c r="F231" s="271" t="s">
        <v>267</v>
      </c>
      <c r="G231" s="271"/>
      <c r="H231" s="270">
        <f t="shared" ref="H231:L232" si="22">H232</f>
        <v>284</v>
      </c>
      <c r="I231" s="270">
        <f t="shared" si="22"/>
        <v>420</v>
      </c>
      <c r="J231" s="270">
        <f t="shared" si="22"/>
        <v>420</v>
      </c>
      <c r="K231" s="270">
        <f t="shared" si="22"/>
        <v>348</v>
      </c>
      <c r="L231" s="269">
        <f t="shared" si="22"/>
        <v>362</v>
      </c>
    </row>
    <row r="232" spans="1:12" ht="26" x14ac:dyDescent="0.25">
      <c r="A232" s="273"/>
      <c r="B232" s="49" t="s">
        <v>266</v>
      </c>
      <c r="C232" s="272"/>
      <c r="D232" s="271" t="s">
        <v>506</v>
      </c>
      <c r="E232" s="271" t="s">
        <v>506</v>
      </c>
      <c r="F232" s="271" t="s">
        <v>263</v>
      </c>
      <c r="G232" s="271"/>
      <c r="H232" s="270">
        <f t="shared" si="22"/>
        <v>284</v>
      </c>
      <c r="I232" s="270">
        <f t="shared" si="22"/>
        <v>420</v>
      </c>
      <c r="J232" s="270">
        <f t="shared" si="22"/>
        <v>420</v>
      </c>
      <c r="K232" s="270">
        <f t="shared" si="22"/>
        <v>348</v>
      </c>
      <c r="L232" s="269">
        <f t="shared" si="22"/>
        <v>362</v>
      </c>
    </row>
    <row r="233" spans="1:12" ht="20" x14ac:dyDescent="0.25">
      <c r="A233" s="273"/>
      <c r="B233" s="284" t="s">
        <v>454</v>
      </c>
      <c r="C233" s="283"/>
      <c r="D233" s="271" t="s">
        <v>506</v>
      </c>
      <c r="E233" s="271" t="s">
        <v>506</v>
      </c>
      <c r="F233" s="271" t="s">
        <v>263</v>
      </c>
      <c r="G233" s="271" t="s">
        <v>1</v>
      </c>
      <c r="H233" s="270">
        <v>284</v>
      </c>
      <c r="I233" s="270">
        <v>420</v>
      </c>
      <c r="J233" s="270">
        <v>420</v>
      </c>
      <c r="K233" s="270">
        <v>348</v>
      </c>
      <c r="L233" s="269">
        <v>362</v>
      </c>
    </row>
    <row r="234" spans="1:12" x14ac:dyDescent="0.25">
      <c r="A234" s="291"/>
      <c r="B234" s="290" t="s">
        <v>460</v>
      </c>
      <c r="C234" s="289"/>
      <c r="D234" s="288" t="s">
        <v>453</v>
      </c>
      <c r="E234" s="288" t="s">
        <v>459</v>
      </c>
      <c r="F234" s="288"/>
      <c r="G234" s="288"/>
      <c r="H234" s="287">
        <f>H235+H243</f>
        <v>8198.5</v>
      </c>
      <c r="I234" s="287">
        <f>I235+I243</f>
        <v>36399.550000000003</v>
      </c>
      <c r="J234" s="287">
        <f>J235+J243</f>
        <v>36787.500000000007</v>
      </c>
      <c r="K234" s="287">
        <f>K235+K243</f>
        <v>8992</v>
      </c>
      <c r="L234" s="286">
        <f>L235+L243</f>
        <v>9194</v>
      </c>
    </row>
    <row r="235" spans="1:12" x14ac:dyDescent="0.25">
      <c r="A235" s="273"/>
      <c r="B235" s="282" t="s">
        <v>87</v>
      </c>
      <c r="C235" s="279"/>
      <c r="D235" s="278" t="s">
        <v>453</v>
      </c>
      <c r="E235" s="278" t="s">
        <v>456</v>
      </c>
      <c r="F235" s="278"/>
      <c r="G235" s="278"/>
      <c r="H235" s="277">
        <f t="shared" ref="H235:L238" si="23">H236</f>
        <v>6960</v>
      </c>
      <c r="I235" s="277">
        <f t="shared" si="23"/>
        <v>34899.550000000003</v>
      </c>
      <c r="J235" s="277">
        <f t="shared" si="23"/>
        <v>35187.500000000007</v>
      </c>
      <c r="K235" s="277">
        <f t="shared" si="23"/>
        <v>7858</v>
      </c>
      <c r="L235" s="276">
        <f t="shared" si="23"/>
        <v>7937</v>
      </c>
    </row>
    <row r="236" spans="1:12" ht="30" x14ac:dyDescent="0.25">
      <c r="A236" s="273"/>
      <c r="B236" s="275" t="s">
        <v>839</v>
      </c>
      <c r="C236" s="272"/>
      <c r="D236" s="271" t="s">
        <v>453</v>
      </c>
      <c r="E236" s="271" t="s">
        <v>456</v>
      </c>
      <c r="F236" s="271" t="s">
        <v>273</v>
      </c>
      <c r="G236" s="271"/>
      <c r="H236" s="270">
        <f t="shared" si="23"/>
        <v>6960</v>
      </c>
      <c r="I236" s="270">
        <f t="shared" si="23"/>
        <v>34899.550000000003</v>
      </c>
      <c r="J236" s="270">
        <f t="shared" si="23"/>
        <v>35187.500000000007</v>
      </c>
      <c r="K236" s="270">
        <f t="shared" si="23"/>
        <v>7858</v>
      </c>
      <c r="L236" s="269">
        <f t="shared" si="23"/>
        <v>7937</v>
      </c>
    </row>
    <row r="237" spans="1:12" ht="30" x14ac:dyDescent="0.25">
      <c r="A237" s="281"/>
      <c r="B237" s="275" t="s">
        <v>261</v>
      </c>
      <c r="C237" s="272"/>
      <c r="D237" s="271" t="s">
        <v>453</v>
      </c>
      <c r="E237" s="271" t="s">
        <v>456</v>
      </c>
      <c r="F237" s="271" t="s">
        <v>260</v>
      </c>
      <c r="G237" s="271"/>
      <c r="H237" s="270">
        <f t="shared" si="23"/>
        <v>6960</v>
      </c>
      <c r="I237" s="270">
        <f t="shared" si="23"/>
        <v>34899.550000000003</v>
      </c>
      <c r="J237" s="270">
        <f t="shared" si="23"/>
        <v>35187.500000000007</v>
      </c>
      <c r="K237" s="270">
        <f t="shared" si="23"/>
        <v>7858</v>
      </c>
      <c r="L237" s="269">
        <f t="shared" si="23"/>
        <v>7937</v>
      </c>
    </row>
    <row r="238" spans="1:12" ht="23.25" customHeight="1" x14ac:dyDescent="0.25">
      <c r="A238" s="281"/>
      <c r="B238" s="274" t="s">
        <v>259</v>
      </c>
      <c r="C238" s="272"/>
      <c r="D238" s="271" t="s">
        <v>453</v>
      </c>
      <c r="E238" s="271" t="s">
        <v>456</v>
      </c>
      <c r="F238" s="271" t="s">
        <v>258</v>
      </c>
      <c r="G238" s="271"/>
      <c r="H238" s="270">
        <f t="shared" si="23"/>
        <v>6960</v>
      </c>
      <c r="I238" s="270">
        <f t="shared" si="23"/>
        <v>34899.550000000003</v>
      </c>
      <c r="J238" s="270">
        <f t="shared" si="23"/>
        <v>35187.500000000007</v>
      </c>
      <c r="K238" s="270">
        <f t="shared" si="23"/>
        <v>7858</v>
      </c>
      <c r="L238" s="269">
        <f t="shared" si="23"/>
        <v>7937</v>
      </c>
    </row>
    <row r="239" spans="1:12" ht="23.25" customHeight="1" x14ac:dyDescent="0.25">
      <c r="A239" s="281"/>
      <c r="B239" s="285" t="s">
        <v>351</v>
      </c>
      <c r="C239" s="272"/>
      <c r="D239" s="271" t="s">
        <v>453</v>
      </c>
      <c r="E239" s="271" t="s">
        <v>456</v>
      </c>
      <c r="F239" s="271" t="s">
        <v>254</v>
      </c>
      <c r="G239" s="271"/>
      <c r="H239" s="270">
        <f>H240+H241+H242</f>
        <v>6960</v>
      </c>
      <c r="I239" s="270">
        <f>I240+I241+I242</f>
        <v>34899.550000000003</v>
      </c>
      <c r="J239" s="270">
        <f>J240+J241+J242</f>
        <v>35187.500000000007</v>
      </c>
      <c r="K239" s="270">
        <f>K240+K241+K242</f>
        <v>7858</v>
      </c>
      <c r="L239" s="269">
        <f>L240+L241+L242</f>
        <v>7937</v>
      </c>
    </row>
    <row r="240" spans="1:12" ht="22.5" customHeight="1" x14ac:dyDescent="0.25">
      <c r="A240" s="273"/>
      <c r="B240" s="284" t="s">
        <v>458</v>
      </c>
      <c r="C240" s="283"/>
      <c r="D240" s="271" t="s">
        <v>453</v>
      </c>
      <c r="E240" s="271" t="s">
        <v>456</v>
      </c>
      <c r="F240" s="271" t="s">
        <v>254</v>
      </c>
      <c r="G240" s="271" t="s">
        <v>255</v>
      </c>
      <c r="H240" s="270">
        <v>4510.8630000000003</v>
      </c>
      <c r="I240" s="270">
        <f>14110.32+7665.25+6074.84+8018.08-78.59-56.38-180.11-693.76</f>
        <v>34859.65</v>
      </c>
      <c r="J240" s="270">
        <f>14110.32+8044.5+6074.84+8017.78-78.59-56.38-180.11-786.76</f>
        <v>35145.600000000006</v>
      </c>
      <c r="K240" s="270">
        <v>5837.6840000000002</v>
      </c>
      <c r="L240" s="269">
        <v>5657.9449999999997</v>
      </c>
    </row>
    <row r="241" spans="1:12" ht="20" x14ac:dyDescent="0.25">
      <c r="A241" s="273"/>
      <c r="B241" s="284" t="s">
        <v>454</v>
      </c>
      <c r="C241" s="283"/>
      <c r="D241" s="271" t="s">
        <v>453</v>
      </c>
      <c r="E241" s="271" t="s">
        <v>456</v>
      </c>
      <c r="F241" s="271" t="s">
        <v>254</v>
      </c>
      <c r="G241" s="271" t="s">
        <v>1</v>
      </c>
      <c r="H241" s="270">
        <v>2448.424</v>
      </c>
      <c r="I241" s="270"/>
      <c r="J241" s="270"/>
      <c r="K241" s="270">
        <v>2019.316</v>
      </c>
      <c r="L241" s="269">
        <v>2278.0549999999998</v>
      </c>
    </row>
    <row r="242" spans="1:12" ht="23.25" customHeight="1" x14ac:dyDescent="0.25">
      <c r="A242" s="273"/>
      <c r="B242" s="284" t="s">
        <v>457</v>
      </c>
      <c r="C242" s="283"/>
      <c r="D242" s="271" t="s">
        <v>453</v>
      </c>
      <c r="E242" s="271" t="s">
        <v>456</v>
      </c>
      <c r="F242" s="271" t="s">
        <v>254</v>
      </c>
      <c r="G242" s="271" t="s">
        <v>91</v>
      </c>
      <c r="H242" s="270">
        <v>0.71299999999999997</v>
      </c>
      <c r="I242" s="270">
        <v>39.9</v>
      </c>
      <c r="J242" s="270">
        <v>41.9</v>
      </c>
      <c r="K242" s="270">
        <v>1</v>
      </c>
      <c r="L242" s="269">
        <v>1</v>
      </c>
    </row>
    <row r="243" spans="1:12" x14ac:dyDescent="0.25">
      <c r="A243" s="281"/>
      <c r="B243" s="282" t="s">
        <v>244</v>
      </c>
      <c r="C243" s="279"/>
      <c r="D243" s="278" t="s">
        <v>453</v>
      </c>
      <c r="E243" s="278" t="s">
        <v>452</v>
      </c>
      <c r="F243" s="278"/>
      <c r="G243" s="278"/>
      <c r="H243" s="277">
        <f t="shared" ref="H243:L244" si="24">H244</f>
        <v>1238.5</v>
      </c>
      <c r="I243" s="277">
        <f t="shared" si="24"/>
        <v>1500</v>
      </c>
      <c r="J243" s="277">
        <f t="shared" si="24"/>
        <v>1600</v>
      </c>
      <c r="K243" s="277">
        <f t="shared" si="24"/>
        <v>1134</v>
      </c>
      <c r="L243" s="276">
        <f t="shared" si="24"/>
        <v>1257</v>
      </c>
    </row>
    <row r="244" spans="1:12" ht="30" x14ac:dyDescent="0.25">
      <c r="A244" s="273"/>
      <c r="B244" s="275" t="s">
        <v>839</v>
      </c>
      <c r="C244" s="272"/>
      <c r="D244" s="271" t="s">
        <v>453</v>
      </c>
      <c r="E244" s="271" t="s">
        <v>452</v>
      </c>
      <c r="F244" s="271" t="s">
        <v>273</v>
      </c>
      <c r="G244" s="271"/>
      <c r="H244" s="270">
        <f t="shared" si="24"/>
        <v>1238.5</v>
      </c>
      <c r="I244" s="270">
        <f t="shared" si="24"/>
        <v>1500</v>
      </c>
      <c r="J244" s="270">
        <f t="shared" si="24"/>
        <v>1600</v>
      </c>
      <c r="K244" s="270">
        <f t="shared" si="24"/>
        <v>1134</v>
      </c>
      <c r="L244" s="269">
        <f t="shared" si="24"/>
        <v>1257</v>
      </c>
    </row>
    <row r="245" spans="1:12" ht="21.75" customHeight="1" x14ac:dyDescent="0.25">
      <c r="A245" s="273"/>
      <c r="B245" s="275" t="s">
        <v>836</v>
      </c>
      <c r="C245" s="272"/>
      <c r="D245" s="271" t="s">
        <v>453</v>
      </c>
      <c r="E245" s="271" t="s">
        <v>452</v>
      </c>
      <c r="F245" s="271" t="s">
        <v>251</v>
      </c>
      <c r="G245" s="271"/>
      <c r="H245" s="270">
        <f>H246+H249</f>
        <v>1238.5</v>
      </c>
      <c r="I245" s="270">
        <f>I246+I249</f>
        <v>1500</v>
      </c>
      <c r="J245" s="270">
        <f>J246+J249</f>
        <v>1600</v>
      </c>
      <c r="K245" s="270">
        <f>K246+K249</f>
        <v>1134</v>
      </c>
      <c r="L245" s="269">
        <f>L246+L249</f>
        <v>1257</v>
      </c>
    </row>
    <row r="246" spans="1:12" ht="21" customHeight="1" x14ac:dyDescent="0.25">
      <c r="A246" s="273"/>
      <c r="B246" s="274" t="s">
        <v>250</v>
      </c>
      <c r="C246" s="272"/>
      <c r="D246" s="271" t="s">
        <v>453</v>
      </c>
      <c r="E246" s="271" t="s">
        <v>452</v>
      </c>
      <c r="F246" s="271" t="s">
        <v>249</v>
      </c>
      <c r="G246" s="271"/>
      <c r="H246" s="270">
        <f t="shared" ref="H246:L247" si="25">H247</f>
        <v>1238.5</v>
      </c>
      <c r="I246" s="270">
        <f t="shared" si="25"/>
        <v>1500</v>
      </c>
      <c r="J246" s="270">
        <f t="shared" si="25"/>
        <v>1600</v>
      </c>
      <c r="K246" s="270">
        <f t="shared" si="25"/>
        <v>1134</v>
      </c>
      <c r="L246" s="269">
        <f t="shared" si="25"/>
        <v>1257</v>
      </c>
    </row>
    <row r="247" spans="1:12" ht="24.75" customHeight="1" x14ac:dyDescent="0.25">
      <c r="A247" s="273"/>
      <c r="B247" s="49" t="s">
        <v>248</v>
      </c>
      <c r="C247" s="272"/>
      <c r="D247" s="271" t="s">
        <v>453</v>
      </c>
      <c r="E247" s="271" t="s">
        <v>452</v>
      </c>
      <c r="F247" s="271" t="s">
        <v>243</v>
      </c>
      <c r="G247" s="271"/>
      <c r="H247" s="270">
        <f t="shared" si="25"/>
        <v>1238.5</v>
      </c>
      <c r="I247" s="270">
        <f t="shared" si="25"/>
        <v>1500</v>
      </c>
      <c r="J247" s="270">
        <f t="shared" si="25"/>
        <v>1600</v>
      </c>
      <c r="K247" s="270">
        <f t="shared" si="25"/>
        <v>1134</v>
      </c>
      <c r="L247" s="269">
        <f t="shared" si="25"/>
        <v>1257</v>
      </c>
    </row>
    <row r="248" spans="1:12" ht="20" x14ac:dyDescent="0.25">
      <c r="A248" s="273"/>
      <c r="B248" s="284" t="s">
        <v>454</v>
      </c>
      <c r="C248" s="283"/>
      <c r="D248" s="271" t="s">
        <v>453</v>
      </c>
      <c r="E248" s="271" t="s">
        <v>452</v>
      </c>
      <c r="F248" s="271" t="s">
        <v>243</v>
      </c>
      <c r="G248" s="271" t="s">
        <v>1</v>
      </c>
      <c r="H248" s="270">
        <v>1238.5</v>
      </c>
      <c r="I248" s="270">
        <v>1500</v>
      </c>
      <c r="J248" s="270">
        <v>1600</v>
      </c>
      <c r="K248" s="270">
        <v>1134</v>
      </c>
      <c r="L248" s="269">
        <v>1257</v>
      </c>
    </row>
    <row r="249" spans="1:12" ht="20" hidden="1" x14ac:dyDescent="0.25">
      <c r="A249" s="291"/>
      <c r="B249" s="771" t="s">
        <v>454</v>
      </c>
      <c r="C249" s="772"/>
      <c r="D249" s="773" t="s">
        <v>453</v>
      </c>
      <c r="E249" s="773" t="s">
        <v>452</v>
      </c>
      <c r="F249" s="773" t="s">
        <v>243</v>
      </c>
      <c r="G249" s="773" t="s">
        <v>1</v>
      </c>
      <c r="H249" s="774"/>
      <c r="I249" s="774"/>
      <c r="J249" s="774"/>
      <c r="K249" s="774"/>
      <c r="L249" s="775"/>
    </row>
    <row r="250" spans="1:12" ht="20" hidden="1" x14ac:dyDescent="0.25">
      <c r="A250" s="273"/>
      <c r="B250" s="285" t="s">
        <v>505</v>
      </c>
      <c r="C250" s="283"/>
      <c r="D250" s="271" t="s">
        <v>453</v>
      </c>
      <c r="E250" s="271" t="s">
        <v>452</v>
      </c>
      <c r="F250" s="271" t="s">
        <v>504</v>
      </c>
      <c r="G250" s="271"/>
      <c r="H250" s="270">
        <f>H251+H253</f>
        <v>0</v>
      </c>
      <c r="I250" s="270">
        <f>I251+I253</f>
        <v>10000</v>
      </c>
      <c r="J250" s="270">
        <f>J251+J253</f>
        <v>10000</v>
      </c>
      <c r="K250" s="270">
        <f>K251+K253</f>
        <v>0</v>
      </c>
      <c r="L250" s="269">
        <f>L251+L253</f>
        <v>0</v>
      </c>
    </row>
    <row r="251" spans="1:12" ht="20" hidden="1" x14ac:dyDescent="0.25">
      <c r="A251" s="273"/>
      <c r="B251" s="285" t="s">
        <v>503</v>
      </c>
      <c r="C251" s="272"/>
      <c r="D251" s="271" t="s">
        <v>453</v>
      </c>
      <c r="E251" s="271" t="s">
        <v>452</v>
      </c>
      <c r="F251" s="271" t="s">
        <v>502</v>
      </c>
      <c r="G251" s="271"/>
      <c r="H251" s="270">
        <f>H252</f>
        <v>0</v>
      </c>
      <c r="I251" s="270">
        <f>I252</f>
        <v>0</v>
      </c>
      <c r="J251" s="270">
        <f>J252</f>
        <v>0</v>
      </c>
      <c r="K251" s="270">
        <f>K252</f>
        <v>0</v>
      </c>
      <c r="L251" s="269">
        <f>L252</f>
        <v>0</v>
      </c>
    </row>
    <row r="252" spans="1:12" ht="20" hidden="1" x14ac:dyDescent="0.25">
      <c r="A252" s="273"/>
      <c r="B252" s="284" t="s">
        <v>454</v>
      </c>
      <c r="C252" s="283"/>
      <c r="D252" s="271" t="s">
        <v>453</v>
      </c>
      <c r="E252" s="271" t="s">
        <v>452</v>
      </c>
      <c r="F252" s="271" t="s">
        <v>502</v>
      </c>
      <c r="G252" s="271" t="s">
        <v>1</v>
      </c>
      <c r="H252" s="270">
        <v>0</v>
      </c>
      <c r="I252" s="270">
        <v>0</v>
      </c>
      <c r="J252" s="270">
        <v>0</v>
      </c>
      <c r="K252" s="270">
        <v>0</v>
      </c>
      <c r="L252" s="269">
        <v>0</v>
      </c>
    </row>
    <row r="253" spans="1:12" ht="20" hidden="1" x14ac:dyDescent="0.25">
      <c r="A253" s="273"/>
      <c r="B253" s="285" t="s">
        <v>501</v>
      </c>
      <c r="C253" s="272"/>
      <c r="D253" s="271" t="s">
        <v>453</v>
      </c>
      <c r="E253" s="271" t="s">
        <v>452</v>
      </c>
      <c r="F253" s="271" t="s">
        <v>500</v>
      </c>
      <c r="G253" s="271"/>
      <c r="H253" s="270">
        <f>H254</f>
        <v>0</v>
      </c>
      <c r="I253" s="270">
        <f>I254</f>
        <v>10000</v>
      </c>
      <c r="J253" s="270">
        <f>J254</f>
        <v>10000</v>
      </c>
      <c r="K253" s="270">
        <f>K254</f>
        <v>0</v>
      </c>
      <c r="L253" s="269">
        <f>L254</f>
        <v>0</v>
      </c>
    </row>
    <row r="254" spans="1:12" ht="20" hidden="1" x14ac:dyDescent="0.25">
      <c r="A254" s="273"/>
      <c r="B254" s="284" t="s">
        <v>454</v>
      </c>
      <c r="C254" s="283"/>
      <c r="D254" s="271" t="s">
        <v>453</v>
      </c>
      <c r="E254" s="271" t="s">
        <v>452</v>
      </c>
      <c r="F254" s="271" t="s">
        <v>500</v>
      </c>
      <c r="G254" s="271" t="s">
        <v>26</v>
      </c>
      <c r="H254" s="270"/>
      <c r="I254" s="270">
        <v>10000</v>
      </c>
      <c r="J254" s="270">
        <v>10000</v>
      </c>
      <c r="K254" s="270"/>
      <c r="L254" s="269"/>
    </row>
    <row r="255" spans="1:12" x14ac:dyDescent="0.25">
      <c r="A255" s="273"/>
      <c r="B255" s="282" t="s">
        <v>334</v>
      </c>
      <c r="C255" s="279"/>
      <c r="D255" s="278" t="s">
        <v>496</v>
      </c>
      <c r="E255" s="278" t="s">
        <v>459</v>
      </c>
      <c r="F255" s="278"/>
      <c r="G255" s="278"/>
      <c r="H255" s="277">
        <f>H256+H262</f>
        <v>1044.001</v>
      </c>
      <c r="I255" s="277">
        <f>I256+I262</f>
        <v>7671.15</v>
      </c>
      <c r="J255" s="277">
        <f>J256+J262</f>
        <v>7864.35</v>
      </c>
      <c r="K255" s="277">
        <f>K256+K262</f>
        <v>626.84299999999996</v>
      </c>
      <c r="L255" s="276">
        <f>L256+L262</f>
        <v>664.45399999999995</v>
      </c>
    </row>
    <row r="256" spans="1:12" x14ac:dyDescent="0.25">
      <c r="A256" s="273"/>
      <c r="B256" s="282" t="s">
        <v>79</v>
      </c>
      <c r="C256" s="279"/>
      <c r="D256" s="278" t="s">
        <v>496</v>
      </c>
      <c r="E256" s="278" t="s">
        <v>456</v>
      </c>
      <c r="F256" s="278"/>
      <c r="G256" s="278"/>
      <c r="H256" s="277">
        <f t="shared" ref="H256:L260" si="26">H257</f>
        <v>883.69100000000003</v>
      </c>
      <c r="I256" s="277">
        <f t="shared" si="26"/>
        <v>3994.95</v>
      </c>
      <c r="J256" s="277">
        <f t="shared" si="26"/>
        <v>3994.95</v>
      </c>
      <c r="K256" s="277">
        <f t="shared" si="26"/>
        <v>626.84299999999996</v>
      </c>
      <c r="L256" s="276">
        <f t="shared" si="26"/>
        <v>664.45399999999995</v>
      </c>
    </row>
    <row r="257" spans="1:12" ht="27" customHeight="1" x14ac:dyDescent="0.25">
      <c r="A257" s="273"/>
      <c r="B257" s="285" t="s">
        <v>499</v>
      </c>
      <c r="C257" s="272"/>
      <c r="D257" s="271" t="s">
        <v>496</v>
      </c>
      <c r="E257" s="271" t="s">
        <v>456</v>
      </c>
      <c r="F257" s="271" t="s">
        <v>89</v>
      </c>
      <c r="G257" s="271"/>
      <c r="H257" s="270">
        <f t="shared" si="26"/>
        <v>883.69100000000003</v>
      </c>
      <c r="I257" s="270">
        <f t="shared" si="26"/>
        <v>3994.95</v>
      </c>
      <c r="J257" s="270">
        <f t="shared" si="26"/>
        <v>3994.95</v>
      </c>
      <c r="K257" s="270">
        <f t="shared" si="26"/>
        <v>626.84299999999996</v>
      </c>
      <c r="L257" s="269">
        <f t="shared" si="26"/>
        <v>664.45399999999995</v>
      </c>
    </row>
    <row r="258" spans="1:12" ht="24.75" customHeight="1" x14ac:dyDescent="0.25">
      <c r="A258" s="273"/>
      <c r="B258" s="285" t="s">
        <v>109</v>
      </c>
      <c r="C258" s="272"/>
      <c r="D258" s="271" t="s">
        <v>496</v>
      </c>
      <c r="E258" s="271" t="s">
        <v>456</v>
      </c>
      <c r="F258" s="271" t="s">
        <v>84</v>
      </c>
      <c r="G258" s="271"/>
      <c r="H258" s="270">
        <f t="shared" si="26"/>
        <v>883.69100000000003</v>
      </c>
      <c r="I258" s="270">
        <f t="shared" si="26"/>
        <v>3994.95</v>
      </c>
      <c r="J258" s="270">
        <f t="shared" si="26"/>
        <v>3994.95</v>
      </c>
      <c r="K258" s="270">
        <f t="shared" si="26"/>
        <v>626.84299999999996</v>
      </c>
      <c r="L258" s="269">
        <f t="shared" si="26"/>
        <v>664.45399999999995</v>
      </c>
    </row>
    <row r="259" spans="1:12" ht="24.75" customHeight="1" x14ac:dyDescent="0.25">
      <c r="A259" s="273"/>
      <c r="B259" s="285" t="s">
        <v>109</v>
      </c>
      <c r="C259" s="272"/>
      <c r="D259" s="271" t="s">
        <v>496</v>
      </c>
      <c r="E259" s="271" t="s">
        <v>456</v>
      </c>
      <c r="F259" s="271" t="s">
        <v>82</v>
      </c>
      <c r="G259" s="271"/>
      <c r="H259" s="270">
        <f t="shared" si="26"/>
        <v>883.69100000000003</v>
      </c>
      <c r="I259" s="270">
        <f t="shared" si="26"/>
        <v>3994.95</v>
      </c>
      <c r="J259" s="270">
        <f t="shared" si="26"/>
        <v>3994.95</v>
      </c>
      <c r="K259" s="270">
        <f t="shared" si="26"/>
        <v>626.84299999999996</v>
      </c>
      <c r="L259" s="269">
        <f t="shared" si="26"/>
        <v>664.45399999999995</v>
      </c>
    </row>
    <row r="260" spans="1:12" ht="23.25" customHeight="1" x14ac:dyDescent="0.25">
      <c r="A260" s="273"/>
      <c r="B260" s="285" t="s">
        <v>81</v>
      </c>
      <c r="C260" s="272"/>
      <c r="D260" s="271" t="s">
        <v>496</v>
      </c>
      <c r="E260" s="271" t="s">
        <v>456</v>
      </c>
      <c r="F260" s="271" t="s">
        <v>78</v>
      </c>
      <c r="G260" s="271"/>
      <c r="H260" s="270">
        <f t="shared" si="26"/>
        <v>883.69100000000003</v>
      </c>
      <c r="I260" s="270">
        <f t="shared" si="26"/>
        <v>3994.95</v>
      </c>
      <c r="J260" s="270">
        <f t="shared" si="26"/>
        <v>3994.95</v>
      </c>
      <c r="K260" s="270">
        <f t="shared" si="26"/>
        <v>626.84299999999996</v>
      </c>
      <c r="L260" s="269">
        <f t="shared" si="26"/>
        <v>664.45399999999995</v>
      </c>
    </row>
    <row r="261" spans="1:12" x14ac:dyDescent="0.25">
      <c r="A261" s="273"/>
      <c r="B261" s="308" t="s">
        <v>497</v>
      </c>
      <c r="C261" s="283"/>
      <c r="D261" s="271" t="s">
        <v>496</v>
      </c>
      <c r="E261" s="271" t="s">
        <v>456</v>
      </c>
      <c r="F261" s="271" t="s">
        <v>78</v>
      </c>
      <c r="G261" s="271" t="s">
        <v>77</v>
      </c>
      <c r="H261" s="270">
        <v>883.69100000000003</v>
      </c>
      <c r="I261" s="270">
        <v>3994.95</v>
      </c>
      <c r="J261" s="270">
        <v>3994.95</v>
      </c>
      <c r="K261" s="270">
        <v>626.84299999999996</v>
      </c>
      <c r="L261" s="269">
        <v>664.45399999999995</v>
      </c>
    </row>
    <row r="262" spans="1:12" hidden="1" x14ac:dyDescent="0.25">
      <c r="A262" s="273"/>
      <c r="B262" s="282" t="s">
        <v>45</v>
      </c>
      <c r="C262" s="279"/>
      <c r="D262" s="278" t="s">
        <v>496</v>
      </c>
      <c r="E262" s="278" t="s">
        <v>495</v>
      </c>
      <c r="F262" s="278"/>
      <c r="G262" s="278"/>
      <c r="H262" s="277">
        <f t="shared" ref="H262:L265" si="27">H263</f>
        <v>160.31</v>
      </c>
      <c r="I262" s="277">
        <f t="shared" si="27"/>
        <v>3676.2</v>
      </c>
      <c r="J262" s="277">
        <f t="shared" si="27"/>
        <v>3869.4</v>
      </c>
      <c r="K262" s="277">
        <f t="shared" si="27"/>
        <v>0</v>
      </c>
      <c r="L262" s="276">
        <f t="shared" si="27"/>
        <v>0</v>
      </c>
    </row>
    <row r="263" spans="1:12" ht="31.9" hidden="1" customHeight="1" x14ac:dyDescent="0.25">
      <c r="A263" s="273"/>
      <c r="B263" s="285" t="s">
        <v>499</v>
      </c>
      <c r="C263" s="272"/>
      <c r="D263" s="271" t="s">
        <v>496</v>
      </c>
      <c r="E263" s="271" t="s">
        <v>495</v>
      </c>
      <c r="F263" s="271" t="s">
        <v>89</v>
      </c>
      <c r="G263" s="271"/>
      <c r="H263" s="270">
        <f t="shared" si="27"/>
        <v>160.31</v>
      </c>
      <c r="I263" s="270">
        <f t="shared" si="27"/>
        <v>3676.2</v>
      </c>
      <c r="J263" s="270">
        <f t="shared" si="27"/>
        <v>3869.4</v>
      </c>
      <c r="K263" s="270">
        <f t="shared" si="27"/>
        <v>0</v>
      </c>
      <c r="L263" s="269">
        <f t="shared" si="27"/>
        <v>0</v>
      </c>
    </row>
    <row r="264" spans="1:12" ht="20.25" hidden="1" customHeight="1" x14ac:dyDescent="0.25">
      <c r="A264" s="273"/>
      <c r="B264" s="285" t="s">
        <v>109</v>
      </c>
      <c r="C264" s="272"/>
      <c r="D264" s="271" t="s">
        <v>496</v>
      </c>
      <c r="E264" s="271" t="s">
        <v>495</v>
      </c>
      <c r="F264" s="271" t="s">
        <v>84</v>
      </c>
      <c r="G264" s="271"/>
      <c r="H264" s="270">
        <f t="shared" si="27"/>
        <v>160.31</v>
      </c>
      <c r="I264" s="270">
        <f t="shared" si="27"/>
        <v>3676.2</v>
      </c>
      <c r="J264" s="270">
        <f t="shared" si="27"/>
        <v>3869.4</v>
      </c>
      <c r="K264" s="270">
        <f t="shared" si="27"/>
        <v>0</v>
      </c>
      <c r="L264" s="269">
        <f t="shared" si="27"/>
        <v>0</v>
      </c>
    </row>
    <row r="265" spans="1:12" ht="24" hidden="1" customHeight="1" x14ac:dyDescent="0.25">
      <c r="A265" s="273"/>
      <c r="B265" s="285" t="s">
        <v>109</v>
      </c>
      <c r="C265" s="272"/>
      <c r="D265" s="271" t="s">
        <v>496</v>
      </c>
      <c r="E265" s="271" t="s">
        <v>495</v>
      </c>
      <c r="F265" s="271" t="s">
        <v>82</v>
      </c>
      <c r="G265" s="271"/>
      <c r="H265" s="270">
        <f t="shared" si="27"/>
        <v>160.31</v>
      </c>
      <c r="I265" s="270">
        <f t="shared" si="27"/>
        <v>3676.2</v>
      </c>
      <c r="J265" s="270">
        <f t="shared" si="27"/>
        <v>3869.4</v>
      </c>
      <c r="K265" s="270">
        <f t="shared" si="27"/>
        <v>0</v>
      </c>
      <c r="L265" s="269">
        <f t="shared" si="27"/>
        <v>0</v>
      </c>
    </row>
    <row r="266" spans="1:12" ht="22.5" hidden="1" customHeight="1" x14ac:dyDescent="0.25">
      <c r="A266" s="273"/>
      <c r="B266" s="285" t="s">
        <v>47</v>
      </c>
      <c r="C266" s="272"/>
      <c r="D266" s="271" t="s">
        <v>496</v>
      </c>
      <c r="E266" s="271" t="s">
        <v>495</v>
      </c>
      <c r="F266" s="271" t="s">
        <v>43</v>
      </c>
      <c r="G266" s="271"/>
      <c r="H266" s="270">
        <f>H267+H268+H269</f>
        <v>160.31</v>
      </c>
      <c r="I266" s="270">
        <f>I267+I268+I269</f>
        <v>3676.2</v>
      </c>
      <c r="J266" s="270">
        <f>J267+J268+J269</f>
        <v>3869.4</v>
      </c>
      <c r="K266" s="270">
        <f>K267+K268+K269</f>
        <v>0</v>
      </c>
      <c r="L266" s="269">
        <f>L267+L268+L269</f>
        <v>0</v>
      </c>
    </row>
    <row r="267" spans="1:12" ht="25.5" hidden="1" customHeight="1" x14ac:dyDescent="0.25">
      <c r="A267" s="273"/>
      <c r="B267" s="284" t="s">
        <v>454</v>
      </c>
      <c r="C267" s="283"/>
      <c r="D267" s="271" t="s">
        <v>496</v>
      </c>
      <c r="E267" s="271" t="s">
        <v>495</v>
      </c>
      <c r="F267" s="271" t="s">
        <v>43</v>
      </c>
      <c r="G267" s="271" t="s">
        <v>1</v>
      </c>
      <c r="H267" s="270">
        <v>28.454999999999998</v>
      </c>
      <c r="I267" s="270">
        <v>252</v>
      </c>
      <c r="J267" s="270">
        <v>265</v>
      </c>
      <c r="K267" s="270"/>
      <c r="L267" s="269"/>
    </row>
    <row r="268" spans="1:12" ht="18.75" hidden="1" customHeight="1" x14ac:dyDescent="0.25">
      <c r="A268" s="273"/>
      <c r="B268" s="284" t="s">
        <v>498</v>
      </c>
      <c r="C268" s="283"/>
      <c r="D268" s="271" t="s">
        <v>496</v>
      </c>
      <c r="E268" s="271" t="s">
        <v>495</v>
      </c>
      <c r="F268" s="271" t="s">
        <v>43</v>
      </c>
      <c r="G268" s="271" t="s">
        <v>42</v>
      </c>
      <c r="H268" s="270">
        <v>131.85499999999999</v>
      </c>
      <c r="I268" s="270">
        <v>3404.2</v>
      </c>
      <c r="J268" s="270">
        <v>3574.4</v>
      </c>
      <c r="K268" s="270"/>
      <c r="L268" s="269"/>
    </row>
    <row r="269" spans="1:12" hidden="1" x14ac:dyDescent="0.25">
      <c r="A269" s="273"/>
      <c r="B269" s="284" t="s">
        <v>497</v>
      </c>
      <c r="C269" s="283"/>
      <c r="D269" s="271" t="s">
        <v>496</v>
      </c>
      <c r="E269" s="271" t="s">
        <v>495</v>
      </c>
      <c r="F269" s="271" t="s">
        <v>43</v>
      </c>
      <c r="G269" s="271" t="s">
        <v>77</v>
      </c>
      <c r="H269" s="270"/>
      <c r="I269" s="270">
        <v>20</v>
      </c>
      <c r="J269" s="270">
        <v>30</v>
      </c>
      <c r="K269" s="270"/>
      <c r="L269" s="269"/>
    </row>
    <row r="270" spans="1:12" x14ac:dyDescent="0.25">
      <c r="A270" s="273"/>
      <c r="B270" s="282" t="s">
        <v>331</v>
      </c>
      <c r="C270" s="279"/>
      <c r="D270" s="278" t="s">
        <v>464</v>
      </c>
      <c r="E270" s="278" t="s">
        <v>459</v>
      </c>
      <c r="F270" s="278"/>
      <c r="G270" s="278"/>
      <c r="H270" s="277">
        <f>H271+H279</f>
        <v>400</v>
      </c>
      <c r="I270" s="277">
        <f>I271+I279</f>
        <v>16233.47</v>
      </c>
      <c r="J270" s="277">
        <f>J271+J279</f>
        <v>16021.82</v>
      </c>
      <c r="K270" s="277">
        <f>K271+K279</f>
        <v>550</v>
      </c>
      <c r="L270" s="276">
        <f>L271+L279</f>
        <v>600</v>
      </c>
    </row>
    <row r="271" spans="1:12" hidden="1" x14ac:dyDescent="0.25">
      <c r="A271" s="273"/>
      <c r="B271" s="282" t="s">
        <v>494</v>
      </c>
      <c r="C271" s="279"/>
      <c r="D271" s="278" t="s">
        <v>464</v>
      </c>
      <c r="E271" s="278" t="s">
        <v>488</v>
      </c>
      <c r="F271" s="278" t="s">
        <v>106</v>
      </c>
      <c r="G271" s="278" t="s">
        <v>106</v>
      </c>
      <c r="H271" s="277">
        <f t="shared" ref="H271:L274" si="28">H272</f>
        <v>0</v>
      </c>
      <c r="I271" s="277">
        <f t="shared" si="28"/>
        <v>14787.32</v>
      </c>
      <c r="J271" s="277">
        <f t="shared" si="28"/>
        <v>14621.82</v>
      </c>
      <c r="K271" s="277">
        <f t="shared" si="28"/>
        <v>0</v>
      </c>
      <c r="L271" s="276">
        <f t="shared" si="28"/>
        <v>0</v>
      </c>
    </row>
    <row r="272" spans="1:12" ht="31.5" hidden="1" x14ac:dyDescent="0.25">
      <c r="A272" s="273"/>
      <c r="B272" s="282" t="s">
        <v>493</v>
      </c>
      <c r="C272" s="279"/>
      <c r="D272" s="278" t="s">
        <v>464</v>
      </c>
      <c r="E272" s="278" t="s">
        <v>488</v>
      </c>
      <c r="F272" s="278" t="s">
        <v>311</v>
      </c>
      <c r="G272" s="278"/>
      <c r="H272" s="277">
        <f t="shared" si="28"/>
        <v>0</v>
      </c>
      <c r="I272" s="277">
        <f t="shared" si="28"/>
        <v>14787.32</v>
      </c>
      <c r="J272" s="277">
        <f t="shared" si="28"/>
        <v>14621.82</v>
      </c>
      <c r="K272" s="277">
        <f t="shared" si="28"/>
        <v>0</v>
      </c>
      <c r="L272" s="276">
        <f t="shared" si="28"/>
        <v>0</v>
      </c>
    </row>
    <row r="273" spans="1:12" ht="20" hidden="1" x14ac:dyDescent="0.25">
      <c r="A273" s="305"/>
      <c r="B273" s="285" t="s">
        <v>492</v>
      </c>
      <c r="C273" s="272"/>
      <c r="D273" s="271" t="s">
        <v>464</v>
      </c>
      <c r="E273" s="271" t="s">
        <v>488</v>
      </c>
      <c r="F273" s="271" t="s">
        <v>491</v>
      </c>
      <c r="G273" s="271"/>
      <c r="H273" s="270">
        <f t="shared" si="28"/>
        <v>0</v>
      </c>
      <c r="I273" s="270">
        <f t="shared" si="28"/>
        <v>14787.32</v>
      </c>
      <c r="J273" s="270">
        <f t="shared" si="28"/>
        <v>14621.82</v>
      </c>
      <c r="K273" s="270">
        <f t="shared" si="28"/>
        <v>0</v>
      </c>
      <c r="L273" s="269">
        <f t="shared" si="28"/>
        <v>0</v>
      </c>
    </row>
    <row r="274" spans="1:12" hidden="1" x14ac:dyDescent="0.25">
      <c r="A274" s="305"/>
      <c r="B274" s="285" t="s">
        <v>490</v>
      </c>
      <c r="C274" s="272"/>
      <c r="D274" s="271" t="s">
        <v>464</v>
      </c>
      <c r="E274" s="271" t="s">
        <v>488</v>
      </c>
      <c r="F274" s="271" t="s">
        <v>489</v>
      </c>
      <c r="G274" s="271"/>
      <c r="H274" s="270">
        <f t="shared" si="28"/>
        <v>0</v>
      </c>
      <c r="I274" s="270">
        <f t="shared" si="28"/>
        <v>14787.32</v>
      </c>
      <c r="J274" s="270">
        <f t="shared" si="28"/>
        <v>14621.82</v>
      </c>
      <c r="K274" s="270">
        <f t="shared" si="28"/>
        <v>0</v>
      </c>
      <c r="L274" s="269">
        <f t="shared" si="28"/>
        <v>0</v>
      </c>
    </row>
    <row r="275" spans="1:12" hidden="1" x14ac:dyDescent="0.25">
      <c r="A275" s="305"/>
      <c r="B275" s="285" t="s">
        <v>351</v>
      </c>
      <c r="C275" s="272"/>
      <c r="D275" s="271" t="s">
        <v>464</v>
      </c>
      <c r="E275" s="271" t="s">
        <v>488</v>
      </c>
      <c r="F275" s="271" t="s">
        <v>487</v>
      </c>
      <c r="G275" s="271"/>
      <c r="H275" s="270">
        <f>H276+H277+H278</f>
        <v>0</v>
      </c>
      <c r="I275" s="270">
        <f>I276+I277+I278</f>
        <v>14787.32</v>
      </c>
      <c r="J275" s="270">
        <f>J276+J277+J278</f>
        <v>14621.82</v>
      </c>
      <c r="K275" s="270">
        <f>K276+K277+K278</f>
        <v>0</v>
      </c>
      <c r="L275" s="269">
        <f>L276+L277+L278</f>
        <v>0</v>
      </c>
    </row>
    <row r="276" spans="1:12" hidden="1" x14ac:dyDescent="0.25">
      <c r="A276" s="273"/>
      <c r="B276" s="284" t="s">
        <v>458</v>
      </c>
      <c r="C276" s="283"/>
      <c r="D276" s="271" t="s">
        <v>464</v>
      </c>
      <c r="E276" s="271" t="s">
        <v>488</v>
      </c>
      <c r="F276" s="271" t="s">
        <v>487</v>
      </c>
      <c r="G276" s="271" t="s">
        <v>255</v>
      </c>
      <c r="H276" s="270"/>
      <c r="I276" s="270">
        <f>9300+368.205</f>
        <v>9668.2049999999999</v>
      </c>
      <c r="J276" s="270">
        <f>9393+408.205</f>
        <v>9801.2049999999999</v>
      </c>
      <c r="K276" s="270"/>
      <c r="L276" s="269"/>
    </row>
    <row r="277" spans="1:12" ht="20" hidden="1" x14ac:dyDescent="0.25">
      <c r="A277" s="273"/>
      <c r="B277" s="284" t="s">
        <v>454</v>
      </c>
      <c r="C277" s="283"/>
      <c r="D277" s="271" t="s">
        <v>464</v>
      </c>
      <c r="E277" s="271" t="s">
        <v>488</v>
      </c>
      <c r="F277" s="271" t="s">
        <v>487</v>
      </c>
      <c r="G277" s="271" t="s">
        <v>1</v>
      </c>
      <c r="H277" s="270"/>
      <c r="I277" s="270">
        <f>2310.57+320+2026.75+461.795</f>
        <v>5119.1149999999998</v>
      </c>
      <c r="J277" s="270">
        <f>2310.57+20+2026.75+463.295</f>
        <v>4820.6149999999998</v>
      </c>
      <c r="K277" s="270"/>
      <c r="L277" s="269"/>
    </row>
    <row r="278" spans="1:12" hidden="1" x14ac:dyDescent="0.25">
      <c r="A278" s="273"/>
      <c r="B278" s="284" t="s">
        <v>457</v>
      </c>
      <c r="C278" s="283"/>
      <c r="D278" s="271" t="s">
        <v>464</v>
      </c>
      <c r="E278" s="271" t="s">
        <v>488</v>
      </c>
      <c r="F278" s="271" t="s">
        <v>487</v>
      </c>
      <c r="G278" s="271" t="s">
        <v>91</v>
      </c>
      <c r="H278" s="270"/>
      <c r="I278" s="270">
        <v>0</v>
      </c>
      <c r="J278" s="270">
        <v>0</v>
      </c>
      <c r="K278" s="270"/>
      <c r="L278" s="269"/>
    </row>
    <row r="279" spans="1:12" x14ac:dyDescent="0.25">
      <c r="A279" s="273"/>
      <c r="B279" s="282" t="s">
        <v>64</v>
      </c>
      <c r="C279" s="279"/>
      <c r="D279" s="278" t="s">
        <v>464</v>
      </c>
      <c r="E279" s="278" t="s">
        <v>463</v>
      </c>
      <c r="F279" s="278" t="s">
        <v>106</v>
      </c>
      <c r="G279" s="278" t="s">
        <v>106</v>
      </c>
      <c r="H279" s="277">
        <f>H280+H297</f>
        <v>400</v>
      </c>
      <c r="I279" s="277">
        <f>I280+I297</f>
        <v>1446.15</v>
      </c>
      <c r="J279" s="277">
        <f>J280+J297</f>
        <v>1400</v>
      </c>
      <c r="K279" s="277">
        <f>K280+K297</f>
        <v>550</v>
      </c>
      <c r="L279" s="276">
        <f>L280+L297</f>
        <v>600</v>
      </c>
    </row>
    <row r="280" spans="1:12" ht="30" x14ac:dyDescent="0.25">
      <c r="A280" s="273"/>
      <c r="B280" s="310" t="s">
        <v>312</v>
      </c>
      <c r="C280" s="272"/>
      <c r="D280" s="271" t="s">
        <v>464</v>
      </c>
      <c r="E280" s="271" t="s">
        <v>463</v>
      </c>
      <c r="F280" s="271" t="s">
        <v>311</v>
      </c>
      <c r="G280" s="271"/>
      <c r="H280" s="270">
        <f>H281+H290</f>
        <v>400</v>
      </c>
      <c r="I280" s="270">
        <f>I281+I290</f>
        <v>1380</v>
      </c>
      <c r="J280" s="270">
        <f>J281+J290</f>
        <v>1400</v>
      </c>
      <c r="K280" s="270">
        <f>K281+K290</f>
        <v>550</v>
      </c>
      <c r="L280" s="269">
        <f>L281+L290</f>
        <v>600</v>
      </c>
    </row>
    <row r="281" spans="1:12" ht="20" hidden="1" x14ac:dyDescent="0.25">
      <c r="A281" s="273"/>
      <c r="B281" s="285" t="s">
        <v>486</v>
      </c>
      <c r="C281" s="272"/>
      <c r="D281" s="271" t="s">
        <v>464</v>
      </c>
      <c r="E281" s="271" t="s">
        <v>463</v>
      </c>
      <c r="F281" s="271" t="s">
        <v>485</v>
      </c>
      <c r="G281" s="278"/>
      <c r="H281" s="270">
        <f>H282+H285</f>
        <v>0</v>
      </c>
      <c r="I281" s="270">
        <f>I282+I285</f>
        <v>0</v>
      </c>
      <c r="J281" s="270">
        <f>J282+J285</f>
        <v>0</v>
      </c>
      <c r="K281" s="270">
        <f>K282+K285</f>
        <v>0</v>
      </c>
      <c r="L281" s="269">
        <f>L282+L285</f>
        <v>0</v>
      </c>
    </row>
    <row r="282" spans="1:12" ht="20" hidden="1" x14ac:dyDescent="0.25">
      <c r="A282" s="273"/>
      <c r="B282" s="285" t="s">
        <v>484</v>
      </c>
      <c r="C282" s="272"/>
      <c r="D282" s="271" t="s">
        <v>464</v>
      </c>
      <c r="E282" s="271" t="s">
        <v>463</v>
      </c>
      <c r="F282" s="271" t="s">
        <v>483</v>
      </c>
      <c r="G282" s="278"/>
      <c r="H282" s="270">
        <f t="shared" ref="H282:L283" si="29">H283</f>
        <v>0</v>
      </c>
      <c r="I282" s="270">
        <f t="shared" si="29"/>
        <v>0</v>
      </c>
      <c r="J282" s="270">
        <f t="shared" si="29"/>
        <v>0</v>
      </c>
      <c r="K282" s="270">
        <f t="shared" si="29"/>
        <v>0</v>
      </c>
      <c r="L282" s="269">
        <f t="shared" si="29"/>
        <v>0</v>
      </c>
    </row>
    <row r="283" spans="1:12" ht="20" hidden="1" x14ac:dyDescent="0.25">
      <c r="A283" s="273"/>
      <c r="B283" s="285" t="s">
        <v>482</v>
      </c>
      <c r="C283" s="272"/>
      <c r="D283" s="271" t="s">
        <v>464</v>
      </c>
      <c r="E283" s="271" t="s">
        <v>463</v>
      </c>
      <c r="F283" s="271" t="s">
        <v>480</v>
      </c>
      <c r="G283" s="271"/>
      <c r="H283" s="270">
        <f t="shared" si="29"/>
        <v>0</v>
      </c>
      <c r="I283" s="270">
        <f t="shared" si="29"/>
        <v>0</v>
      </c>
      <c r="J283" s="270">
        <f t="shared" si="29"/>
        <v>0</v>
      </c>
      <c r="K283" s="270">
        <f t="shared" si="29"/>
        <v>0</v>
      </c>
      <c r="L283" s="269">
        <f t="shared" si="29"/>
        <v>0</v>
      </c>
    </row>
    <row r="284" spans="1:12" hidden="1" x14ac:dyDescent="0.25">
      <c r="A284" s="273"/>
      <c r="B284" s="284" t="s">
        <v>481</v>
      </c>
      <c r="C284" s="283"/>
      <c r="D284" s="271" t="s">
        <v>464</v>
      </c>
      <c r="E284" s="271" t="s">
        <v>463</v>
      </c>
      <c r="F284" s="271" t="s">
        <v>480</v>
      </c>
      <c r="G284" s="271" t="s">
        <v>26</v>
      </c>
      <c r="H284" s="270">
        <v>0</v>
      </c>
      <c r="I284" s="270">
        <v>0</v>
      </c>
      <c r="J284" s="270">
        <v>0</v>
      </c>
      <c r="K284" s="270">
        <v>0</v>
      </c>
      <c r="L284" s="269">
        <v>0</v>
      </c>
    </row>
    <row r="285" spans="1:12" ht="20" hidden="1" x14ac:dyDescent="0.25">
      <c r="A285" s="273"/>
      <c r="B285" s="285" t="s">
        <v>479</v>
      </c>
      <c r="C285" s="272"/>
      <c r="D285" s="271" t="s">
        <v>464</v>
      </c>
      <c r="E285" s="271" t="s">
        <v>463</v>
      </c>
      <c r="F285" s="271" t="s">
        <v>478</v>
      </c>
      <c r="G285" s="278"/>
      <c r="H285" s="270">
        <f>H286+H288</f>
        <v>0</v>
      </c>
      <c r="I285" s="270">
        <f>I286+I288</f>
        <v>0</v>
      </c>
      <c r="J285" s="270">
        <f>J286+J288</f>
        <v>0</v>
      </c>
      <c r="K285" s="270">
        <f>K286+K288</f>
        <v>0</v>
      </c>
      <c r="L285" s="269">
        <f>L286+L288</f>
        <v>0</v>
      </c>
    </row>
    <row r="286" spans="1:12" hidden="1" x14ac:dyDescent="0.25">
      <c r="A286" s="273"/>
      <c r="B286" s="285" t="s">
        <v>477</v>
      </c>
      <c r="C286" s="272"/>
      <c r="D286" s="271" t="s">
        <v>464</v>
      </c>
      <c r="E286" s="271" t="s">
        <v>463</v>
      </c>
      <c r="F286" s="271" t="s">
        <v>476</v>
      </c>
      <c r="G286" s="271"/>
      <c r="H286" s="270">
        <f>H287</f>
        <v>0</v>
      </c>
      <c r="I286" s="270">
        <f>I287</f>
        <v>0</v>
      </c>
      <c r="J286" s="270">
        <f>J287</f>
        <v>0</v>
      </c>
      <c r="K286" s="270">
        <f>K287</f>
        <v>0</v>
      </c>
      <c r="L286" s="269">
        <f>L287</f>
        <v>0</v>
      </c>
    </row>
    <row r="287" spans="1:12" ht="20" hidden="1" x14ac:dyDescent="0.25">
      <c r="A287" s="273"/>
      <c r="B287" s="284" t="s">
        <v>454</v>
      </c>
      <c r="C287" s="283"/>
      <c r="D287" s="271" t="s">
        <v>464</v>
      </c>
      <c r="E287" s="271" t="s">
        <v>463</v>
      </c>
      <c r="F287" s="271" t="s">
        <v>476</v>
      </c>
      <c r="G287" s="271" t="s">
        <v>1</v>
      </c>
      <c r="H287" s="270"/>
      <c r="I287" s="270">
        <v>0</v>
      </c>
      <c r="J287" s="270">
        <v>0</v>
      </c>
      <c r="K287" s="270"/>
      <c r="L287" s="269"/>
    </row>
    <row r="288" spans="1:12" hidden="1" x14ac:dyDescent="0.25">
      <c r="A288" s="273"/>
      <c r="B288" s="285" t="s">
        <v>475</v>
      </c>
      <c r="C288" s="272"/>
      <c r="D288" s="271" t="s">
        <v>464</v>
      </c>
      <c r="E288" s="271" t="s">
        <v>463</v>
      </c>
      <c r="F288" s="271" t="s">
        <v>474</v>
      </c>
      <c r="G288" s="271"/>
      <c r="H288" s="270">
        <f>H289</f>
        <v>0</v>
      </c>
      <c r="I288" s="270">
        <f>I289</f>
        <v>0</v>
      </c>
      <c r="J288" s="270">
        <f>J289</f>
        <v>0</v>
      </c>
      <c r="K288" s="270">
        <f>K289</f>
        <v>0</v>
      </c>
      <c r="L288" s="269">
        <f>L289</f>
        <v>0</v>
      </c>
    </row>
    <row r="289" spans="1:12" ht="20" hidden="1" x14ac:dyDescent="0.25">
      <c r="A289" s="273"/>
      <c r="B289" s="284" t="s">
        <v>454</v>
      </c>
      <c r="C289" s="283"/>
      <c r="D289" s="271" t="s">
        <v>464</v>
      </c>
      <c r="E289" s="271" t="s">
        <v>463</v>
      </c>
      <c r="F289" s="271" t="s">
        <v>474</v>
      </c>
      <c r="G289" s="271" t="s">
        <v>1</v>
      </c>
      <c r="H289" s="270">
        <v>0</v>
      </c>
      <c r="I289" s="270">
        <v>0</v>
      </c>
      <c r="J289" s="270">
        <v>0</v>
      </c>
      <c r="K289" s="270">
        <v>0</v>
      </c>
      <c r="L289" s="269">
        <v>0</v>
      </c>
    </row>
    <row r="290" spans="1:12" ht="30" x14ac:dyDescent="0.25">
      <c r="A290" s="273"/>
      <c r="B290" s="275" t="s">
        <v>300</v>
      </c>
      <c r="C290" s="272"/>
      <c r="D290" s="271" t="s">
        <v>464</v>
      </c>
      <c r="E290" s="271" t="s">
        <v>463</v>
      </c>
      <c r="F290" s="271" t="s">
        <v>299</v>
      </c>
      <c r="G290" s="271"/>
      <c r="H290" s="270">
        <f>H291+H294</f>
        <v>400</v>
      </c>
      <c r="I290" s="270">
        <f>I291+I294</f>
        <v>1380</v>
      </c>
      <c r="J290" s="270">
        <f>J291+J294</f>
        <v>1400</v>
      </c>
      <c r="K290" s="270">
        <f>K291+K294</f>
        <v>550</v>
      </c>
      <c r="L290" s="269">
        <f>L291+L294</f>
        <v>600</v>
      </c>
    </row>
    <row r="291" spans="1:12" ht="20" x14ac:dyDescent="0.25">
      <c r="A291" s="273"/>
      <c r="B291" s="306" t="s">
        <v>298</v>
      </c>
      <c r="C291" s="272"/>
      <c r="D291" s="271" t="s">
        <v>464</v>
      </c>
      <c r="E291" s="271" t="s">
        <v>463</v>
      </c>
      <c r="F291" s="271" t="s">
        <v>297</v>
      </c>
      <c r="G291" s="271"/>
      <c r="H291" s="270">
        <f t="shared" ref="H291:L292" si="30">H292</f>
        <v>400</v>
      </c>
      <c r="I291" s="270">
        <f t="shared" si="30"/>
        <v>1041.8699999999999</v>
      </c>
      <c r="J291" s="270">
        <f t="shared" si="30"/>
        <v>1055.1100000000001</v>
      </c>
      <c r="K291" s="270">
        <f t="shared" si="30"/>
        <v>550</v>
      </c>
      <c r="L291" s="269">
        <f t="shared" si="30"/>
        <v>600</v>
      </c>
    </row>
    <row r="292" spans="1:12" ht="20" x14ac:dyDescent="0.25">
      <c r="A292" s="305"/>
      <c r="B292" s="275" t="s">
        <v>296</v>
      </c>
      <c r="C292" s="272"/>
      <c r="D292" s="271" t="s">
        <v>464</v>
      </c>
      <c r="E292" s="271" t="s">
        <v>463</v>
      </c>
      <c r="F292" s="271" t="s">
        <v>294</v>
      </c>
      <c r="G292" s="271"/>
      <c r="H292" s="270">
        <f t="shared" si="30"/>
        <v>400</v>
      </c>
      <c r="I292" s="270">
        <f t="shared" si="30"/>
        <v>1041.8699999999999</v>
      </c>
      <c r="J292" s="270">
        <f t="shared" si="30"/>
        <v>1055.1100000000001</v>
      </c>
      <c r="K292" s="270">
        <f t="shared" si="30"/>
        <v>550</v>
      </c>
      <c r="L292" s="269">
        <f t="shared" si="30"/>
        <v>600</v>
      </c>
    </row>
    <row r="293" spans="1:12" ht="20.5" thickBot="1" x14ac:dyDescent="0.3">
      <c r="A293" s="778"/>
      <c r="B293" s="267" t="s">
        <v>454</v>
      </c>
      <c r="C293" s="266"/>
      <c r="D293" s="265" t="s">
        <v>464</v>
      </c>
      <c r="E293" s="265" t="s">
        <v>463</v>
      </c>
      <c r="F293" s="265" t="s">
        <v>294</v>
      </c>
      <c r="G293" s="265" t="s">
        <v>1</v>
      </c>
      <c r="H293" s="264">
        <v>400</v>
      </c>
      <c r="I293" s="779">
        <f>671.37+10.5+10+350</f>
        <v>1041.8699999999999</v>
      </c>
      <c r="J293" s="779">
        <f>685.63+10.5+10+350-1.02</f>
        <v>1055.1100000000001</v>
      </c>
      <c r="K293" s="264">
        <v>550</v>
      </c>
      <c r="L293" s="407">
        <v>600</v>
      </c>
    </row>
    <row r="294" spans="1:12" ht="20" hidden="1" x14ac:dyDescent="0.25">
      <c r="A294" s="291"/>
      <c r="B294" s="776" t="s">
        <v>473</v>
      </c>
      <c r="C294" s="777"/>
      <c r="D294" s="773" t="s">
        <v>464</v>
      </c>
      <c r="E294" s="773" t="s">
        <v>463</v>
      </c>
      <c r="F294" s="773" t="s">
        <v>472</v>
      </c>
      <c r="G294" s="773"/>
      <c r="H294" s="774">
        <f t="shared" ref="H294:L295" si="31">H295</f>
        <v>0</v>
      </c>
      <c r="I294" s="774">
        <f t="shared" si="31"/>
        <v>338.13</v>
      </c>
      <c r="J294" s="774">
        <f t="shared" si="31"/>
        <v>344.89</v>
      </c>
      <c r="K294" s="774">
        <f t="shared" si="31"/>
        <v>0</v>
      </c>
      <c r="L294" s="775">
        <f t="shared" si="31"/>
        <v>0</v>
      </c>
    </row>
    <row r="295" spans="1:12" ht="20" hidden="1" x14ac:dyDescent="0.25">
      <c r="A295" s="305"/>
      <c r="B295" s="285" t="s">
        <v>471</v>
      </c>
      <c r="C295" s="272"/>
      <c r="D295" s="271" t="s">
        <v>464</v>
      </c>
      <c r="E295" s="271" t="s">
        <v>463</v>
      </c>
      <c r="F295" s="271" t="s">
        <v>470</v>
      </c>
      <c r="G295" s="271"/>
      <c r="H295" s="270">
        <f t="shared" si="31"/>
        <v>0</v>
      </c>
      <c r="I295" s="270">
        <f t="shared" si="31"/>
        <v>338.13</v>
      </c>
      <c r="J295" s="270">
        <f t="shared" si="31"/>
        <v>344.89</v>
      </c>
      <c r="K295" s="270">
        <f t="shared" si="31"/>
        <v>0</v>
      </c>
      <c r="L295" s="269">
        <f t="shared" si="31"/>
        <v>0</v>
      </c>
    </row>
    <row r="296" spans="1:12" ht="20" hidden="1" x14ac:dyDescent="0.25">
      <c r="A296" s="305"/>
      <c r="B296" s="284" t="s">
        <v>454</v>
      </c>
      <c r="C296" s="283"/>
      <c r="D296" s="271" t="s">
        <v>464</v>
      </c>
      <c r="E296" s="271" t="s">
        <v>463</v>
      </c>
      <c r="F296" s="271" t="s">
        <v>470</v>
      </c>
      <c r="G296" s="271" t="s">
        <v>1</v>
      </c>
      <c r="H296" s="270"/>
      <c r="I296" s="270">
        <v>338.13</v>
      </c>
      <c r="J296" s="270">
        <v>344.89</v>
      </c>
      <c r="K296" s="270"/>
      <c r="L296" s="269"/>
    </row>
    <row r="297" spans="1:12" ht="21" hidden="1" x14ac:dyDescent="0.25">
      <c r="A297" s="273"/>
      <c r="B297" s="282" t="s">
        <v>469</v>
      </c>
      <c r="C297" s="279"/>
      <c r="D297" s="278" t="s">
        <v>464</v>
      </c>
      <c r="E297" s="278" t="s">
        <v>463</v>
      </c>
      <c r="F297" s="278" t="s">
        <v>468</v>
      </c>
      <c r="G297" s="278"/>
      <c r="H297" s="277">
        <f t="shared" ref="H297:L299" si="32">H298</f>
        <v>0</v>
      </c>
      <c r="I297" s="277">
        <f t="shared" si="32"/>
        <v>66.150000000000006</v>
      </c>
      <c r="J297" s="277">
        <f t="shared" si="32"/>
        <v>0</v>
      </c>
      <c r="K297" s="277">
        <f t="shared" si="32"/>
        <v>0</v>
      </c>
      <c r="L297" s="276">
        <f t="shared" si="32"/>
        <v>0</v>
      </c>
    </row>
    <row r="298" spans="1:12" hidden="1" x14ac:dyDescent="0.25">
      <c r="A298" s="273"/>
      <c r="B298" s="285" t="s">
        <v>467</v>
      </c>
      <c r="C298" s="272"/>
      <c r="D298" s="271" t="s">
        <v>464</v>
      </c>
      <c r="E298" s="271" t="s">
        <v>463</v>
      </c>
      <c r="F298" s="271" t="s">
        <v>466</v>
      </c>
      <c r="G298" s="271"/>
      <c r="H298" s="270">
        <f t="shared" si="32"/>
        <v>0</v>
      </c>
      <c r="I298" s="270">
        <f t="shared" si="32"/>
        <v>66.150000000000006</v>
      </c>
      <c r="J298" s="270">
        <f t="shared" si="32"/>
        <v>0</v>
      </c>
      <c r="K298" s="270">
        <f t="shared" si="32"/>
        <v>0</v>
      </c>
      <c r="L298" s="269">
        <f t="shared" si="32"/>
        <v>0</v>
      </c>
    </row>
    <row r="299" spans="1:12" hidden="1" x14ac:dyDescent="0.25">
      <c r="A299" s="305"/>
      <c r="B299" s="285" t="s">
        <v>465</v>
      </c>
      <c r="C299" s="272"/>
      <c r="D299" s="271" t="s">
        <v>464</v>
      </c>
      <c r="E299" s="271" t="s">
        <v>463</v>
      </c>
      <c r="F299" s="271" t="s">
        <v>462</v>
      </c>
      <c r="G299" s="271"/>
      <c r="H299" s="270">
        <f t="shared" si="32"/>
        <v>0</v>
      </c>
      <c r="I299" s="270">
        <f t="shared" si="32"/>
        <v>66.150000000000006</v>
      </c>
      <c r="J299" s="270">
        <f t="shared" si="32"/>
        <v>0</v>
      </c>
      <c r="K299" s="270">
        <f t="shared" si="32"/>
        <v>0</v>
      </c>
      <c r="L299" s="269">
        <f t="shared" si="32"/>
        <v>0</v>
      </c>
    </row>
    <row r="300" spans="1:12" ht="20.5" hidden="1" thickBot="1" x14ac:dyDescent="0.3">
      <c r="A300" s="304"/>
      <c r="B300" s="303" t="s">
        <v>454</v>
      </c>
      <c r="C300" s="302"/>
      <c r="D300" s="301" t="s">
        <v>464</v>
      </c>
      <c r="E300" s="301" t="s">
        <v>463</v>
      </c>
      <c r="F300" s="301" t="s">
        <v>462</v>
      </c>
      <c r="G300" s="301" t="s">
        <v>1</v>
      </c>
      <c r="H300" s="300"/>
      <c r="I300" s="300">
        <v>66.150000000000006</v>
      </c>
      <c r="J300" s="300">
        <v>0</v>
      </c>
      <c r="K300" s="300"/>
      <c r="L300" s="299"/>
    </row>
    <row r="301" spans="1:12" ht="13" hidden="1" thickBot="1" x14ac:dyDescent="0.3">
      <c r="A301" s="298">
        <v>3</v>
      </c>
      <c r="B301" s="297" t="s">
        <v>461</v>
      </c>
      <c r="C301" s="296" t="s">
        <v>430</v>
      </c>
      <c r="D301" s="295"/>
      <c r="E301" s="295"/>
      <c r="F301" s="295"/>
      <c r="G301" s="295"/>
      <c r="H301" s="293">
        <f>H302</f>
        <v>8198.5</v>
      </c>
      <c r="I301" s="294"/>
      <c r="J301" s="294"/>
      <c r="K301" s="293">
        <f>K302</f>
        <v>8263</v>
      </c>
      <c r="L301" s="292">
        <f>L302</f>
        <v>8252</v>
      </c>
    </row>
    <row r="302" spans="1:12" hidden="1" x14ac:dyDescent="0.25">
      <c r="A302" s="291"/>
      <c r="B302" s="290" t="s">
        <v>460</v>
      </c>
      <c r="C302" s="289"/>
      <c r="D302" s="288" t="s">
        <v>453</v>
      </c>
      <c r="E302" s="288" t="s">
        <v>459</v>
      </c>
      <c r="F302" s="288"/>
      <c r="G302" s="288"/>
      <c r="H302" s="287">
        <f>H303+H311</f>
        <v>8198.5</v>
      </c>
      <c r="I302" s="287">
        <f>I303+I311</f>
        <v>36399.550000000003</v>
      </c>
      <c r="J302" s="287">
        <f>J303+J311</f>
        <v>36787.500000000007</v>
      </c>
      <c r="K302" s="287">
        <f>K303+K311</f>
        <v>8263</v>
      </c>
      <c r="L302" s="286">
        <f>L303+L311</f>
        <v>8252</v>
      </c>
    </row>
    <row r="303" spans="1:12" hidden="1" x14ac:dyDescent="0.25">
      <c r="A303" s="273"/>
      <c r="B303" s="282" t="s">
        <v>87</v>
      </c>
      <c r="C303" s="279"/>
      <c r="D303" s="278" t="s">
        <v>453</v>
      </c>
      <c r="E303" s="278" t="s">
        <v>456</v>
      </c>
      <c r="F303" s="278"/>
      <c r="G303" s="278"/>
      <c r="H303" s="277">
        <f t="shared" ref="H303:L306" si="33">H304</f>
        <v>6960</v>
      </c>
      <c r="I303" s="277">
        <f t="shared" si="33"/>
        <v>34899.550000000003</v>
      </c>
      <c r="J303" s="277">
        <f t="shared" si="33"/>
        <v>35187.500000000007</v>
      </c>
      <c r="K303" s="277">
        <f t="shared" si="33"/>
        <v>6915</v>
      </c>
      <c r="L303" s="276">
        <f t="shared" si="33"/>
        <v>6858</v>
      </c>
    </row>
    <row r="304" spans="1:12" ht="31.5" hidden="1" x14ac:dyDescent="0.25">
      <c r="A304" s="281"/>
      <c r="B304" s="280" t="s">
        <v>455</v>
      </c>
      <c r="C304" s="279"/>
      <c r="D304" s="278" t="s">
        <v>453</v>
      </c>
      <c r="E304" s="278" t="s">
        <v>456</v>
      </c>
      <c r="F304" s="278" t="s">
        <v>273</v>
      </c>
      <c r="G304" s="278"/>
      <c r="H304" s="277">
        <f t="shared" si="33"/>
        <v>6960</v>
      </c>
      <c r="I304" s="277">
        <f t="shared" si="33"/>
        <v>34899.550000000003</v>
      </c>
      <c r="J304" s="277">
        <f t="shared" si="33"/>
        <v>35187.500000000007</v>
      </c>
      <c r="K304" s="277">
        <f t="shared" si="33"/>
        <v>6915</v>
      </c>
      <c r="L304" s="276">
        <f t="shared" si="33"/>
        <v>6858</v>
      </c>
    </row>
    <row r="305" spans="1:12" ht="30" hidden="1" x14ac:dyDescent="0.25">
      <c r="A305" s="281"/>
      <c r="B305" s="275" t="s">
        <v>261</v>
      </c>
      <c r="C305" s="272"/>
      <c r="D305" s="271" t="s">
        <v>453</v>
      </c>
      <c r="E305" s="271" t="s">
        <v>456</v>
      </c>
      <c r="F305" s="271" t="s">
        <v>260</v>
      </c>
      <c r="G305" s="271"/>
      <c r="H305" s="270">
        <f t="shared" si="33"/>
        <v>6960</v>
      </c>
      <c r="I305" s="270">
        <f t="shared" si="33"/>
        <v>34899.550000000003</v>
      </c>
      <c r="J305" s="270">
        <f t="shared" si="33"/>
        <v>35187.500000000007</v>
      </c>
      <c r="K305" s="270">
        <f t="shared" si="33"/>
        <v>6915</v>
      </c>
      <c r="L305" s="269">
        <f t="shared" si="33"/>
        <v>6858</v>
      </c>
    </row>
    <row r="306" spans="1:12" ht="25.5" hidden="1" customHeight="1" x14ac:dyDescent="0.25">
      <c r="A306" s="281"/>
      <c r="B306" s="274" t="s">
        <v>259</v>
      </c>
      <c r="C306" s="272"/>
      <c r="D306" s="271" t="s">
        <v>453</v>
      </c>
      <c r="E306" s="271" t="s">
        <v>456</v>
      </c>
      <c r="F306" s="271" t="s">
        <v>258</v>
      </c>
      <c r="G306" s="271"/>
      <c r="H306" s="270">
        <f t="shared" si="33"/>
        <v>6960</v>
      </c>
      <c r="I306" s="270">
        <f t="shared" si="33"/>
        <v>34899.550000000003</v>
      </c>
      <c r="J306" s="270">
        <f t="shared" si="33"/>
        <v>35187.500000000007</v>
      </c>
      <c r="K306" s="270">
        <f t="shared" si="33"/>
        <v>6915</v>
      </c>
      <c r="L306" s="269">
        <f t="shared" si="33"/>
        <v>6858</v>
      </c>
    </row>
    <row r="307" spans="1:12" ht="20.25" hidden="1" customHeight="1" x14ac:dyDescent="0.25">
      <c r="A307" s="281"/>
      <c r="B307" s="285" t="s">
        <v>351</v>
      </c>
      <c r="C307" s="272"/>
      <c r="D307" s="271" t="s">
        <v>453</v>
      </c>
      <c r="E307" s="271" t="s">
        <v>456</v>
      </c>
      <c r="F307" s="271" t="s">
        <v>254</v>
      </c>
      <c r="G307" s="271"/>
      <c r="H307" s="270">
        <f>H308+H309+H310</f>
        <v>6960</v>
      </c>
      <c r="I307" s="270">
        <f>I308+I309+I310</f>
        <v>34899.550000000003</v>
      </c>
      <c r="J307" s="270">
        <f>J308+J309+J310</f>
        <v>35187.500000000007</v>
      </c>
      <c r="K307" s="270">
        <f>K308+K309+K310</f>
        <v>6915</v>
      </c>
      <c r="L307" s="269">
        <f>L308+L309+L310</f>
        <v>6858</v>
      </c>
    </row>
    <row r="308" spans="1:12" ht="23.25" hidden="1" customHeight="1" x14ac:dyDescent="0.25">
      <c r="A308" s="273"/>
      <c r="B308" s="284" t="s">
        <v>458</v>
      </c>
      <c r="C308" s="283"/>
      <c r="D308" s="271" t="s">
        <v>453</v>
      </c>
      <c r="E308" s="271" t="s">
        <v>456</v>
      </c>
      <c r="F308" s="271" t="s">
        <v>254</v>
      </c>
      <c r="G308" s="271" t="s">
        <v>255</v>
      </c>
      <c r="H308" s="270">
        <v>4510.8630000000003</v>
      </c>
      <c r="I308" s="270">
        <f>14110.32+7665.25+6074.84+8018.08-78.59-56.38-180.11-693.76</f>
        <v>34859.65</v>
      </c>
      <c r="J308" s="270">
        <f>14110.32+8044.5+6074.84+8017.78-78.59-56.38-180.11-786.76</f>
        <v>35145.600000000006</v>
      </c>
      <c r="K308" s="270">
        <v>4781.5150000000003</v>
      </c>
      <c r="L308" s="269">
        <v>5068.4070000000002</v>
      </c>
    </row>
    <row r="309" spans="1:12" ht="20" hidden="1" x14ac:dyDescent="0.25">
      <c r="A309" s="273"/>
      <c r="B309" s="284" t="s">
        <v>454</v>
      </c>
      <c r="C309" s="283"/>
      <c r="D309" s="271" t="s">
        <v>453</v>
      </c>
      <c r="E309" s="271" t="s">
        <v>456</v>
      </c>
      <c r="F309" s="271" t="s">
        <v>254</v>
      </c>
      <c r="G309" s="271" t="s">
        <v>1</v>
      </c>
      <c r="H309" s="270">
        <v>2448.424</v>
      </c>
      <c r="I309" s="270"/>
      <c r="J309" s="270"/>
      <c r="K309" s="270">
        <v>2132.4850000000001</v>
      </c>
      <c r="L309" s="269">
        <v>1788.5930000000001</v>
      </c>
    </row>
    <row r="310" spans="1:12" ht="23.25" hidden="1" customHeight="1" x14ac:dyDescent="0.25">
      <c r="A310" s="273"/>
      <c r="B310" s="284" t="s">
        <v>457</v>
      </c>
      <c r="C310" s="283"/>
      <c r="D310" s="271" t="s">
        <v>453</v>
      </c>
      <c r="E310" s="271" t="s">
        <v>456</v>
      </c>
      <c r="F310" s="271" t="s">
        <v>254</v>
      </c>
      <c r="G310" s="271" t="s">
        <v>91</v>
      </c>
      <c r="H310" s="270">
        <v>0.71299999999999997</v>
      </c>
      <c r="I310" s="270">
        <v>39.9</v>
      </c>
      <c r="J310" s="270">
        <v>41.9</v>
      </c>
      <c r="K310" s="270">
        <v>1</v>
      </c>
      <c r="L310" s="269">
        <v>1</v>
      </c>
    </row>
    <row r="311" spans="1:12" hidden="1" x14ac:dyDescent="0.25">
      <c r="A311" s="281"/>
      <c r="B311" s="282" t="s">
        <v>244</v>
      </c>
      <c r="C311" s="279"/>
      <c r="D311" s="278" t="s">
        <v>453</v>
      </c>
      <c r="E311" s="278" t="s">
        <v>452</v>
      </c>
      <c r="F311" s="278"/>
      <c r="G311" s="278"/>
      <c r="H311" s="277">
        <f t="shared" ref="H311:L312" si="34">H312</f>
        <v>1238.5</v>
      </c>
      <c r="I311" s="277">
        <f t="shared" si="34"/>
        <v>1500</v>
      </c>
      <c r="J311" s="277">
        <f t="shared" si="34"/>
        <v>1600</v>
      </c>
      <c r="K311" s="277">
        <f t="shared" si="34"/>
        <v>1348</v>
      </c>
      <c r="L311" s="276">
        <f t="shared" si="34"/>
        <v>1394</v>
      </c>
    </row>
    <row r="312" spans="1:12" ht="31.5" hidden="1" x14ac:dyDescent="0.25">
      <c r="A312" s="281"/>
      <c r="B312" s="280" t="s">
        <v>455</v>
      </c>
      <c r="C312" s="279"/>
      <c r="D312" s="278" t="s">
        <v>453</v>
      </c>
      <c r="E312" s="278" t="s">
        <v>452</v>
      </c>
      <c r="F312" s="278" t="s">
        <v>273</v>
      </c>
      <c r="G312" s="278"/>
      <c r="H312" s="277">
        <f t="shared" si="34"/>
        <v>1238.5</v>
      </c>
      <c r="I312" s="277">
        <f t="shared" si="34"/>
        <v>1500</v>
      </c>
      <c r="J312" s="277">
        <f t="shared" si="34"/>
        <v>1600</v>
      </c>
      <c r="K312" s="277">
        <f t="shared" si="34"/>
        <v>1348</v>
      </c>
      <c r="L312" s="276">
        <f t="shared" si="34"/>
        <v>1394</v>
      </c>
    </row>
    <row r="313" spans="1:12" hidden="1" x14ac:dyDescent="0.25">
      <c r="A313" s="273"/>
      <c r="B313" s="275" t="s">
        <v>836</v>
      </c>
      <c r="C313" s="272"/>
      <c r="D313" s="271" t="s">
        <v>453</v>
      </c>
      <c r="E313" s="271" t="s">
        <v>452</v>
      </c>
      <c r="F313" s="271" t="s">
        <v>251</v>
      </c>
      <c r="G313" s="271"/>
      <c r="H313" s="270">
        <f>H314+H317</f>
        <v>1238.5</v>
      </c>
      <c r="I313" s="270">
        <f>I314+I317</f>
        <v>1500</v>
      </c>
      <c r="J313" s="270">
        <f>J314+J317</f>
        <v>1600</v>
      </c>
      <c r="K313" s="270">
        <f>K314+K317</f>
        <v>1348</v>
      </c>
      <c r="L313" s="269">
        <f>L314+L317</f>
        <v>1394</v>
      </c>
    </row>
    <row r="314" spans="1:12" ht="24.75" hidden="1" customHeight="1" x14ac:dyDescent="0.25">
      <c r="A314" s="273"/>
      <c r="B314" s="274" t="s">
        <v>250</v>
      </c>
      <c r="C314" s="272"/>
      <c r="D314" s="271" t="s">
        <v>453</v>
      </c>
      <c r="E314" s="271" t="s">
        <v>452</v>
      </c>
      <c r="F314" s="271" t="s">
        <v>249</v>
      </c>
      <c r="G314" s="271"/>
      <c r="H314" s="270">
        <f t="shared" ref="H314:L315" si="35">H315</f>
        <v>1238.5</v>
      </c>
      <c r="I314" s="270">
        <f t="shared" si="35"/>
        <v>1500</v>
      </c>
      <c r="J314" s="270">
        <f t="shared" si="35"/>
        <v>1600</v>
      </c>
      <c r="K314" s="270">
        <f t="shared" si="35"/>
        <v>1348</v>
      </c>
      <c r="L314" s="269">
        <f t="shared" si="35"/>
        <v>1394</v>
      </c>
    </row>
    <row r="315" spans="1:12" ht="13" hidden="1" x14ac:dyDescent="0.25">
      <c r="A315" s="273"/>
      <c r="B315" s="49" t="s">
        <v>248</v>
      </c>
      <c r="C315" s="272"/>
      <c r="D315" s="271" t="s">
        <v>453</v>
      </c>
      <c r="E315" s="271" t="s">
        <v>452</v>
      </c>
      <c r="F315" s="271" t="s">
        <v>243</v>
      </c>
      <c r="G315" s="271"/>
      <c r="H315" s="270">
        <f t="shared" si="35"/>
        <v>1238.5</v>
      </c>
      <c r="I315" s="270">
        <f t="shared" si="35"/>
        <v>1500</v>
      </c>
      <c r="J315" s="270">
        <f t="shared" si="35"/>
        <v>1600</v>
      </c>
      <c r="K315" s="270">
        <f t="shared" si="35"/>
        <v>1348</v>
      </c>
      <c r="L315" s="269">
        <f t="shared" si="35"/>
        <v>1394</v>
      </c>
    </row>
    <row r="316" spans="1:12" ht="20.5" hidden="1" thickBot="1" x14ac:dyDescent="0.3">
      <c r="A316" s="268"/>
      <c r="B316" s="267" t="s">
        <v>454</v>
      </c>
      <c r="C316" s="266"/>
      <c r="D316" s="265" t="s">
        <v>453</v>
      </c>
      <c r="E316" s="265" t="s">
        <v>452</v>
      </c>
      <c r="F316" s="265" t="s">
        <v>243</v>
      </c>
      <c r="G316" s="265" t="s">
        <v>1</v>
      </c>
      <c r="H316" s="264">
        <v>1238.5</v>
      </c>
      <c r="I316" s="264">
        <v>1500</v>
      </c>
      <c r="J316" s="264">
        <v>1600</v>
      </c>
      <c r="K316" s="264">
        <v>1348</v>
      </c>
      <c r="L316" s="407">
        <v>1394</v>
      </c>
    </row>
    <row r="317" spans="1:12" hidden="1" x14ac:dyDescent="0.25"/>
  </sheetData>
  <mergeCells count="5">
    <mergeCell ref="D3:L3"/>
    <mergeCell ref="B12:H12"/>
    <mergeCell ref="A13:L13"/>
    <mergeCell ref="A14:L14"/>
    <mergeCell ref="A15:L15"/>
  </mergeCells>
  <pageMargins left="0.59055118110236227" right="0.23622047244094491" top="0.31496062992125984" bottom="0.31496062992125984" header="0.31496062992125984" footer="0.31496062992125984"/>
  <pageSetup scale="59" firstPageNumber="55" fitToHeight="3" orientation="portrait" useFirstPageNumber="1" r:id="rId1"/>
  <headerFooter alignWithMargins="0"/>
  <colBreaks count="1" manualBreakCount="1">
    <brk id="12" max="314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442"/>
  <sheetViews>
    <sheetView zoomScale="70" zoomScaleNormal="70" zoomScaleSheetLayoutView="86" workbookViewId="0">
      <selection activeCell="U1" sqref="H1:U5"/>
    </sheetView>
  </sheetViews>
  <sheetFormatPr defaultColWidth="9.1796875" defaultRowHeight="12.5" x14ac:dyDescent="0.25"/>
  <cols>
    <col min="1" max="1" width="5.26953125" style="1" customWidth="1"/>
    <col min="2" max="2" width="62.453125" style="6" customWidth="1"/>
    <col min="3" max="3" width="10" style="5" customWidth="1"/>
    <col min="4" max="4" width="9.26953125" style="4" customWidth="1"/>
    <col min="5" max="5" width="10.453125" style="4" customWidth="1"/>
    <col min="6" max="6" width="11.54296875" style="4" customWidth="1"/>
    <col min="7" max="7" width="10.26953125" style="4" customWidth="1"/>
    <col min="8" max="8" width="14.7265625" style="1297" customWidth="1"/>
    <col min="9" max="9" width="18.7265625" style="1297" hidden="1" customWidth="1"/>
    <col min="10" max="10" width="15.7265625" style="237" hidden="1" customWidth="1"/>
    <col min="11" max="11" width="11.1796875" style="237" hidden="1" customWidth="1"/>
    <col min="12" max="12" width="14.7265625" style="237" hidden="1" customWidth="1"/>
    <col min="13" max="13" width="13.1796875" style="237" hidden="1" customWidth="1"/>
    <col min="14" max="14" width="14.7265625" style="1297" customWidth="1"/>
    <col min="15" max="16" width="8.81640625" style="237" hidden="1" customWidth="1"/>
    <col min="17" max="17" width="15.453125" style="237" hidden="1" customWidth="1"/>
    <col min="18" max="20" width="9.1796875" style="237" hidden="1" customWidth="1"/>
    <col min="21" max="21" width="14.7265625" style="1297" customWidth="1"/>
    <col min="22" max="22" width="10.453125" style="1" hidden="1" customWidth="1"/>
    <col min="23" max="24" width="10.1796875" style="1" hidden="1" customWidth="1"/>
    <col min="25" max="25" width="0" style="1" hidden="1" customWidth="1"/>
    <col min="26" max="26" width="9.1796875" style="1"/>
    <col min="27" max="27" width="17.1796875" style="1" customWidth="1"/>
    <col min="28" max="28" width="9.1796875" style="1"/>
    <col min="29" max="29" width="18.453125" style="1" customWidth="1"/>
    <col min="30" max="16384" width="9.1796875" style="1"/>
  </cols>
  <sheetData>
    <row r="1" spans="1:27" ht="15.5" x14ac:dyDescent="0.35">
      <c r="E1" s="1030"/>
      <c r="F1" s="1030"/>
      <c r="G1" s="1030"/>
      <c r="H1" s="410"/>
      <c r="I1" s="1825"/>
      <c r="J1" s="1825"/>
      <c r="K1" s="1825"/>
      <c r="L1" s="1825"/>
      <c r="M1" s="1825"/>
      <c r="O1" s="1825"/>
      <c r="P1" s="1825"/>
      <c r="Q1" s="1825"/>
      <c r="R1" s="1825"/>
      <c r="U1" s="410" t="s">
        <v>946</v>
      </c>
    </row>
    <row r="2" spans="1:27" ht="15.5" x14ac:dyDescent="0.35">
      <c r="E2" s="261"/>
      <c r="F2" s="261"/>
      <c r="G2" s="261"/>
      <c r="H2" s="410"/>
      <c r="I2" s="1825"/>
      <c r="J2" s="1825"/>
      <c r="K2" s="1825"/>
      <c r="L2" s="1825"/>
      <c r="M2" s="1825"/>
      <c r="P2" s="1825"/>
      <c r="Q2" s="1825"/>
      <c r="R2" s="1825"/>
      <c r="U2" s="410" t="s">
        <v>450</v>
      </c>
    </row>
    <row r="3" spans="1:27" ht="15.5" x14ac:dyDescent="0.35">
      <c r="E3" s="261"/>
      <c r="F3" s="261"/>
      <c r="G3" s="261"/>
      <c r="H3" s="410"/>
      <c r="I3" s="1825"/>
      <c r="J3" s="1825"/>
      <c r="K3" s="1825"/>
      <c r="L3" s="1825"/>
      <c r="M3" s="1825"/>
      <c r="O3" s="1825"/>
      <c r="P3" s="1825"/>
      <c r="Q3" s="1825"/>
      <c r="R3" s="1825"/>
      <c r="U3" s="410" t="s">
        <v>449</v>
      </c>
    </row>
    <row r="4" spans="1:27" ht="15.5" x14ac:dyDescent="0.35">
      <c r="E4" s="261"/>
      <c r="F4" s="261"/>
      <c r="G4" s="261"/>
      <c r="H4" s="410"/>
      <c r="I4" s="1825"/>
      <c r="J4" s="1825"/>
      <c r="K4" s="1825"/>
      <c r="L4" s="1825"/>
      <c r="M4" s="1825"/>
      <c r="O4" s="1825"/>
      <c r="P4" s="1825"/>
      <c r="Q4" s="1825"/>
      <c r="R4" s="1825"/>
      <c r="U4" s="410" t="s">
        <v>448</v>
      </c>
    </row>
    <row r="5" spans="1:27" ht="15.5" x14ac:dyDescent="0.25">
      <c r="E5" s="388"/>
      <c r="F5" s="388"/>
      <c r="G5" s="388"/>
      <c r="H5" s="3357" t="s">
        <v>991</v>
      </c>
      <c r="I5" s="3357"/>
      <c r="J5" s="3357"/>
      <c r="K5" s="3357"/>
      <c r="L5" s="3357"/>
      <c r="M5" s="3357"/>
      <c r="N5" s="3357"/>
      <c r="O5" s="3357"/>
      <c r="P5" s="3357"/>
      <c r="Q5" s="3357"/>
      <c r="R5" s="3357"/>
      <c r="S5" s="3357"/>
      <c r="T5" s="3357"/>
      <c r="U5" s="3357"/>
      <c r="V5" s="1824"/>
    </row>
    <row r="6" spans="1:27" ht="15.5" x14ac:dyDescent="0.35">
      <c r="I6" s="413"/>
      <c r="J6" s="413"/>
      <c r="K6" s="413"/>
      <c r="L6" s="413"/>
      <c r="M6" s="1297"/>
      <c r="O6" s="410"/>
      <c r="P6" s="410"/>
      <c r="Q6" s="410"/>
      <c r="R6" s="410"/>
    </row>
    <row r="7" spans="1:27" ht="15.5" hidden="1" x14ac:dyDescent="0.35">
      <c r="E7" s="254"/>
      <c r="F7" s="254"/>
      <c r="G7" s="254"/>
      <c r="H7" s="1826" t="s">
        <v>446</v>
      </c>
      <c r="I7" s="413"/>
      <c r="J7" s="415"/>
      <c r="K7" s="415"/>
      <c r="L7" s="415"/>
      <c r="M7" s="1826"/>
      <c r="N7" s="1826" t="s">
        <v>446</v>
      </c>
      <c r="O7" s="410"/>
      <c r="P7" s="410"/>
      <c r="Q7" s="410"/>
      <c r="R7" s="410"/>
      <c r="U7" s="1826" t="s">
        <v>446</v>
      </c>
    </row>
    <row r="8" spans="1:27" ht="15.5" hidden="1" x14ac:dyDescent="0.35">
      <c r="E8" s="254"/>
      <c r="F8" s="254"/>
      <c r="G8" s="254"/>
      <c r="H8" s="1827"/>
      <c r="I8" s="413"/>
      <c r="J8" s="415"/>
      <c r="K8" s="415"/>
      <c r="L8" s="415"/>
      <c r="M8" s="1827"/>
      <c r="N8" s="1827"/>
      <c r="P8" s="410"/>
      <c r="Q8" s="410"/>
      <c r="U8" s="1827"/>
    </row>
    <row r="9" spans="1:27" ht="15.5" hidden="1" x14ac:dyDescent="0.35">
      <c r="E9" s="254"/>
      <c r="F9" s="254"/>
      <c r="G9" s="254"/>
      <c r="H9" s="1826" t="s">
        <v>848</v>
      </c>
      <c r="I9" s="413"/>
      <c r="J9" s="415"/>
      <c r="K9" s="415"/>
      <c r="L9" s="415"/>
      <c r="M9" s="1826"/>
      <c r="N9" s="1826" t="s">
        <v>848</v>
      </c>
      <c r="O9" s="410"/>
      <c r="P9" s="410"/>
      <c r="Q9" s="410"/>
      <c r="R9" s="410"/>
      <c r="U9" s="1826" t="s">
        <v>848</v>
      </c>
    </row>
    <row r="10" spans="1:27" ht="15.5" hidden="1" x14ac:dyDescent="0.35">
      <c r="H10" s="393"/>
      <c r="I10" s="1828">
        <v>73707.5</v>
      </c>
      <c r="J10" s="413"/>
      <c r="K10" s="413"/>
      <c r="L10" s="413"/>
      <c r="M10" s="1297"/>
      <c r="N10" s="393"/>
      <c r="O10" s="410"/>
      <c r="P10" s="410"/>
      <c r="Q10" s="410"/>
      <c r="U10" s="393"/>
    </row>
    <row r="11" spans="1:27" ht="13" x14ac:dyDescent="0.3">
      <c r="G11" s="392"/>
      <c r="H11" s="393"/>
      <c r="I11" s="1829">
        <v>3685.4</v>
      </c>
      <c r="N11" s="393"/>
      <c r="U11" s="393"/>
    </row>
    <row r="12" spans="1:27" ht="15.5" x14ac:dyDescent="0.3">
      <c r="B12" s="3387"/>
      <c r="C12" s="3387"/>
      <c r="D12" s="3387"/>
      <c r="E12" s="3387"/>
      <c r="F12" s="3387"/>
      <c r="G12" s="3387"/>
      <c r="H12" s="3387"/>
      <c r="I12" s="1830" t="e">
        <f>I10-I11-#REF!</f>
        <v>#REF!</v>
      </c>
      <c r="N12" s="237"/>
      <c r="U12" s="237"/>
    </row>
    <row r="13" spans="1:27" ht="15.65" customHeight="1" x14ac:dyDescent="0.25">
      <c r="A13" s="3388" t="s">
        <v>614</v>
      </c>
      <c r="B13" s="3388"/>
      <c r="C13" s="3388"/>
      <c r="D13" s="3388"/>
      <c r="E13" s="3388"/>
      <c r="F13" s="3388"/>
      <c r="G13" s="3388"/>
      <c r="H13" s="3388"/>
      <c r="I13" s="3388"/>
      <c r="J13" s="3388"/>
      <c r="K13" s="3388"/>
      <c r="L13" s="3388"/>
      <c r="M13" s="3388"/>
      <c r="N13" s="3388"/>
      <c r="O13" s="3388"/>
      <c r="P13" s="3388"/>
      <c r="Q13" s="3388"/>
      <c r="R13" s="3388"/>
      <c r="S13" s="3388"/>
      <c r="T13" s="3388"/>
      <c r="U13" s="3388"/>
      <c r="AA13" s="1831"/>
    </row>
    <row r="14" spans="1:27" ht="15.65" customHeight="1" x14ac:dyDescent="0.25">
      <c r="A14" s="3388" t="s">
        <v>613</v>
      </c>
      <c r="B14" s="3388"/>
      <c r="C14" s="3388"/>
      <c r="D14" s="3388"/>
      <c r="E14" s="3388"/>
      <c r="F14" s="3388"/>
      <c r="G14" s="3388"/>
      <c r="H14" s="3388"/>
      <c r="I14" s="3388"/>
      <c r="J14" s="3388"/>
      <c r="K14" s="3388"/>
      <c r="L14" s="3388"/>
      <c r="M14" s="3388"/>
      <c r="N14" s="3388"/>
      <c r="O14" s="3388"/>
      <c r="P14" s="3388"/>
      <c r="Q14" s="3388"/>
      <c r="R14" s="3388"/>
      <c r="S14" s="3388"/>
      <c r="T14" s="3388"/>
      <c r="U14" s="3388"/>
      <c r="AA14" s="1832"/>
    </row>
    <row r="15" spans="1:27" ht="15" customHeight="1" x14ac:dyDescent="0.25">
      <c r="A15" s="3388" t="s">
        <v>968</v>
      </c>
      <c r="B15" s="3388"/>
      <c r="C15" s="3388"/>
      <c r="D15" s="3388"/>
      <c r="E15" s="3388"/>
      <c r="F15" s="3388"/>
      <c r="G15" s="3388"/>
      <c r="H15" s="3388"/>
      <c r="I15" s="3388"/>
      <c r="J15" s="3388"/>
      <c r="K15" s="3388"/>
      <c r="L15" s="3388"/>
      <c r="M15" s="3388"/>
      <c r="N15" s="3388"/>
      <c r="O15" s="3388"/>
      <c r="P15" s="3388"/>
      <c r="Q15" s="3388"/>
      <c r="R15" s="3388"/>
      <c r="S15" s="3388"/>
      <c r="T15" s="3388"/>
      <c r="U15" s="3388"/>
      <c r="AA15" s="1833"/>
    </row>
    <row r="16" spans="1:27" ht="16" thickBot="1" x14ac:dyDescent="0.4">
      <c r="A16" s="375"/>
      <c r="B16" s="236"/>
      <c r="C16" s="235"/>
      <c r="D16" s="234"/>
      <c r="E16" s="234"/>
      <c r="F16" s="234"/>
      <c r="G16" s="234"/>
      <c r="H16" s="1834"/>
      <c r="I16" s="1835"/>
      <c r="N16" s="1834"/>
      <c r="U16" s="1834" t="s">
        <v>829</v>
      </c>
    </row>
    <row r="17" spans="1:27" ht="13" thickBot="1" x14ac:dyDescent="0.3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790</v>
      </c>
      <c r="I17" s="846" t="s">
        <v>604</v>
      </c>
      <c r="J17" s="368" t="s">
        <v>603</v>
      </c>
      <c r="N17" s="1162" t="s">
        <v>845</v>
      </c>
      <c r="U17" s="1673" t="s">
        <v>904</v>
      </c>
    </row>
    <row r="18" spans="1:27" ht="13.5" thickBot="1" x14ac:dyDescent="0.3">
      <c r="A18" s="1163"/>
      <c r="B18" s="1164" t="s">
        <v>618</v>
      </c>
      <c r="C18" s="1165"/>
      <c r="D18" s="1166"/>
      <c r="E18" s="1166"/>
      <c r="F18" s="1166"/>
      <c r="G18" s="1659"/>
      <c r="H18" s="1674">
        <f>H55+H73+H85+H91+H109+H118++H141+H149+H182+H198+H220++H255+H310+H322++H345+H363+H387+H420</f>
        <v>117214.82193999999</v>
      </c>
      <c r="I18" s="847">
        <f>I19+I53+I399</f>
        <v>78282.837999999989</v>
      </c>
      <c r="J18" s="363">
        <f>J19+J53+J399</f>
        <v>79147.380999999994</v>
      </c>
      <c r="K18" s="237">
        <f>K21+K119+K145+K151+K183+K189+K200+K218+K221+K228+K256+K313+K324+K346+K363+K387</f>
        <v>90782.115000000005</v>
      </c>
      <c r="L18" s="237">
        <v>95708.6</v>
      </c>
      <c r="M18" s="237">
        <f>H18-L18</f>
        <v>21506.221939999989</v>
      </c>
      <c r="N18" s="1167">
        <f>N20+N420</f>
        <v>94576.186999999991</v>
      </c>
      <c r="U18" s="1674">
        <f>U20+U420</f>
        <v>96164.560000000012</v>
      </c>
    </row>
    <row r="19" spans="1:27" ht="21.5" hidden="1" thickBot="1" x14ac:dyDescent="0.3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21494.836340000002</v>
      </c>
      <c r="I19" s="848">
        <f>I21</f>
        <v>0</v>
      </c>
      <c r="J19" s="292">
        <f>J21</f>
        <v>0</v>
      </c>
      <c r="N19" s="1170">
        <f>N21</f>
        <v>21251.17</v>
      </c>
      <c r="U19" s="1675">
        <f>U21</f>
        <v>22071.333999999999</v>
      </c>
    </row>
    <row r="20" spans="1:27" ht="23.5" thickBot="1" x14ac:dyDescent="0.3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H21+H109+H117+H148+H197+H310+H322+H345+H363+H387</f>
        <v>113160.33094</v>
      </c>
      <c r="I20" s="848">
        <f>I21+I91+I118+I172+I255+I266+I316+I333+I83</f>
        <v>41532.875</v>
      </c>
      <c r="J20" s="293">
        <f>J21+J91+J118+J172+J255+J266+J316+J333+J83</f>
        <v>39492.17</v>
      </c>
      <c r="N20" s="1170">
        <f>N21+N109+N117+N148+N197+N310+N322+N345+N363+N387</f>
        <v>90853.106999999989</v>
      </c>
      <c r="U20" s="1675">
        <f>U21+U109+U117+U148+U197+U310+U322+U345+U363+U387</f>
        <v>92292.556000000011</v>
      </c>
      <c r="AA20" s="1836"/>
    </row>
    <row r="21" spans="1:27" ht="13" thickBot="1" x14ac:dyDescent="0.3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H55+H73+H85+H91+H79</f>
        <v>21494.836340000002</v>
      </c>
      <c r="I21" s="849">
        <f>I22+I34+I47</f>
        <v>0</v>
      </c>
      <c r="J21" s="287">
        <f>J22+J34+J47</f>
        <v>0</v>
      </c>
      <c r="K21" s="1837">
        <f>K33+K39+K40+K41+K60+K61+K62+K64+K66+K72+K78+K90+K94+K95+K96+K98</f>
        <v>21265.152000000002</v>
      </c>
      <c r="N21" s="1176">
        <f>N28+N34+N55+N73+N85+N91</f>
        <v>21251.17</v>
      </c>
      <c r="U21" s="1676">
        <f>U28+U34+U55+U73+U85+U91</f>
        <v>22071.333999999999</v>
      </c>
    </row>
    <row r="22" spans="1:27" ht="21.5" hidden="1" thickBot="1" x14ac:dyDescent="0.3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N22" s="1178"/>
      <c r="U22" s="1677"/>
    </row>
    <row r="23" spans="1:27" ht="21.5" hidden="1" thickBot="1" x14ac:dyDescent="0.3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N23" s="1181"/>
      <c r="U23" s="1678"/>
    </row>
    <row r="24" spans="1:27" ht="21.5" hidden="1" thickBot="1" x14ac:dyDescent="0.3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N24" s="1181"/>
      <c r="U24" s="1678"/>
    </row>
    <row r="25" spans="1:27" ht="13" hidden="1" thickBot="1" x14ac:dyDescent="0.3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N25" s="1181"/>
      <c r="U25" s="1678"/>
    </row>
    <row r="26" spans="1:27" ht="21.5" hidden="1" thickBot="1" x14ac:dyDescent="0.3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N26" s="1181"/>
      <c r="U26" s="1678"/>
    </row>
    <row r="27" spans="1:27" ht="13" hidden="1" thickBot="1" x14ac:dyDescent="0.3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N27" s="1181"/>
      <c r="U27" s="1678"/>
    </row>
    <row r="28" spans="1:27" ht="23.5" hidden="1" thickBot="1" x14ac:dyDescent="0.3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/>
      <c r="I28" s="851"/>
      <c r="J28" s="353"/>
      <c r="N28" s="1178"/>
      <c r="U28" s="1677"/>
    </row>
    <row r="29" spans="1:27" ht="24.75" hidden="1" customHeight="1" x14ac:dyDescent="0.25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/>
      <c r="I29" s="851"/>
      <c r="J29" s="353"/>
      <c r="N29" s="1181"/>
      <c r="U29" s="1678"/>
    </row>
    <row r="30" spans="1:27" ht="21.5" hidden="1" thickBot="1" x14ac:dyDescent="0.3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/>
      <c r="I30" s="851"/>
      <c r="J30" s="353"/>
      <c r="N30" s="1181"/>
      <c r="U30" s="1678"/>
    </row>
    <row r="31" spans="1:27" ht="13" hidden="1" thickBot="1" x14ac:dyDescent="0.3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/>
      <c r="I31" s="851"/>
      <c r="J31" s="353"/>
      <c r="N31" s="1181"/>
      <c r="U31" s="1678"/>
    </row>
    <row r="32" spans="1:27" ht="21.5" hidden="1" thickBot="1" x14ac:dyDescent="0.3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/>
      <c r="I32" s="851"/>
      <c r="J32" s="353"/>
      <c r="N32" s="1181"/>
      <c r="U32" s="1678"/>
    </row>
    <row r="33" spans="1:21" ht="13" hidden="1" thickBot="1" x14ac:dyDescent="0.3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/>
      <c r="I33" s="851"/>
      <c r="J33" s="353"/>
      <c r="N33" s="1181"/>
      <c r="U33" s="1678"/>
    </row>
    <row r="34" spans="1:21" ht="35" hidden="1" thickBot="1" x14ac:dyDescent="0.3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7"/>
      <c r="I34" s="850"/>
      <c r="J34" s="355"/>
      <c r="N34" s="1178"/>
      <c r="U34" s="1677"/>
    </row>
    <row r="35" spans="1:21" ht="26.25" hidden="1" customHeight="1" x14ac:dyDescent="0.25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/>
      <c r="I35" s="851"/>
      <c r="J35" s="353"/>
      <c r="N35" s="1181"/>
      <c r="U35" s="1678"/>
    </row>
    <row r="36" spans="1:21" ht="27" hidden="1" customHeight="1" x14ac:dyDescent="0.25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/>
      <c r="I36" s="851"/>
      <c r="J36" s="353"/>
      <c r="N36" s="1181"/>
      <c r="U36" s="1678"/>
    </row>
    <row r="37" spans="1:21" ht="13" hidden="1" thickBot="1" x14ac:dyDescent="0.3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/>
      <c r="I37" s="851"/>
      <c r="J37" s="353"/>
      <c r="N37" s="1181"/>
      <c r="U37" s="1678"/>
    </row>
    <row r="38" spans="1:21" ht="13" hidden="1" thickBot="1" x14ac:dyDescent="0.3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/>
      <c r="I38" s="851"/>
      <c r="J38" s="353"/>
      <c r="N38" s="1181"/>
      <c r="U38" s="1678"/>
    </row>
    <row r="39" spans="1:21" ht="13" hidden="1" thickBot="1" x14ac:dyDescent="0.3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/>
      <c r="I39" s="851"/>
      <c r="J39" s="352"/>
      <c r="N39" s="1181"/>
      <c r="U39" s="1678"/>
    </row>
    <row r="40" spans="1:21" ht="21.5" hidden="1" thickBot="1" x14ac:dyDescent="0.3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838"/>
      <c r="I40" s="851"/>
      <c r="J40" s="352"/>
      <c r="K40" s="1839"/>
      <c r="N40" s="1840"/>
      <c r="U40" s="1838"/>
    </row>
    <row r="41" spans="1:21" ht="13" hidden="1" thickBot="1" x14ac:dyDescent="0.3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838"/>
      <c r="I41" s="851"/>
      <c r="J41" s="1187"/>
      <c r="K41" s="1839"/>
      <c r="N41" s="1840"/>
      <c r="U41" s="1838"/>
    </row>
    <row r="42" spans="1:21" ht="13" hidden="1" thickBot="1" x14ac:dyDescent="0.3">
      <c r="A42" s="842"/>
      <c r="B42" s="1182"/>
      <c r="C42" s="1183"/>
      <c r="D42" s="409"/>
      <c r="E42" s="409"/>
      <c r="F42" s="409"/>
      <c r="G42" s="1662"/>
      <c r="H42" s="1838"/>
      <c r="I42" s="851"/>
      <c r="J42" s="1187"/>
      <c r="K42" s="1839"/>
      <c r="N42" s="1840"/>
      <c r="U42" s="1838"/>
    </row>
    <row r="43" spans="1:21" ht="32" hidden="1" thickBot="1" x14ac:dyDescent="0.3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1">H44</f>
        <v>0</v>
      </c>
      <c r="I43" s="851">
        <f t="shared" si="1"/>
        <v>659.56200000000001</v>
      </c>
      <c r="J43" s="353">
        <f t="shared" si="1"/>
        <v>725.51900000000001</v>
      </c>
      <c r="N43" s="1181"/>
      <c r="U43" s="1678"/>
    </row>
    <row r="44" spans="1:21" ht="13" hidden="1" thickBot="1" x14ac:dyDescent="0.3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1"/>
        <v>0</v>
      </c>
      <c r="I44" s="851">
        <f t="shared" si="1"/>
        <v>659.56200000000001</v>
      </c>
      <c r="J44" s="353">
        <f t="shared" si="1"/>
        <v>725.51900000000001</v>
      </c>
      <c r="N44" s="1181"/>
      <c r="U44" s="1678"/>
    </row>
    <row r="45" spans="1:21" ht="21.5" hidden="1" thickBot="1" x14ac:dyDescent="0.3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1"/>
        <v>0</v>
      </c>
      <c r="I45" s="851">
        <f t="shared" si="1"/>
        <v>659.56200000000001</v>
      </c>
      <c r="J45" s="353">
        <f t="shared" si="1"/>
        <v>725.51900000000001</v>
      </c>
      <c r="N45" s="1181"/>
      <c r="U45" s="1678"/>
    </row>
    <row r="46" spans="1:21" ht="13" hidden="1" thickBot="1" x14ac:dyDescent="0.3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237">
        <v>0</v>
      </c>
      <c r="N46" s="1181"/>
      <c r="U46" s="1678"/>
    </row>
    <row r="47" spans="1:21" ht="21.5" hidden="1" thickBot="1" x14ac:dyDescent="0.3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2">I48</f>
        <v>0</v>
      </c>
      <c r="J47" s="354">
        <f t="shared" si="2"/>
        <v>0</v>
      </c>
      <c r="N47" s="1178"/>
      <c r="U47" s="1677"/>
    </row>
    <row r="48" spans="1:21" ht="21.5" hidden="1" thickBot="1" x14ac:dyDescent="0.3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2"/>
        <v>0</v>
      </c>
      <c r="I48" s="851">
        <f t="shared" si="2"/>
        <v>0</v>
      </c>
      <c r="J48" s="352">
        <f t="shared" si="2"/>
        <v>0</v>
      </c>
      <c r="N48" s="1181">
        <f t="shared" ref="N48:N51" si="3">N49</f>
        <v>0</v>
      </c>
      <c r="U48" s="1678">
        <f t="shared" ref="U48:U51" si="4">U49</f>
        <v>0</v>
      </c>
    </row>
    <row r="49" spans="1:27" ht="21.5" hidden="1" thickBot="1" x14ac:dyDescent="0.3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2"/>
        <v>0</v>
      </c>
      <c r="I49" s="851">
        <f t="shared" si="2"/>
        <v>0</v>
      </c>
      <c r="J49" s="352">
        <f t="shared" si="2"/>
        <v>0</v>
      </c>
      <c r="N49" s="1181">
        <f t="shared" si="3"/>
        <v>0</v>
      </c>
      <c r="U49" s="1678">
        <f t="shared" si="4"/>
        <v>0</v>
      </c>
    </row>
    <row r="50" spans="1:27" ht="13" hidden="1" thickBot="1" x14ac:dyDescent="0.3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2"/>
        <v>0</v>
      </c>
      <c r="I50" s="851">
        <f t="shared" si="2"/>
        <v>0</v>
      </c>
      <c r="J50" s="352">
        <f t="shared" si="2"/>
        <v>0</v>
      </c>
      <c r="N50" s="1181">
        <f t="shared" si="3"/>
        <v>0</v>
      </c>
      <c r="U50" s="1678">
        <f t="shared" si="4"/>
        <v>0</v>
      </c>
    </row>
    <row r="51" spans="1:27" ht="21.5" hidden="1" thickBot="1" x14ac:dyDescent="0.3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2"/>
        <v>0</v>
      </c>
      <c r="I51" s="851">
        <f t="shared" si="2"/>
        <v>0</v>
      </c>
      <c r="J51" s="352">
        <f t="shared" si="2"/>
        <v>0</v>
      </c>
      <c r="N51" s="1181">
        <f t="shared" si="3"/>
        <v>0</v>
      </c>
      <c r="U51" s="1678">
        <f t="shared" si="4"/>
        <v>0</v>
      </c>
    </row>
    <row r="52" spans="1:27" ht="13" hidden="1" thickBot="1" x14ac:dyDescent="0.3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N52" s="1194"/>
      <c r="U52" s="1681"/>
    </row>
    <row r="53" spans="1:27" ht="23.5" hidden="1" thickBot="1" x14ac:dyDescent="0.3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H54+H117+H148+H197+H310+H323+H345+H363+H109</f>
        <v>108362.15794</v>
      </c>
      <c r="I53" s="848">
        <f>I54+I117+I148+I197+I310+I323+I345+I363+I109</f>
        <v>68198.73</v>
      </c>
      <c r="J53" s="293">
        <f>J54+J117+J148+J197+J310+J323+J345+J363+J109</f>
        <v>68972.84</v>
      </c>
      <c r="N53" s="1170">
        <f>N54+N117+N148+N197+N310+N323+N345+N363+N109</f>
        <v>86635.706999999995</v>
      </c>
      <c r="U53" s="1675">
        <f>U54+U117+U148+U197+U310+U323+U345+U363+U109</f>
        <v>87754.556000000011</v>
      </c>
    </row>
    <row r="54" spans="1:27" ht="13" hidden="1" thickBot="1" x14ac:dyDescent="0.3">
      <c r="A54" s="1841"/>
      <c r="B54" s="1842" t="s">
        <v>431</v>
      </c>
      <c r="C54" s="1843"/>
      <c r="D54" s="1844" t="s">
        <v>456</v>
      </c>
      <c r="E54" s="1844" t="s">
        <v>459</v>
      </c>
      <c r="F54" s="1844"/>
      <c r="G54" s="1845"/>
      <c r="H54" s="1674">
        <f>H55+H85+H91+H79</f>
        <v>21074.88234</v>
      </c>
      <c r="I54" s="1846">
        <f>I55+I85+I91</f>
        <v>18535.740000000002</v>
      </c>
      <c r="J54" s="1847">
        <f>J55+J85+J91</f>
        <v>19711.260000000002</v>
      </c>
      <c r="N54" s="1167">
        <f>N55+N85+N91+N79</f>
        <v>21251.17</v>
      </c>
      <c r="U54" s="1674">
        <f>U55+U85+U91+U79</f>
        <v>22071.333999999999</v>
      </c>
    </row>
    <row r="55" spans="1:27" ht="34.5" x14ac:dyDescent="0.25">
      <c r="A55" s="1848"/>
      <c r="B55" s="1849" t="s">
        <v>105</v>
      </c>
      <c r="C55" s="1850"/>
      <c r="D55" s="1361" t="s">
        <v>456</v>
      </c>
      <c r="E55" s="1361" t="s">
        <v>452</v>
      </c>
      <c r="F55" s="1361"/>
      <c r="G55" s="1851"/>
      <c r="H55" s="1852">
        <f>H56</f>
        <v>17629.853999999999</v>
      </c>
      <c r="I55" s="1853">
        <f>I56</f>
        <v>15223.140000000001</v>
      </c>
      <c r="J55" s="1854">
        <f>J56</f>
        <v>16197.52</v>
      </c>
      <c r="K55" s="1855">
        <f>K60+K61+K62+K64+K66+K72+K78</f>
        <v>17500.908000000003</v>
      </c>
      <c r="L55" s="1855">
        <f>18156.908</f>
        <v>18156.907999999999</v>
      </c>
      <c r="M55" s="1855">
        <f>L55-K55</f>
        <v>655.99999999999636</v>
      </c>
      <c r="N55" s="1856">
        <f>N56</f>
        <v>17851.169999999998</v>
      </c>
      <c r="O55" s="1855"/>
      <c r="P55" s="1855"/>
      <c r="Q55" s="1855"/>
      <c r="R55" s="1855"/>
      <c r="S55" s="1855"/>
      <c r="T55" s="1855"/>
      <c r="U55" s="1852">
        <f>U56</f>
        <v>18491.333999999999</v>
      </c>
      <c r="V55" s="237"/>
      <c r="AA55" s="1857"/>
    </row>
    <row r="56" spans="1:27" ht="28.5" customHeight="1" x14ac:dyDescent="0.25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H57+H69</f>
        <v>17629.853999999999</v>
      </c>
      <c r="I56" s="851">
        <f>I57+I69</f>
        <v>15223.140000000001</v>
      </c>
      <c r="J56" s="353">
        <f>J57+J69</f>
        <v>16197.52</v>
      </c>
      <c r="K56" s="1858"/>
      <c r="L56" s="1858"/>
      <c r="M56" s="1858"/>
      <c r="N56" s="1181">
        <f>N57+N69</f>
        <v>17851.169999999998</v>
      </c>
      <c r="O56" s="1858"/>
      <c r="P56" s="1858"/>
      <c r="Q56" s="1858"/>
      <c r="R56" s="1858"/>
      <c r="S56" s="1858"/>
      <c r="T56" s="1858"/>
      <c r="U56" s="1678">
        <f>U57+U69</f>
        <v>18491.333999999999</v>
      </c>
      <c r="V56" s="237"/>
    </row>
    <row r="57" spans="1:27" ht="30.75" customHeight="1" x14ac:dyDescent="0.25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16117.254000000001</v>
      </c>
      <c r="I57" s="851">
        <f>I58</f>
        <v>13595.477000000001</v>
      </c>
      <c r="J57" s="353">
        <f>J58</f>
        <v>14414.787</v>
      </c>
      <c r="K57" s="1858"/>
      <c r="L57" s="1858"/>
      <c r="M57" s="1858"/>
      <c r="N57" s="1181">
        <f>N58</f>
        <v>16278.065999999999</v>
      </c>
      <c r="O57" s="1858"/>
      <c r="P57" s="1858"/>
      <c r="Q57" s="1858"/>
      <c r="R57" s="1858"/>
      <c r="S57" s="1858"/>
      <c r="T57" s="1858"/>
      <c r="U57" s="1678">
        <f>U58</f>
        <v>16855.306</v>
      </c>
    </row>
    <row r="58" spans="1:27" x14ac:dyDescent="0.25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H59+H63+H65+H67</f>
        <v>16117.254000000001</v>
      </c>
      <c r="I58" s="851">
        <f>I59+I63+I65+I67</f>
        <v>13595.477000000001</v>
      </c>
      <c r="J58" s="353">
        <f>J59+J63+J65+J67</f>
        <v>14414.787</v>
      </c>
      <c r="K58" s="1858"/>
      <c r="L58" s="1858"/>
      <c r="M58" s="1858"/>
      <c r="N58" s="1181">
        <f>N59+N63+N65+N67</f>
        <v>16278.065999999999</v>
      </c>
      <c r="O58" s="1858"/>
      <c r="P58" s="1858"/>
      <c r="Q58" s="1858"/>
      <c r="R58" s="1858"/>
      <c r="S58" s="1858"/>
      <c r="T58" s="1858"/>
      <c r="U58" s="1678">
        <f>U59+U63+U65+U67</f>
        <v>16855.306</v>
      </c>
    </row>
    <row r="59" spans="1:27" x14ac:dyDescent="0.25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H60+H61+H62</f>
        <v>15759.154</v>
      </c>
      <c r="I59" s="851">
        <f>I60+I61</f>
        <v>13595.477000000001</v>
      </c>
      <c r="J59" s="353">
        <f>J60+J61</f>
        <v>14414.787</v>
      </c>
      <c r="K59" s="1858"/>
      <c r="L59" s="1858"/>
      <c r="M59" s="1858"/>
      <c r="N59" s="1181">
        <f>N60+N61+N62</f>
        <v>16278.065999999999</v>
      </c>
      <c r="O59" s="1858"/>
      <c r="P59" s="1858"/>
      <c r="Q59" s="1858"/>
      <c r="R59" s="1858"/>
      <c r="S59" s="1858"/>
      <c r="T59" s="1858"/>
      <c r="U59" s="1678">
        <f>U60+U61+U62</f>
        <v>16855.306</v>
      </c>
    </row>
    <row r="60" spans="1:27" x14ac:dyDescent="0.25">
      <c r="A60" s="842"/>
      <c r="B60" s="1182" t="s">
        <v>571</v>
      </c>
      <c r="C60" s="1183"/>
      <c r="D60" s="409" t="s">
        <v>456</v>
      </c>
      <c r="E60" s="409" t="s">
        <v>452</v>
      </c>
      <c r="F60" s="409" t="s">
        <v>152</v>
      </c>
      <c r="G60" s="1662" t="s">
        <v>5</v>
      </c>
      <c r="H60" s="1678">
        <f>13742.608-127.234-577.264</f>
        <v>13038.11</v>
      </c>
      <c r="I60" s="851">
        <v>8998.8070000000007</v>
      </c>
      <c r="J60" s="352">
        <v>9997.6880000000001</v>
      </c>
      <c r="K60" s="1858">
        <f>11012.345+22.735+0.6+3325.728-618.8</f>
        <v>13742.608</v>
      </c>
      <c r="L60" s="1858"/>
      <c r="M60" s="1858"/>
      <c r="N60" s="1181">
        <v>14292.312</v>
      </c>
      <c r="O60" s="1858"/>
      <c r="P60" s="1858"/>
      <c r="Q60" s="1858"/>
      <c r="R60" s="1858"/>
      <c r="S60" s="1858"/>
      <c r="T60" s="1858"/>
      <c r="U60" s="1678">
        <v>14864</v>
      </c>
    </row>
    <row r="61" spans="1:27" ht="21" x14ac:dyDescent="0.25">
      <c r="A61" s="842"/>
      <c r="B61" s="1182" t="s">
        <v>454</v>
      </c>
      <c r="C61" s="1183"/>
      <c r="D61" s="409" t="s">
        <v>456</v>
      </c>
      <c r="E61" s="409" t="s">
        <v>452</v>
      </c>
      <c r="F61" s="409" t="s">
        <v>152</v>
      </c>
      <c r="G61" s="1662" t="s">
        <v>1</v>
      </c>
      <c r="H61" s="1678">
        <f>1457.645+127.234+648.9+477.265</f>
        <v>2711.0439999999999</v>
      </c>
      <c r="I61" s="851">
        <v>4596.67</v>
      </c>
      <c r="J61" s="352">
        <v>4417.0990000000002</v>
      </c>
      <c r="K61" s="1859">
        <f>1845.107-350.262-37.2</f>
        <v>1457.645</v>
      </c>
      <c r="L61" s="1858"/>
      <c r="M61" s="1858"/>
      <c r="N61" s="1181">
        <v>1985.7539999999999</v>
      </c>
      <c r="O61" s="1858"/>
      <c r="P61" s="1858"/>
      <c r="Q61" s="1858"/>
      <c r="R61" s="1858"/>
      <c r="S61" s="1858"/>
      <c r="T61" s="1858"/>
      <c r="U61" s="1678">
        <v>1991.306</v>
      </c>
    </row>
    <row r="62" spans="1:27" x14ac:dyDescent="0.25">
      <c r="A62" s="842"/>
      <c r="B62" s="1198" t="s">
        <v>457</v>
      </c>
      <c r="C62" s="1183"/>
      <c r="D62" s="409" t="s">
        <v>456</v>
      </c>
      <c r="E62" s="409" t="s">
        <v>452</v>
      </c>
      <c r="F62" s="409" t="s">
        <v>152</v>
      </c>
      <c r="G62" s="1662" t="s">
        <v>91</v>
      </c>
      <c r="H62" s="1678">
        <v>10</v>
      </c>
      <c r="I62" s="851"/>
      <c r="J62" s="352"/>
      <c r="K62" s="1859">
        <v>10</v>
      </c>
      <c r="L62" s="1858"/>
      <c r="M62" s="1858"/>
      <c r="N62" s="1181"/>
      <c r="O62" s="1858"/>
      <c r="P62" s="1858"/>
      <c r="Q62" s="1858"/>
      <c r="R62" s="1858"/>
      <c r="S62" s="1858"/>
      <c r="T62" s="1858"/>
      <c r="U62" s="1678"/>
    </row>
    <row r="63" spans="1:27" ht="21" x14ac:dyDescent="0.25">
      <c r="A63" s="842"/>
      <c r="B63" s="1199" t="s">
        <v>151</v>
      </c>
      <c r="C63" s="1188"/>
      <c r="D63" s="409" t="s">
        <v>456</v>
      </c>
      <c r="E63" s="409" t="s">
        <v>452</v>
      </c>
      <c r="F63" s="409" t="s">
        <v>623</v>
      </c>
      <c r="G63" s="1662"/>
      <c r="H63" s="1682">
        <f>H64</f>
        <v>50.6</v>
      </c>
      <c r="I63" s="529">
        <f>I64</f>
        <v>0</v>
      </c>
      <c r="J63" s="269">
        <f>J64</f>
        <v>0</v>
      </c>
      <c r="K63" s="1858"/>
      <c r="L63" s="1858"/>
      <c r="M63" s="1858"/>
      <c r="N63" s="1200"/>
      <c r="O63" s="1858"/>
      <c r="P63" s="1858"/>
      <c r="Q63" s="1858"/>
      <c r="R63" s="1858"/>
      <c r="S63" s="1858"/>
      <c r="T63" s="1858"/>
      <c r="U63" s="1682"/>
    </row>
    <row r="64" spans="1:27" x14ac:dyDescent="0.25">
      <c r="A64" s="842"/>
      <c r="B64" s="1182" t="s">
        <v>575</v>
      </c>
      <c r="C64" s="1183"/>
      <c r="D64" s="409" t="s">
        <v>456</v>
      </c>
      <c r="E64" s="409" t="s">
        <v>452</v>
      </c>
      <c r="F64" s="409" t="s">
        <v>623</v>
      </c>
      <c r="G64" s="1662" t="s">
        <v>120</v>
      </c>
      <c r="H64" s="1682">
        <v>50.6</v>
      </c>
      <c r="I64" s="529"/>
      <c r="J64" s="269"/>
      <c r="K64" s="1858">
        <v>50.6</v>
      </c>
      <c r="L64" s="1858"/>
      <c r="M64" s="1858"/>
      <c r="N64" s="1200"/>
      <c r="O64" s="1858"/>
      <c r="P64" s="1858"/>
      <c r="Q64" s="1858"/>
      <c r="R64" s="1858"/>
      <c r="S64" s="1858"/>
      <c r="T64" s="1858"/>
      <c r="U64" s="1682"/>
    </row>
    <row r="65" spans="1:21" ht="21" x14ac:dyDescent="0.25">
      <c r="A65" s="842"/>
      <c r="B65" s="1201" t="s">
        <v>149</v>
      </c>
      <c r="C65" s="1188"/>
      <c r="D65" s="409" t="s">
        <v>456</v>
      </c>
      <c r="E65" s="409" t="s">
        <v>452</v>
      </c>
      <c r="F65" s="409" t="s">
        <v>148</v>
      </c>
      <c r="G65" s="1662"/>
      <c r="H65" s="1682">
        <f>H66</f>
        <v>307.5</v>
      </c>
      <c r="I65" s="529">
        <f>I66</f>
        <v>0</v>
      </c>
      <c r="J65" s="269">
        <f>J66</f>
        <v>0</v>
      </c>
      <c r="K65" s="1858"/>
      <c r="L65" s="1858"/>
      <c r="M65" s="1858"/>
      <c r="N65" s="1200"/>
      <c r="O65" s="1858"/>
      <c r="P65" s="1858"/>
      <c r="Q65" s="1858"/>
      <c r="R65" s="1858"/>
      <c r="S65" s="1858"/>
      <c r="T65" s="1858"/>
      <c r="U65" s="1682"/>
    </row>
    <row r="66" spans="1:21" x14ac:dyDescent="0.25">
      <c r="A66" s="842"/>
      <c r="B66" s="1182" t="s">
        <v>575</v>
      </c>
      <c r="C66" s="1183"/>
      <c r="D66" s="409" t="s">
        <v>456</v>
      </c>
      <c r="E66" s="409" t="s">
        <v>452</v>
      </c>
      <c r="F66" s="409" t="s">
        <v>148</v>
      </c>
      <c r="G66" s="1662" t="s">
        <v>120</v>
      </c>
      <c r="H66" s="1682">
        <v>307.5</v>
      </c>
      <c r="I66" s="529"/>
      <c r="J66" s="269"/>
      <c r="K66" s="1858">
        <v>307.5</v>
      </c>
      <c r="L66" s="1858"/>
      <c r="M66" s="1858"/>
      <c r="N66" s="1200"/>
      <c r="O66" s="1858"/>
      <c r="P66" s="1858"/>
      <c r="Q66" s="1858"/>
      <c r="R66" s="1858"/>
      <c r="S66" s="1858"/>
      <c r="T66" s="1858"/>
      <c r="U66" s="1682"/>
    </row>
    <row r="67" spans="1:21" ht="31.5" hidden="1" x14ac:dyDescent="0.25">
      <c r="A67" s="842"/>
      <c r="B67" s="1202" t="s">
        <v>145</v>
      </c>
      <c r="C67" s="1183"/>
      <c r="D67" s="409" t="s">
        <v>456</v>
      </c>
      <c r="E67" s="409" t="s">
        <v>452</v>
      </c>
      <c r="F67" s="409" t="s">
        <v>144</v>
      </c>
      <c r="G67" s="1662"/>
      <c r="H67" s="1682">
        <f>H68</f>
        <v>0</v>
      </c>
      <c r="I67" s="529">
        <f>I68</f>
        <v>0</v>
      </c>
      <c r="J67" s="269">
        <f>J68</f>
        <v>0</v>
      </c>
      <c r="K67" s="1858"/>
      <c r="L67" s="1858"/>
      <c r="M67" s="1858"/>
      <c r="N67" s="1200">
        <f>N68</f>
        <v>0</v>
      </c>
      <c r="O67" s="1858"/>
      <c r="P67" s="1858"/>
      <c r="Q67" s="1858"/>
      <c r="R67" s="1858"/>
      <c r="S67" s="1858"/>
      <c r="T67" s="1858"/>
      <c r="U67" s="1682">
        <f>U68</f>
        <v>0</v>
      </c>
    </row>
    <row r="68" spans="1:21" hidden="1" x14ac:dyDescent="0.25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144</v>
      </c>
      <c r="G68" s="1662" t="s">
        <v>120</v>
      </c>
      <c r="H68" s="1682">
        <v>0</v>
      </c>
      <c r="I68" s="529"/>
      <c r="J68" s="269"/>
      <c r="K68" s="1858"/>
      <c r="L68" s="1858"/>
      <c r="M68" s="1858"/>
      <c r="N68" s="1200">
        <v>0</v>
      </c>
      <c r="O68" s="1858"/>
      <c r="P68" s="1858"/>
      <c r="Q68" s="1858"/>
      <c r="R68" s="1858"/>
      <c r="S68" s="1858"/>
      <c r="T68" s="1858"/>
      <c r="U68" s="1682">
        <v>0</v>
      </c>
    </row>
    <row r="69" spans="1:21" ht="31.5" x14ac:dyDescent="0.25">
      <c r="A69" s="842"/>
      <c r="B69" s="1203" t="s">
        <v>111</v>
      </c>
      <c r="C69" s="1183"/>
      <c r="D69" s="409" t="s">
        <v>456</v>
      </c>
      <c r="E69" s="409" t="s">
        <v>452</v>
      </c>
      <c r="F69" s="1204" t="s">
        <v>110</v>
      </c>
      <c r="G69" s="1662"/>
      <c r="H69" s="1682">
        <f>H70</f>
        <v>1512.6</v>
      </c>
      <c r="I69" s="529">
        <f t="shared" ref="I69:J71" si="5">I70</f>
        <v>1627.663</v>
      </c>
      <c r="J69" s="269">
        <f t="shared" si="5"/>
        <v>1782.7329999999999</v>
      </c>
      <c r="K69" s="1858"/>
      <c r="L69" s="1858"/>
      <c r="M69" s="1858"/>
      <c r="N69" s="1200">
        <f>N70</f>
        <v>1573.104</v>
      </c>
      <c r="O69" s="1858"/>
      <c r="P69" s="1858"/>
      <c r="Q69" s="1858"/>
      <c r="R69" s="1858"/>
      <c r="S69" s="1858"/>
      <c r="T69" s="1858"/>
      <c r="U69" s="1682">
        <f>U70</f>
        <v>1636.028</v>
      </c>
    </row>
    <row r="70" spans="1:21" x14ac:dyDescent="0.25">
      <c r="A70" s="842"/>
      <c r="B70" s="1197" t="s">
        <v>109</v>
      </c>
      <c r="C70" s="1183"/>
      <c r="D70" s="409" t="s">
        <v>456</v>
      </c>
      <c r="E70" s="409" t="s">
        <v>452</v>
      </c>
      <c r="F70" s="1204" t="s">
        <v>108</v>
      </c>
      <c r="G70" s="1662"/>
      <c r="H70" s="1682">
        <f>H71</f>
        <v>1512.6</v>
      </c>
      <c r="I70" s="529">
        <f t="shared" si="5"/>
        <v>1627.663</v>
      </c>
      <c r="J70" s="269">
        <f t="shared" si="5"/>
        <v>1782.7329999999999</v>
      </c>
      <c r="K70" s="1858"/>
      <c r="L70" s="1858"/>
      <c r="M70" s="1858"/>
      <c r="N70" s="1200">
        <f>N71</f>
        <v>1573.104</v>
      </c>
      <c r="O70" s="1858"/>
      <c r="P70" s="1858"/>
      <c r="Q70" s="1858"/>
      <c r="R70" s="1858"/>
      <c r="S70" s="1858"/>
      <c r="T70" s="1858"/>
      <c r="U70" s="1682">
        <f>U71</f>
        <v>1636.028</v>
      </c>
    </row>
    <row r="71" spans="1:21" ht="21" x14ac:dyDescent="0.25">
      <c r="A71" s="842"/>
      <c r="B71" s="1205" t="s">
        <v>107</v>
      </c>
      <c r="C71" s="1183"/>
      <c r="D71" s="409" t="s">
        <v>456</v>
      </c>
      <c r="E71" s="409" t="s">
        <v>452</v>
      </c>
      <c r="F71" s="1204" t="s">
        <v>104</v>
      </c>
      <c r="G71" s="1662"/>
      <c r="H71" s="1682">
        <f>H72</f>
        <v>1512.6</v>
      </c>
      <c r="I71" s="529">
        <f t="shared" si="5"/>
        <v>1627.663</v>
      </c>
      <c r="J71" s="269">
        <f t="shared" si="5"/>
        <v>1782.7329999999999</v>
      </c>
      <c r="K71" s="1858"/>
      <c r="L71" s="1858"/>
      <c r="M71" s="1858"/>
      <c r="N71" s="1200">
        <f>N72</f>
        <v>1573.104</v>
      </c>
      <c r="O71" s="1858"/>
      <c r="P71" s="1858"/>
      <c r="Q71" s="1858"/>
      <c r="R71" s="1858"/>
      <c r="S71" s="1858"/>
      <c r="T71" s="1858"/>
      <c r="U71" s="1682">
        <f>U72</f>
        <v>1636.028</v>
      </c>
    </row>
    <row r="72" spans="1:21" x14ac:dyDescent="0.25">
      <c r="A72" s="842"/>
      <c r="B72" s="1182" t="s">
        <v>571</v>
      </c>
      <c r="C72" s="1183"/>
      <c r="D72" s="409" t="s">
        <v>456</v>
      </c>
      <c r="E72" s="409" t="s">
        <v>452</v>
      </c>
      <c r="F72" s="1204" t="s">
        <v>104</v>
      </c>
      <c r="G72" s="1662" t="s">
        <v>5</v>
      </c>
      <c r="H72" s="1682">
        <v>1512.6</v>
      </c>
      <c r="I72" s="529">
        <v>1627.663</v>
      </c>
      <c r="J72" s="269">
        <v>1782.7329999999999</v>
      </c>
      <c r="K72" s="1858">
        <f>1161.751+350.849</f>
        <v>1512.6</v>
      </c>
      <c r="L72" s="1858"/>
      <c r="M72" s="1858"/>
      <c r="N72" s="1200">
        <v>1573.104</v>
      </c>
      <c r="O72" s="1858"/>
      <c r="P72" s="1858"/>
      <c r="Q72" s="1858"/>
      <c r="R72" s="1858"/>
      <c r="S72" s="1858"/>
      <c r="T72" s="1858"/>
      <c r="U72" s="1682">
        <v>1636.028</v>
      </c>
    </row>
    <row r="73" spans="1:21" s="760" customFormat="1" ht="23" x14ac:dyDescent="0.3">
      <c r="A73" s="842"/>
      <c r="B73" s="1206" t="s">
        <v>122</v>
      </c>
      <c r="C73" s="1207"/>
      <c r="D73" s="408" t="s">
        <v>456</v>
      </c>
      <c r="E73" s="408" t="s">
        <v>585</v>
      </c>
      <c r="F73" s="763"/>
      <c r="G73" s="1661"/>
      <c r="H73" s="1683">
        <f>H74</f>
        <v>419.95400000000001</v>
      </c>
      <c r="I73" s="841"/>
      <c r="J73" s="276"/>
      <c r="K73" s="1860"/>
      <c r="L73" s="1860"/>
      <c r="M73" s="1860"/>
      <c r="N73" s="1208"/>
      <c r="O73" s="1860"/>
      <c r="P73" s="1860"/>
      <c r="Q73" s="1860"/>
      <c r="R73" s="1860"/>
      <c r="S73" s="1860"/>
      <c r="T73" s="1860"/>
      <c r="U73" s="1683"/>
    </row>
    <row r="74" spans="1:21" ht="21" x14ac:dyDescent="0.25">
      <c r="A74" s="842"/>
      <c r="B74" s="1209" t="s">
        <v>588</v>
      </c>
      <c r="C74" s="1183"/>
      <c r="D74" s="409" t="s">
        <v>456</v>
      </c>
      <c r="E74" s="409" t="s">
        <v>585</v>
      </c>
      <c r="F74" s="1204" t="s">
        <v>157</v>
      </c>
      <c r="G74" s="1662"/>
      <c r="H74" s="1682">
        <f>H75</f>
        <v>419.95400000000001</v>
      </c>
      <c r="I74" s="529"/>
      <c r="J74" s="269"/>
      <c r="K74" s="1858"/>
      <c r="L74" s="1858"/>
      <c r="M74" s="1858"/>
      <c r="N74" s="1200"/>
      <c r="O74" s="1858"/>
      <c r="P74" s="1858"/>
      <c r="Q74" s="1858"/>
      <c r="R74" s="1858"/>
      <c r="S74" s="1858"/>
      <c r="T74" s="1858"/>
      <c r="U74" s="1682"/>
    </row>
    <row r="75" spans="1:21" ht="21" x14ac:dyDescent="0.25">
      <c r="A75" s="842"/>
      <c r="B75" s="1209" t="s">
        <v>587</v>
      </c>
      <c r="C75" s="1183"/>
      <c r="D75" s="409" t="s">
        <v>456</v>
      </c>
      <c r="E75" s="409" t="s">
        <v>585</v>
      </c>
      <c r="F75" s="1204" t="s">
        <v>155</v>
      </c>
      <c r="G75" s="1662"/>
      <c r="H75" s="1682">
        <f>H76</f>
        <v>419.95400000000001</v>
      </c>
      <c r="I75" s="529"/>
      <c r="J75" s="269"/>
      <c r="K75" s="1858"/>
      <c r="L75" s="1858"/>
      <c r="M75" s="1858"/>
      <c r="N75" s="1200"/>
      <c r="O75" s="1858"/>
      <c r="P75" s="1858"/>
      <c r="Q75" s="1858"/>
      <c r="R75" s="1858"/>
      <c r="S75" s="1858"/>
      <c r="T75" s="1858"/>
      <c r="U75" s="1682"/>
    </row>
    <row r="76" spans="1:21" x14ac:dyDescent="0.25">
      <c r="A76" s="842"/>
      <c r="B76" s="1209" t="s">
        <v>582</v>
      </c>
      <c r="C76" s="1183"/>
      <c r="D76" s="409" t="s">
        <v>456</v>
      </c>
      <c r="E76" s="409" t="s">
        <v>585</v>
      </c>
      <c r="F76" s="1204" t="s">
        <v>154</v>
      </c>
      <c r="G76" s="1662"/>
      <c r="H76" s="1682">
        <f>H77</f>
        <v>419.95400000000001</v>
      </c>
      <c r="I76" s="529"/>
      <c r="J76" s="269"/>
      <c r="K76" s="1858"/>
      <c r="L76" s="1858"/>
      <c r="M76" s="1858"/>
      <c r="N76" s="1200"/>
      <c r="O76" s="1858"/>
      <c r="P76" s="1858"/>
      <c r="Q76" s="1858"/>
      <c r="R76" s="1858"/>
      <c r="S76" s="1858"/>
      <c r="T76" s="1858"/>
      <c r="U76" s="1682"/>
    </row>
    <row r="77" spans="1:21" ht="21" x14ac:dyDescent="0.25">
      <c r="A77" s="842"/>
      <c r="B77" s="1209" t="s">
        <v>586</v>
      </c>
      <c r="C77" s="1183"/>
      <c r="D77" s="409" t="s">
        <v>456</v>
      </c>
      <c r="E77" s="409" t="s">
        <v>585</v>
      </c>
      <c r="F77" s="1204" t="s">
        <v>129</v>
      </c>
      <c r="G77" s="1662"/>
      <c r="H77" s="1682">
        <f>H78</f>
        <v>419.95400000000001</v>
      </c>
      <c r="I77" s="529"/>
      <c r="J77" s="269"/>
      <c r="K77" s="1858"/>
      <c r="L77" s="1858"/>
      <c r="M77" s="1858"/>
      <c r="N77" s="1200"/>
      <c r="O77" s="1858"/>
      <c r="P77" s="1858"/>
      <c r="Q77" s="1858"/>
      <c r="R77" s="1858"/>
      <c r="S77" s="1858"/>
      <c r="T77" s="1858"/>
      <c r="U77" s="1682"/>
    </row>
    <row r="78" spans="1:21" x14ac:dyDescent="0.25">
      <c r="A78" s="842"/>
      <c r="B78" s="1198" t="s">
        <v>575</v>
      </c>
      <c r="C78" s="1183"/>
      <c r="D78" s="409" t="s">
        <v>456</v>
      </c>
      <c r="E78" s="409" t="s">
        <v>585</v>
      </c>
      <c r="F78" s="1204" t="s">
        <v>129</v>
      </c>
      <c r="G78" s="1662" t="s">
        <v>120</v>
      </c>
      <c r="H78" s="1682">
        <f>419.955-0.001</f>
        <v>419.95400000000001</v>
      </c>
      <c r="I78" s="529"/>
      <c r="J78" s="269"/>
      <c r="K78" s="1858">
        <v>419.95499999999998</v>
      </c>
      <c r="L78" s="1858"/>
      <c r="M78" s="1858"/>
      <c r="N78" s="1200"/>
      <c r="O78" s="1858"/>
      <c r="P78" s="1858"/>
      <c r="Q78" s="1858"/>
      <c r="R78" s="1858"/>
      <c r="S78" s="1858"/>
      <c r="T78" s="1858"/>
      <c r="U78" s="1682"/>
    </row>
    <row r="79" spans="1:21" s="760" customFormat="1" ht="13" x14ac:dyDescent="0.3">
      <c r="A79" s="842"/>
      <c r="B79" s="1210" t="s">
        <v>419</v>
      </c>
      <c r="C79" s="408"/>
      <c r="D79" s="408" t="s">
        <v>456</v>
      </c>
      <c r="E79" s="408" t="s">
        <v>506</v>
      </c>
      <c r="F79" s="763"/>
      <c r="G79" s="1661"/>
      <c r="H79" s="1683">
        <f>H80</f>
        <v>0</v>
      </c>
      <c r="I79" s="841"/>
      <c r="J79" s="276"/>
      <c r="K79" s="1860"/>
      <c r="L79" s="1860"/>
      <c r="M79" s="1860"/>
      <c r="N79" s="1208">
        <f>N80</f>
        <v>0</v>
      </c>
      <c r="O79" s="1860"/>
      <c r="P79" s="1860"/>
      <c r="Q79" s="1860"/>
      <c r="R79" s="1860"/>
      <c r="S79" s="1860"/>
      <c r="T79" s="1860"/>
      <c r="U79" s="1683">
        <f>U80</f>
        <v>0</v>
      </c>
    </row>
    <row r="80" spans="1:21" ht="21" x14ac:dyDescent="0.25">
      <c r="A80" s="1179"/>
      <c r="B80" s="762" t="s">
        <v>499</v>
      </c>
      <c r="C80" s="409"/>
      <c r="D80" s="409" t="s">
        <v>456</v>
      </c>
      <c r="E80" s="409" t="s">
        <v>506</v>
      </c>
      <c r="F80" s="409" t="s">
        <v>89</v>
      </c>
      <c r="G80" s="1662"/>
      <c r="H80" s="1682">
        <f>H81</f>
        <v>0</v>
      </c>
      <c r="I80" s="529"/>
      <c r="J80" s="269"/>
      <c r="K80" s="1858"/>
      <c r="L80" s="1858"/>
      <c r="M80" s="1858"/>
      <c r="N80" s="1200">
        <f>N81</f>
        <v>0</v>
      </c>
      <c r="O80" s="1858"/>
      <c r="P80" s="1858"/>
      <c r="Q80" s="1858"/>
      <c r="R80" s="1858"/>
      <c r="S80" s="1858"/>
      <c r="T80" s="1858"/>
      <c r="U80" s="1682">
        <f>U81</f>
        <v>0</v>
      </c>
    </row>
    <row r="81" spans="1:21" x14ac:dyDescent="0.25">
      <c r="A81" s="842"/>
      <c r="B81" s="709" t="s">
        <v>109</v>
      </c>
      <c r="C81" s="409"/>
      <c r="D81" s="409" t="s">
        <v>456</v>
      </c>
      <c r="E81" s="409" t="s">
        <v>506</v>
      </c>
      <c r="F81" s="409" t="s">
        <v>581</v>
      </c>
      <c r="G81" s="1662"/>
      <c r="H81" s="1682">
        <f>H82</f>
        <v>0</v>
      </c>
      <c r="I81" s="529"/>
      <c r="J81" s="269"/>
      <c r="K81" s="1858"/>
      <c r="L81" s="1858"/>
      <c r="M81" s="1858"/>
      <c r="N81" s="1200">
        <f>N82</f>
        <v>0</v>
      </c>
      <c r="O81" s="1858"/>
      <c r="P81" s="1858"/>
      <c r="Q81" s="1858"/>
      <c r="R81" s="1858"/>
      <c r="S81" s="1858"/>
      <c r="T81" s="1858"/>
      <c r="U81" s="1682">
        <f>U82</f>
        <v>0</v>
      </c>
    </row>
    <row r="82" spans="1:21" x14ac:dyDescent="0.25">
      <c r="A82" s="842"/>
      <c r="B82" s="709" t="s">
        <v>109</v>
      </c>
      <c r="C82" s="409"/>
      <c r="D82" s="409" t="s">
        <v>456</v>
      </c>
      <c r="E82" s="409" t="s">
        <v>506</v>
      </c>
      <c r="F82" s="409" t="s">
        <v>82</v>
      </c>
      <c r="G82" s="1662"/>
      <c r="H82" s="1682">
        <f>H83</f>
        <v>0</v>
      </c>
      <c r="I82" s="529"/>
      <c r="J82" s="269"/>
      <c r="K82" s="1858"/>
      <c r="L82" s="1858"/>
      <c r="M82" s="1858"/>
      <c r="N82" s="1200">
        <f>N83</f>
        <v>0</v>
      </c>
      <c r="O82" s="1858"/>
      <c r="P82" s="1858"/>
      <c r="Q82" s="1858"/>
      <c r="R82" s="1858"/>
      <c r="S82" s="1858"/>
      <c r="T82" s="1858"/>
      <c r="U82" s="1682">
        <f>U83</f>
        <v>0</v>
      </c>
    </row>
    <row r="83" spans="1:21" ht="21" x14ac:dyDescent="0.25">
      <c r="A83" s="842"/>
      <c r="B83" s="1209" t="s">
        <v>788</v>
      </c>
      <c r="C83" s="409"/>
      <c r="D83" s="409" t="s">
        <v>456</v>
      </c>
      <c r="E83" s="409" t="s">
        <v>506</v>
      </c>
      <c r="F83" s="409" t="s">
        <v>789</v>
      </c>
      <c r="G83" s="1662"/>
      <c r="H83" s="1682">
        <f>H84</f>
        <v>0</v>
      </c>
      <c r="I83" s="529"/>
      <c r="J83" s="269"/>
      <c r="K83" s="1858"/>
      <c r="L83" s="1858"/>
      <c r="M83" s="1858"/>
      <c r="N83" s="1200">
        <f>N84</f>
        <v>0</v>
      </c>
      <c r="O83" s="1858"/>
      <c r="P83" s="1858"/>
      <c r="Q83" s="1858"/>
      <c r="R83" s="1858"/>
      <c r="S83" s="1858"/>
      <c r="T83" s="1858"/>
      <c r="U83" s="1682">
        <f>U84</f>
        <v>0</v>
      </c>
    </row>
    <row r="84" spans="1:21" ht="21" x14ac:dyDescent="0.25">
      <c r="A84" s="842"/>
      <c r="B84" s="1182" t="s">
        <v>454</v>
      </c>
      <c r="C84" s="409"/>
      <c r="D84" s="409" t="s">
        <v>456</v>
      </c>
      <c r="E84" s="409" t="s">
        <v>506</v>
      </c>
      <c r="F84" s="409" t="s">
        <v>789</v>
      </c>
      <c r="G84" s="1662" t="s">
        <v>1</v>
      </c>
      <c r="H84" s="1682"/>
      <c r="I84" s="529"/>
      <c r="J84" s="269"/>
      <c r="K84" s="1858"/>
      <c r="L84" s="1858"/>
      <c r="M84" s="1858"/>
      <c r="N84" s="1200">
        <v>0</v>
      </c>
      <c r="O84" s="1858"/>
      <c r="P84" s="1858"/>
      <c r="Q84" s="1858"/>
      <c r="R84" s="1858"/>
      <c r="S84" s="1858"/>
      <c r="T84" s="1858"/>
      <c r="U84" s="1682">
        <v>0</v>
      </c>
    </row>
    <row r="85" spans="1:21" x14ac:dyDescent="0.25">
      <c r="A85" s="842"/>
      <c r="B85" s="1184" t="s">
        <v>68</v>
      </c>
      <c r="C85" s="1177"/>
      <c r="D85" s="408" t="s">
        <v>456</v>
      </c>
      <c r="E85" s="408" t="s">
        <v>464</v>
      </c>
      <c r="F85" s="408"/>
      <c r="G85" s="1661"/>
      <c r="H85" s="1683">
        <f t="shared" ref="H85:J89" si="6">H86</f>
        <v>2000</v>
      </c>
      <c r="I85" s="841">
        <f t="shared" si="6"/>
        <v>2500.6</v>
      </c>
      <c r="J85" s="276">
        <f t="shared" si="6"/>
        <v>2701.74</v>
      </c>
      <c r="K85" s="1858"/>
      <c r="L85" s="1858"/>
      <c r="M85" s="1858"/>
      <c r="N85" s="1208">
        <f t="shared" ref="N85:N89" si="7">N86</f>
        <v>2900</v>
      </c>
      <c r="O85" s="1858"/>
      <c r="P85" s="1858"/>
      <c r="Q85" s="1858"/>
      <c r="R85" s="1858"/>
      <c r="S85" s="1858"/>
      <c r="T85" s="1858"/>
      <c r="U85" s="1683">
        <f t="shared" ref="U85:U89" si="8">U86</f>
        <v>2980</v>
      </c>
    </row>
    <row r="86" spans="1:21" ht="21" x14ac:dyDescent="0.25">
      <c r="A86" s="1179"/>
      <c r="B86" s="753" t="s">
        <v>499</v>
      </c>
      <c r="C86" s="1180"/>
      <c r="D86" s="409" t="s">
        <v>456</v>
      </c>
      <c r="E86" s="409" t="s">
        <v>464</v>
      </c>
      <c r="F86" s="409" t="s">
        <v>89</v>
      </c>
      <c r="G86" s="1662"/>
      <c r="H86" s="1682">
        <f t="shared" si="6"/>
        <v>2000</v>
      </c>
      <c r="I86" s="529">
        <f t="shared" si="6"/>
        <v>2500.6</v>
      </c>
      <c r="J86" s="269">
        <f t="shared" si="6"/>
        <v>2701.74</v>
      </c>
      <c r="K86" s="1858"/>
      <c r="L86" s="1858"/>
      <c r="M86" s="1858"/>
      <c r="N86" s="1200">
        <f t="shared" si="7"/>
        <v>2900</v>
      </c>
      <c r="O86" s="1858"/>
      <c r="P86" s="1858"/>
      <c r="Q86" s="1858"/>
      <c r="R86" s="1858"/>
      <c r="S86" s="1858"/>
      <c r="T86" s="1858"/>
      <c r="U86" s="1682">
        <f t="shared" si="8"/>
        <v>2980</v>
      </c>
    </row>
    <row r="87" spans="1:21" x14ac:dyDescent="0.25">
      <c r="A87" s="842"/>
      <c r="B87" s="1180" t="s">
        <v>109</v>
      </c>
      <c r="C87" s="1180"/>
      <c r="D87" s="409" t="s">
        <v>456</v>
      </c>
      <c r="E87" s="409" t="s">
        <v>464</v>
      </c>
      <c r="F87" s="409" t="s">
        <v>581</v>
      </c>
      <c r="G87" s="1662"/>
      <c r="H87" s="1682">
        <f t="shared" si="6"/>
        <v>2000</v>
      </c>
      <c r="I87" s="529">
        <f t="shared" si="6"/>
        <v>2500.6</v>
      </c>
      <c r="J87" s="269">
        <f t="shared" si="6"/>
        <v>2701.74</v>
      </c>
      <c r="K87" s="1858"/>
      <c r="L87" s="1858"/>
      <c r="M87" s="1858"/>
      <c r="N87" s="1200">
        <f t="shared" si="7"/>
        <v>2900</v>
      </c>
      <c r="O87" s="1858"/>
      <c r="P87" s="1858"/>
      <c r="Q87" s="1858"/>
      <c r="R87" s="1858"/>
      <c r="S87" s="1858"/>
      <c r="T87" s="1858"/>
      <c r="U87" s="1682">
        <f t="shared" si="8"/>
        <v>2980</v>
      </c>
    </row>
    <row r="88" spans="1:21" x14ac:dyDescent="0.25">
      <c r="A88" s="842"/>
      <c r="B88" s="1180" t="s">
        <v>109</v>
      </c>
      <c r="C88" s="1180"/>
      <c r="D88" s="409" t="s">
        <v>456</v>
      </c>
      <c r="E88" s="409" t="s">
        <v>464</v>
      </c>
      <c r="F88" s="409" t="s">
        <v>82</v>
      </c>
      <c r="G88" s="1662"/>
      <c r="H88" s="1682">
        <f t="shared" si="6"/>
        <v>2000</v>
      </c>
      <c r="I88" s="529">
        <f t="shared" si="6"/>
        <v>2500.6</v>
      </c>
      <c r="J88" s="269">
        <f t="shared" si="6"/>
        <v>2701.74</v>
      </c>
      <c r="K88" s="1858"/>
      <c r="L88" s="1858"/>
      <c r="M88" s="1858"/>
      <c r="N88" s="1200">
        <f t="shared" si="7"/>
        <v>2900</v>
      </c>
      <c r="O88" s="1858"/>
      <c r="P88" s="1858"/>
      <c r="Q88" s="1858"/>
      <c r="R88" s="1858"/>
      <c r="S88" s="1858"/>
      <c r="T88" s="1858"/>
      <c r="U88" s="1682">
        <f t="shared" si="8"/>
        <v>2980</v>
      </c>
    </row>
    <row r="89" spans="1:21" ht="21" x14ac:dyDescent="0.25">
      <c r="A89" s="842"/>
      <c r="B89" s="1180" t="s">
        <v>72</v>
      </c>
      <c r="C89" s="1180"/>
      <c r="D89" s="409" t="s">
        <v>456</v>
      </c>
      <c r="E89" s="409" t="s">
        <v>464</v>
      </c>
      <c r="F89" s="409" t="s">
        <v>67</v>
      </c>
      <c r="G89" s="1662"/>
      <c r="H89" s="1682">
        <f t="shared" si="6"/>
        <v>2000</v>
      </c>
      <c r="I89" s="529">
        <f t="shared" si="6"/>
        <v>2500.6</v>
      </c>
      <c r="J89" s="269">
        <f t="shared" si="6"/>
        <v>2701.74</v>
      </c>
      <c r="K89" s="1858"/>
      <c r="L89" s="1858"/>
      <c r="M89" s="1858"/>
      <c r="N89" s="1200">
        <f t="shared" si="7"/>
        <v>2900</v>
      </c>
      <c r="O89" s="1858"/>
      <c r="P89" s="1858"/>
      <c r="Q89" s="1858"/>
      <c r="R89" s="1858"/>
      <c r="S89" s="1858"/>
      <c r="T89" s="1858"/>
      <c r="U89" s="1682">
        <f t="shared" si="8"/>
        <v>2980</v>
      </c>
    </row>
    <row r="90" spans="1:21" ht="13.5" customHeight="1" x14ac:dyDescent="0.25">
      <c r="A90" s="842"/>
      <c r="B90" s="1182" t="s">
        <v>580</v>
      </c>
      <c r="C90" s="1183"/>
      <c r="D90" s="409" t="s">
        <v>456</v>
      </c>
      <c r="E90" s="409" t="s">
        <v>464</v>
      </c>
      <c r="F90" s="409" t="s">
        <v>67</v>
      </c>
      <c r="G90" s="1662" t="s">
        <v>579</v>
      </c>
      <c r="H90" s="1682">
        <f>2870-870</f>
        <v>2000</v>
      </c>
      <c r="I90" s="529">
        <v>2500.6</v>
      </c>
      <c r="J90" s="269">
        <v>2701.74</v>
      </c>
      <c r="K90" s="1858">
        <v>2870</v>
      </c>
      <c r="L90" s="1858"/>
      <c r="M90" s="1858"/>
      <c r="N90" s="1200">
        <v>2900</v>
      </c>
      <c r="O90" s="1858"/>
      <c r="P90" s="1858"/>
      <c r="Q90" s="1858"/>
      <c r="R90" s="1858"/>
      <c r="S90" s="1858"/>
      <c r="T90" s="1858"/>
      <c r="U90" s="1682">
        <v>2980</v>
      </c>
    </row>
    <row r="91" spans="1:21" x14ac:dyDescent="0.25">
      <c r="A91" s="842"/>
      <c r="B91" s="1184" t="s">
        <v>93</v>
      </c>
      <c r="C91" s="1177"/>
      <c r="D91" s="408" t="s">
        <v>456</v>
      </c>
      <c r="E91" s="408" t="s">
        <v>573</v>
      </c>
      <c r="F91" s="408"/>
      <c r="G91" s="1661"/>
      <c r="H91" s="1683">
        <f>H92+H99</f>
        <v>1445.0283399999998</v>
      </c>
      <c r="I91" s="841">
        <f>I92+I99</f>
        <v>812</v>
      </c>
      <c r="J91" s="276">
        <f>J92+J99</f>
        <v>812</v>
      </c>
      <c r="K91" s="1858"/>
      <c r="L91" s="1858"/>
      <c r="M91" s="1858"/>
      <c r="N91" s="1208">
        <f>N92+N99</f>
        <v>500</v>
      </c>
      <c r="O91" s="1858"/>
      <c r="P91" s="1858"/>
      <c r="Q91" s="1858"/>
      <c r="R91" s="1858"/>
      <c r="S91" s="1858"/>
      <c r="T91" s="1858"/>
      <c r="U91" s="1683">
        <f>U92+U99</f>
        <v>600</v>
      </c>
    </row>
    <row r="92" spans="1:21" x14ac:dyDescent="0.25">
      <c r="A92" s="1179"/>
      <c r="B92" s="753" t="s">
        <v>102</v>
      </c>
      <c r="C92" s="1180"/>
      <c r="D92" s="409" t="s">
        <v>456</v>
      </c>
      <c r="E92" s="409" t="s">
        <v>573</v>
      </c>
      <c r="F92" s="409" t="s">
        <v>101</v>
      </c>
      <c r="G92" s="1662"/>
      <c r="H92" s="1682">
        <f t="shared" ref="H92:J94" si="9">H93</f>
        <v>1314.0283399999998</v>
      </c>
      <c r="I92" s="529">
        <f t="shared" si="9"/>
        <v>213.5</v>
      </c>
      <c r="J92" s="269">
        <f t="shared" si="9"/>
        <v>213.5</v>
      </c>
      <c r="K92" s="1858"/>
      <c r="L92" s="1858"/>
      <c r="M92" s="1858"/>
      <c r="N92" s="1200">
        <f t="shared" ref="N92:N94" si="10">N93</f>
        <v>500</v>
      </c>
      <c r="O92" s="1858"/>
      <c r="P92" s="1858"/>
      <c r="Q92" s="1858"/>
      <c r="R92" s="1858"/>
      <c r="S92" s="1858"/>
      <c r="T92" s="1858"/>
      <c r="U92" s="1682">
        <f t="shared" ref="U92:U94" si="11">U93</f>
        <v>600</v>
      </c>
    </row>
    <row r="93" spans="1:21" x14ac:dyDescent="0.25">
      <c r="A93" s="1179"/>
      <c r="B93" s="753" t="s">
        <v>109</v>
      </c>
      <c r="C93" s="1180"/>
      <c r="D93" s="409" t="s">
        <v>456</v>
      </c>
      <c r="E93" s="409" t="s">
        <v>573</v>
      </c>
      <c r="F93" s="409" t="s">
        <v>100</v>
      </c>
      <c r="G93" s="1662"/>
      <c r="H93" s="1682">
        <f t="shared" si="9"/>
        <v>1314.0283399999998</v>
      </c>
      <c r="I93" s="529">
        <f t="shared" si="9"/>
        <v>213.5</v>
      </c>
      <c r="J93" s="269">
        <f t="shared" si="9"/>
        <v>213.5</v>
      </c>
      <c r="K93" s="1858"/>
      <c r="L93" s="1858"/>
      <c r="M93" s="1858"/>
      <c r="N93" s="1200">
        <f t="shared" si="10"/>
        <v>500</v>
      </c>
      <c r="O93" s="1858"/>
      <c r="P93" s="1858"/>
      <c r="Q93" s="1858"/>
      <c r="R93" s="1858"/>
      <c r="S93" s="1858"/>
      <c r="T93" s="1858"/>
      <c r="U93" s="1682">
        <f t="shared" si="11"/>
        <v>600</v>
      </c>
    </row>
    <row r="94" spans="1:21" x14ac:dyDescent="0.25">
      <c r="A94" s="1179"/>
      <c r="B94" s="753" t="s">
        <v>109</v>
      </c>
      <c r="C94" s="1180"/>
      <c r="D94" s="409" t="s">
        <v>456</v>
      </c>
      <c r="E94" s="409" t="s">
        <v>573</v>
      </c>
      <c r="F94" s="409" t="s">
        <v>99</v>
      </c>
      <c r="G94" s="1662"/>
      <c r="H94" s="1682">
        <f t="shared" si="9"/>
        <v>1314.0283399999998</v>
      </c>
      <c r="I94" s="529">
        <f t="shared" si="9"/>
        <v>213.5</v>
      </c>
      <c r="J94" s="269">
        <f t="shared" si="9"/>
        <v>213.5</v>
      </c>
      <c r="K94" s="1858"/>
      <c r="L94" s="1858"/>
      <c r="M94" s="1858"/>
      <c r="N94" s="1200">
        <f t="shared" si="10"/>
        <v>500</v>
      </c>
      <c r="O94" s="1858"/>
      <c r="P94" s="1858"/>
      <c r="Q94" s="1858"/>
      <c r="R94" s="1858"/>
      <c r="S94" s="1858"/>
      <c r="T94" s="1858"/>
      <c r="U94" s="1682">
        <f t="shared" si="11"/>
        <v>600</v>
      </c>
    </row>
    <row r="95" spans="1:21" x14ac:dyDescent="0.25">
      <c r="A95" s="1179"/>
      <c r="B95" s="753" t="s">
        <v>577</v>
      </c>
      <c r="C95" s="1180"/>
      <c r="D95" s="409" t="s">
        <v>456</v>
      </c>
      <c r="E95" s="409" t="s">
        <v>573</v>
      </c>
      <c r="F95" s="409" t="s">
        <v>92</v>
      </c>
      <c r="G95" s="1662"/>
      <c r="H95" s="1682">
        <f>H96+H98+H97</f>
        <v>1314.0283399999998</v>
      </c>
      <c r="I95" s="529">
        <f>I96+I98</f>
        <v>213.5</v>
      </c>
      <c r="J95" s="269">
        <f>J96+J98</f>
        <v>213.5</v>
      </c>
      <c r="K95" s="1858">
        <v>500</v>
      </c>
      <c r="L95" s="1858" t="s">
        <v>959</v>
      </c>
      <c r="M95" s="1858"/>
      <c r="N95" s="1200">
        <f>N96+N98</f>
        <v>500</v>
      </c>
      <c r="O95" s="1858"/>
      <c r="P95" s="1858"/>
      <c r="Q95" s="1858"/>
      <c r="R95" s="1858"/>
      <c r="S95" s="1858"/>
      <c r="T95" s="1858"/>
      <c r="U95" s="1682">
        <f>U96+U98</f>
        <v>600</v>
      </c>
    </row>
    <row r="96" spans="1:21" ht="21" x14ac:dyDescent="0.25">
      <c r="A96" s="842"/>
      <c r="B96" s="1182" t="s">
        <v>454</v>
      </c>
      <c r="C96" s="1183"/>
      <c r="D96" s="409" t="s">
        <v>456</v>
      </c>
      <c r="E96" s="409" t="s">
        <v>573</v>
      </c>
      <c r="F96" s="409" t="s">
        <v>92</v>
      </c>
      <c r="G96" s="1662" t="s">
        <v>1</v>
      </c>
      <c r="H96" s="1682">
        <f>K95+K96+100+23.33734+77.897-380-25+356.787</f>
        <v>997.26533999999992</v>
      </c>
      <c r="I96" s="529">
        <v>178.5</v>
      </c>
      <c r="J96" s="269">
        <v>178.5</v>
      </c>
      <c r="K96" s="1858">
        <f>462.085-117.841</f>
        <v>344.24399999999997</v>
      </c>
      <c r="L96" s="1858"/>
      <c r="M96" s="1858"/>
      <c r="N96" s="1200">
        <v>400</v>
      </c>
      <c r="O96" s="1858"/>
      <c r="P96" s="1858"/>
      <c r="Q96" s="1858"/>
      <c r="R96" s="1858"/>
      <c r="S96" s="1858"/>
      <c r="T96" s="1858"/>
      <c r="U96" s="1682">
        <v>500</v>
      </c>
    </row>
    <row r="97" spans="1:25" x14ac:dyDescent="0.25">
      <c r="A97" s="842"/>
      <c r="B97" s="1182" t="s">
        <v>1003</v>
      </c>
      <c r="C97" s="1183"/>
      <c r="D97" s="409" t="s">
        <v>456</v>
      </c>
      <c r="E97" s="409" t="s">
        <v>573</v>
      </c>
      <c r="F97" s="409" t="s">
        <v>92</v>
      </c>
      <c r="G97" s="1662" t="s">
        <v>95</v>
      </c>
      <c r="H97" s="1682">
        <f>2+218.134+7.341+3.409+10.879+25</f>
        <v>266.76299999999998</v>
      </c>
      <c r="I97" s="529"/>
      <c r="J97" s="269"/>
      <c r="K97" s="1858"/>
      <c r="L97" s="1858"/>
      <c r="M97" s="1858"/>
      <c r="N97" s="1200"/>
      <c r="O97" s="1858"/>
      <c r="P97" s="1858"/>
      <c r="Q97" s="1858"/>
      <c r="R97" s="1858"/>
      <c r="S97" s="1858"/>
      <c r="T97" s="1858"/>
      <c r="U97" s="1682"/>
    </row>
    <row r="98" spans="1:25" x14ac:dyDescent="0.25">
      <c r="A98" s="842"/>
      <c r="B98" s="1182" t="s">
        <v>457</v>
      </c>
      <c r="C98" s="1183"/>
      <c r="D98" s="409" t="s">
        <v>456</v>
      </c>
      <c r="E98" s="409" t="s">
        <v>573</v>
      </c>
      <c r="F98" s="409" t="s">
        <v>92</v>
      </c>
      <c r="G98" s="1662" t="s">
        <v>91</v>
      </c>
      <c r="H98" s="1682">
        <f>100-50</f>
        <v>50</v>
      </c>
      <c r="I98" s="529">
        <v>35</v>
      </c>
      <c r="J98" s="269">
        <v>35</v>
      </c>
      <c r="K98" s="1858">
        <f>100-50</f>
        <v>50</v>
      </c>
      <c r="L98" s="1858"/>
      <c r="M98" s="1858"/>
      <c r="N98" s="1200">
        <v>100</v>
      </c>
      <c r="O98" s="1858"/>
      <c r="P98" s="1858"/>
      <c r="Q98" s="1858"/>
      <c r="R98" s="1858"/>
      <c r="S98" s="1858"/>
      <c r="T98" s="1858"/>
      <c r="U98" s="1682">
        <v>100</v>
      </c>
    </row>
    <row r="99" spans="1:25" ht="21" x14ac:dyDescent="0.25">
      <c r="A99" s="1211"/>
      <c r="B99" s="753" t="s">
        <v>499</v>
      </c>
      <c r="C99" s="1177"/>
      <c r="D99" s="408" t="s">
        <v>456</v>
      </c>
      <c r="E99" s="408" t="s">
        <v>573</v>
      </c>
      <c r="F99" s="409" t="s">
        <v>89</v>
      </c>
      <c r="G99" s="1661"/>
      <c r="H99" s="1683">
        <f t="shared" ref="H99:J100" si="12">H100</f>
        <v>131</v>
      </c>
      <c r="I99" s="841">
        <f t="shared" si="12"/>
        <v>598.5</v>
      </c>
      <c r="J99" s="276">
        <f t="shared" si="12"/>
        <v>598.5</v>
      </c>
      <c r="K99" s="1858"/>
      <c r="L99" s="1858"/>
      <c r="M99" s="1858"/>
      <c r="N99" s="1208">
        <f t="shared" ref="N99:N100" si="13">N100</f>
        <v>0</v>
      </c>
      <c r="O99" s="1858"/>
      <c r="P99" s="1858"/>
      <c r="Q99" s="1858"/>
      <c r="R99" s="1858"/>
      <c r="S99" s="1858"/>
      <c r="T99" s="1858"/>
      <c r="U99" s="1683">
        <f t="shared" ref="U99:U100" si="14">U100</f>
        <v>0</v>
      </c>
    </row>
    <row r="100" spans="1:25" x14ac:dyDescent="0.25">
      <c r="A100" s="1179"/>
      <c r="B100" s="753" t="s">
        <v>109</v>
      </c>
      <c r="C100" s="1180"/>
      <c r="D100" s="409" t="s">
        <v>456</v>
      </c>
      <c r="E100" s="409" t="s">
        <v>573</v>
      </c>
      <c r="F100" s="409" t="s">
        <v>84</v>
      </c>
      <c r="G100" s="1662"/>
      <c r="H100" s="1682">
        <f t="shared" si="12"/>
        <v>131</v>
      </c>
      <c r="I100" s="529">
        <f t="shared" si="12"/>
        <v>598.5</v>
      </c>
      <c r="J100" s="269">
        <f t="shared" si="12"/>
        <v>598.5</v>
      </c>
      <c r="K100" s="1858"/>
      <c r="L100" s="1858"/>
      <c r="M100" s="1858"/>
      <c r="N100" s="1200">
        <f t="shared" si="13"/>
        <v>0</v>
      </c>
      <c r="O100" s="1858"/>
      <c r="P100" s="1858"/>
      <c r="Q100" s="1858"/>
      <c r="R100" s="1858"/>
      <c r="S100" s="1858"/>
      <c r="T100" s="1858"/>
      <c r="U100" s="1682">
        <f t="shared" si="14"/>
        <v>0</v>
      </c>
    </row>
    <row r="101" spans="1:25" x14ac:dyDescent="0.25">
      <c r="A101" s="1179"/>
      <c r="B101" s="753" t="s">
        <v>109</v>
      </c>
      <c r="C101" s="1180"/>
      <c r="D101" s="409" t="s">
        <v>456</v>
      </c>
      <c r="E101" s="409" t="s">
        <v>573</v>
      </c>
      <c r="F101" s="409" t="s">
        <v>82</v>
      </c>
      <c r="G101" s="1662"/>
      <c r="H101" s="1682">
        <f>H102</f>
        <v>131</v>
      </c>
      <c r="I101" s="529">
        <f>I106</f>
        <v>598.5</v>
      </c>
      <c r="J101" s="269">
        <f>J106</f>
        <v>598.5</v>
      </c>
      <c r="K101" s="1858"/>
      <c r="L101" s="1858"/>
      <c r="M101" s="1858"/>
      <c r="N101" s="1200">
        <f>N106</f>
        <v>0</v>
      </c>
      <c r="O101" s="1858"/>
      <c r="P101" s="1858"/>
      <c r="Q101" s="1858"/>
      <c r="R101" s="1858"/>
      <c r="S101" s="1858"/>
      <c r="T101" s="1858"/>
      <c r="U101" s="1682">
        <f>U106</f>
        <v>0</v>
      </c>
    </row>
    <row r="102" spans="1:25" ht="33" customHeight="1" x14ac:dyDescent="0.25">
      <c r="A102" s="1179"/>
      <c r="B102" s="753" t="s">
        <v>1004</v>
      </c>
      <c r="C102" s="1180"/>
      <c r="D102" s="409" t="s">
        <v>456</v>
      </c>
      <c r="E102" s="409" t="s">
        <v>573</v>
      </c>
      <c r="F102" s="409" t="s">
        <v>1005</v>
      </c>
      <c r="G102" s="1662"/>
      <c r="H102" s="1682">
        <f>H103</f>
        <v>131</v>
      </c>
      <c r="I102" s="529">
        <f>I103</f>
        <v>0</v>
      </c>
      <c r="J102" s="269">
        <f>J103</f>
        <v>0</v>
      </c>
      <c r="K102" s="1858"/>
      <c r="L102" s="1858"/>
      <c r="M102" s="1858"/>
      <c r="N102" s="1200">
        <f>N103</f>
        <v>0</v>
      </c>
      <c r="O102" s="1858"/>
      <c r="P102" s="1858"/>
      <c r="Q102" s="1858"/>
      <c r="R102" s="1858"/>
      <c r="S102" s="1858"/>
      <c r="T102" s="1858"/>
      <c r="U102" s="1682">
        <f>U103</f>
        <v>0</v>
      </c>
    </row>
    <row r="103" spans="1:25" x14ac:dyDescent="0.25">
      <c r="A103" s="842"/>
      <c r="B103" s="1182" t="s">
        <v>571</v>
      </c>
      <c r="C103" s="1183"/>
      <c r="D103" s="409" t="s">
        <v>456</v>
      </c>
      <c r="E103" s="409" t="s">
        <v>573</v>
      </c>
      <c r="F103" s="409" t="s">
        <v>1005</v>
      </c>
      <c r="G103" s="1662" t="s">
        <v>5</v>
      </c>
      <c r="H103" s="1682">
        <v>131</v>
      </c>
      <c r="I103" s="529"/>
      <c r="J103" s="269"/>
      <c r="K103" s="1858"/>
      <c r="L103" s="1858"/>
      <c r="M103" s="1858"/>
      <c r="N103" s="1200"/>
      <c r="O103" s="1858"/>
      <c r="P103" s="1858"/>
      <c r="Q103" s="1858"/>
      <c r="R103" s="1858"/>
      <c r="S103" s="1858"/>
      <c r="T103" s="1858"/>
      <c r="U103" s="1682"/>
    </row>
    <row r="104" spans="1:25" ht="21" hidden="1" x14ac:dyDescent="0.25">
      <c r="A104" s="842"/>
      <c r="B104" s="1199" t="s">
        <v>151</v>
      </c>
      <c r="C104" s="1188"/>
      <c r="D104" s="409" t="s">
        <v>456</v>
      </c>
      <c r="E104" s="409" t="s">
        <v>452</v>
      </c>
      <c r="F104" s="409" t="s">
        <v>150</v>
      </c>
      <c r="G104" s="1662"/>
      <c r="H104" s="1682">
        <f>H105</f>
        <v>0</v>
      </c>
      <c r="I104" s="529">
        <f>I105</f>
        <v>0</v>
      </c>
      <c r="J104" s="269">
        <f>J105</f>
        <v>0</v>
      </c>
      <c r="K104" s="1858"/>
      <c r="L104" s="1858"/>
      <c r="M104" s="1858"/>
      <c r="N104" s="1200">
        <f>N105</f>
        <v>0</v>
      </c>
      <c r="O104" s="1858"/>
      <c r="P104" s="1858"/>
      <c r="Q104" s="1858"/>
      <c r="R104" s="1858"/>
      <c r="S104" s="1858"/>
      <c r="T104" s="1858"/>
      <c r="U104" s="1682">
        <f>U105</f>
        <v>0</v>
      </c>
    </row>
    <row r="105" spans="1:25" hidden="1" x14ac:dyDescent="0.25">
      <c r="A105" s="842"/>
      <c r="B105" s="1182" t="s">
        <v>575</v>
      </c>
      <c r="C105" s="1183"/>
      <c r="D105" s="409" t="s">
        <v>456</v>
      </c>
      <c r="E105" s="409" t="s">
        <v>452</v>
      </c>
      <c r="F105" s="409" t="s">
        <v>150</v>
      </c>
      <c r="G105" s="1662" t="s">
        <v>120</v>
      </c>
      <c r="H105" s="1682"/>
      <c r="I105" s="529"/>
      <c r="J105" s="269"/>
      <c r="K105" s="1858"/>
      <c r="L105" s="1858"/>
      <c r="M105" s="1858"/>
      <c r="N105" s="1200"/>
      <c r="O105" s="1858"/>
      <c r="P105" s="1858"/>
      <c r="Q105" s="1858"/>
      <c r="R105" s="1858"/>
      <c r="S105" s="1858"/>
      <c r="T105" s="1858"/>
      <c r="U105" s="1682"/>
    </row>
    <row r="106" spans="1:25" ht="52" hidden="1" x14ac:dyDescent="0.25">
      <c r="A106" s="842"/>
      <c r="B106" s="398" t="s">
        <v>574</v>
      </c>
      <c r="C106" s="1188"/>
      <c r="D106" s="409" t="s">
        <v>456</v>
      </c>
      <c r="E106" s="409" t="s">
        <v>573</v>
      </c>
      <c r="F106" s="409" t="s">
        <v>127</v>
      </c>
      <c r="G106" s="1662"/>
      <c r="H106" s="1682">
        <f>H107+H108</f>
        <v>0</v>
      </c>
      <c r="I106" s="529">
        <f>I107+I108</f>
        <v>598.5</v>
      </c>
      <c r="J106" s="269">
        <f>J107+J108</f>
        <v>598.5</v>
      </c>
      <c r="K106" s="1858"/>
      <c r="L106" s="1858"/>
      <c r="M106" s="1858"/>
      <c r="N106" s="1200">
        <f>N107+N108</f>
        <v>0</v>
      </c>
      <c r="O106" s="1858"/>
      <c r="P106" s="1858"/>
      <c r="Q106" s="1858"/>
      <c r="R106" s="1858"/>
      <c r="S106" s="1858"/>
      <c r="T106" s="1858"/>
      <c r="U106" s="1682">
        <f>U107+U108</f>
        <v>0</v>
      </c>
    </row>
    <row r="107" spans="1:25" hidden="1" x14ac:dyDescent="0.25">
      <c r="A107" s="842"/>
      <c r="B107" s="1182" t="s">
        <v>571</v>
      </c>
      <c r="C107" s="1183"/>
      <c r="D107" s="409" t="s">
        <v>456</v>
      </c>
      <c r="E107" s="409" t="s">
        <v>573</v>
      </c>
      <c r="F107" s="409" t="s">
        <v>127</v>
      </c>
      <c r="G107" s="1662" t="s">
        <v>5</v>
      </c>
      <c r="H107" s="1682"/>
      <c r="I107" s="529">
        <v>561.29999999999995</v>
      </c>
      <c r="J107" s="269">
        <v>561.29999999999995</v>
      </c>
      <c r="K107" s="1858"/>
      <c r="L107" s="1858"/>
      <c r="M107" s="1858"/>
      <c r="N107" s="1200"/>
      <c r="O107" s="1858"/>
      <c r="P107" s="1858"/>
      <c r="Q107" s="1858"/>
      <c r="R107" s="1858"/>
      <c r="S107" s="1858"/>
      <c r="T107" s="1858"/>
      <c r="U107" s="1682"/>
    </row>
    <row r="108" spans="1:25" ht="21" hidden="1" x14ac:dyDescent="0.25">
      <c r="A108" s="842"/>
      <c r="B108" s="1182" t="s">
        <v>454</v>
      </c>
      <c r="C108" s="1183"/>
      <c r="D108" s="409" t="s">
        <v>456</v>
      </c>
      <c r="E108" s="409" t="s">
        <v>573</v>
      </c>
      <c r="F108" s="409" t="s">
        <v>127</v>
      </c>
      <c r="G108" s="1662" t="s">
        <v>1</v>
      </c>
      <c r="H108" s="1682"/>
      <c r="I108" s="529">
        <v>37.200000000000003</v>
      </c>
      <c r="J108" s="269">
        <v>37.200000000000003</v>
      </c>
      <c r="K108" s="1858"/>
      <c r="L108" s="1858"/>
      <c r="M108" s="1858"/>
      <c r="N108" s="1200"/>
      <c r="O108" s="1858"/>
      <c r="P108" s="1858"/>
      <c r="Q108" s="1858"/>
      <c r="R108" s="1858"/>
      <c r="S108" s="1858"/>
      <c r="T108" s="1858"/>
      <c r="U108" s="1682"/>
    </row>
    <row r="109" spans="1:25" x14ac:dyDescent="0.25">
      <c r="A109" s="842"/>
      <c r="B109" s="1252" t="s">
        <v>412</v>
      </c>
      <c r="C109" s="1183"/>
      <c r="D109" s="408" t="s">
        <v>488</v>
      </c>
      <c r="E109" s="408" t="s">
        <v>459</v>
      </c>
      <c r="F109" s="409"/>
      <c r="G109" s="1662"/>
      <c r="H109" s="1683">
        <f>H110</f>
        <v>834.7</v>
      </c>
      <c r="I109" s="841">
        <f t="shared" ref="I109:J113" si="15">I110</f>
        <v>0</v>
      </c>
      <c r="J109" s="276">
        <f t="shared" si="15"/>
        <v>0</v>
      </c>
      <c r="K109" s="1858"/>
      <c r="L109" s="1858"/>
      <c r="M109" s="1858"/>
      <c r="N109" s="1208">
        <f>N110</f>
        <v>844.2</v>
      </c>
      <c r="O109" s="1858"/>
      <c r="P109" s="1858"/>
      <c r="Q109" s="1858"/>
      <c r="R109" s="1858"/>
      <c r="S109" s="1858"/>
      <c r="T109" s="1858"/>
      <c r="U109" s="1683">
        <f>U110</f>
        <v>874.4</v>
      </c>
      <c r="V109" s="1861">
        <v>834.7</v>
      </c>
      <c r="W109" s="1861">
        <v>844.2</v>
      </c>
      <c r="X109" s="1861">
        <v>874.4</v>
      </c>
      <c r="Y109" s="239" t="s">
        <v>444</v>
      </c>
    </row>
    <row r="110" spans="1:25" x14ac:dyDescent="0.25">
      <c r="A110" s="842"/>
      <c r="B110" s="1252" t="s">
        <v>6</v>
      </c>
      <c r="C110" s="1183"/>
      <c r="D110" s="408" t="s">
        <v>488</v>
      </c>
      <c r="E110" s="408" t="s">
        <v>495</v>
      </c>
      <c r="F110" s="409"/>
      <c r="G110" s="1662"/>
      <c r="H110" s="1683">
        <f>H111</f>
        <v>834.7</v>
      </c>
      <c r="I110" s="841">
        <f t="shared" si="15"/>
        <v>0</v>
      </c>
      <c r="J110" s="276">
        <f t="shared" si="15"/>
        <v>0</v>
      </c>
      <c r="K110" s="1862">
        <v>727.8</v>
      </c>
      <c r="L110" s="1858"/>
      <c r="M110" s="1858"/>
      <c r="N110" s="1208">
        <f>N111</f>
        <v>844.2</v>
      </c>
      <c r="O110" s="1858"/>
      <c r="P110" s="1858"/>
      <c r="Q110" s="1858"/>
      <c r="R110" s="1858"/>
      <c r="S110" s="1858"/>
      <c r="T110" s="1858"/>
      <c r="U110" s="1683">
        <f>U111</f>
        <v>874.4</v>
      </c>
    </row>
    <row r="111" spans="1:25" ht="21" x14ac:dyDescent="0.25">
      <c r="A111" s="842"/>
      <c r="B111" s="753" t="s">
        <v>499</v>
      </c>
      <c r="C111" s="1183"/>
      <c r="D111" s="408" t="s">
        <v>488</v>
      </c>
      <c r="E111" s="408" t="s">
        <v>495</v>
      </c>
      <c r="F111" s="409" t="s">
        <v>89</v>
      </c>
      <c r="G111" s="1662"/>
      <c r="H111" s="1683">
        <f>H112</f>
        <v>834.7</v>
      </c>
      <c r="I111" s="841">
        <f t="shared" si="15"/>
        <v>0</v>
      </c>
      <c r="J111" s="276">
        <f t="shared" si="15"/>
        <v>0</v>
      </c>
      <c r="K111" s="1858"/>
      <c r="L111" s="1858"/>
      <c r="M111" s="1858"/>
      <c r="N111" s="1208">
        <f>N112</f>
        <v>844.2</v>
      </c>
      <c r="O111" s="1858"/>
      <c r="P111" s="1858"/>
      <c r="Q111" s="1858"/>
      <c r="R111" s="1858"/>
      <c r="S111" s="1858"/>
      <c r="T111" s="1858"/>
      <c r="U111" s="1683">
        <f>U112</f>
        <v>874.4</v>
      </c>
    </row>
    <row r="112" spans="1:25" x14ac:dyDescent="0.25">
      <c r="A112" s="842"/>
      <c r="B112" s="753" t="s">
        <v>109</v>
      </c>
      <c r="C112" s="1183"/>
      <c r="D112" s="409" t="s">
        <v>488</v>
      </c>
      <c r="E112" s="409" t="s">
        <v>495</v>
      </c>
      <c r="F112" s="409" t="s">
        <v>84</v>
      </c>
      <c r="G112" s="1662"/>
      <c r="H112" s="1682">
        <f>H113</f>
        <v>834.7</v>
      </c>
      <c r="I112" s="529">
        <f t="shared" si="15"/>
        <v>0</v>
      </c>
      <c r="J112" s="269">
        <f t="shared" si="15"/>
        <v>0</v>
      </c>
      <c r="K112" s="1858"/>
      <c r="L112" s="1858"/>
      <c r="M112" s="1858"/>
      <c r="N112" s="1200">
        <f>N113</f>
        <v>844.2</v>
      </c>
      <c r="O112" s="1858"/>
      <c r="P112" s="1858"/>
      <c r="Q112" s="1858"/>
      <c r="R112" s="1858"/>
      <c r="S112" s="1858"/>
      <c r="T112" s="1858"/>
      <c r="U112" s="1682">
        <f>U113</f>
        <v>874.4</v>
      </c>
    </row>
    <row r="113" spans="1:24" x14ac:dyDescent="0.25">
      <c r="A113" s="842"/>
      <c r="B113" s="753" t="s">
        <v>109</v>
      </c>
      <c r="C113" s="1183"/>
      <c r="D113" s="409" t="s">
        <v>488</v>
      </c>
      <c r="E113" s="409" t="s">
        <v>495</v>
      </c>
      <c r="F113" s="409" t="s">
        <v>82</v>
      </c>
      <c r="G113" s="1662"/>
      <c r="H113" s="1682">
        <f>H114</f>
        <v>834.7</v>
      </c>
      <c r="I113" s="529">
        <f t="shared" si="15"/>
        <v>0</v>
      </c>
      <c r="J113" s="269">
        <f t="shared" si="15"/>
        <v>0</v>
      </c>
      <c r="K113" s="1858"/>
      <c r="L113" s="1858"/>
      <c r="M113" s="1858"/>
      <c r="N113" s="1200">
        <f>N114</f>
        <v>844.2</v>
      </c>
      <c r="O113" s="1858"/>
      <c r="P113" s="1858"/>
      <c r="Q113" s="1858"/>
      <c r="R113" s="1858"/>
      <c r="S113" s="1858"/>
      <c r="T113" s="1858"/>
      <c r="U113" s="1682">
        <f>U114</f>
        <v>874.4</v>
      </c>
    </row>
    <row r="114" spans="1:24" ht="21" x14ac:dyDescent="0.25">
      <c r="A114" s="842"/>
      <c r="B114" s="1213" t="s">
        <v>8</v>
      </c>
      <c r="C114" s="1183"/>
      <c r="D114" s="409" t="s">
        <v>488</v>
      </c>
      <c r="E114" s="409" t="s">
        <v>495</v>
      </c>
      <c r="F114" s="409" t="s">
        <v>2</v>
      </c>
      <c r="G114" s="1662"/>
      <c r="H114" s="1682">
        <f>H115+H116</f>
        <v>834.7</v>
      </c>
      <c r="I114" s="529">
        <f>I115+I116</f>
        <v>0</v>
      </c>
      <c r="J114" s="269">
        <f>J115+J116</f>
        <v>0</v>
      </c>
      <c r="K114" s="1858"/>
      <c r="L114" s="1858"/>
      <c r="M114" s="1858"/>
      <c r="N114" s="1200">
        <f>N115+N116</f>
        <v>844.2</v>
      </c>
      <c r="O114" s="1858"/>
      <c r="P114" s="1858"/>
      <c r="Q114" s="1858"/>
      <c r="R114" s="1858"/>
      <c r="S114" s="1858"/>
      <c r="T114" s="1858"/>
      <c r="U114" s="1682">
        <f>U115+U116</f>
        <v>874.4</v>
      </c>
    </row>
    <row r="115" spans="1:24" x14ac:dyDescent="0.25">
      <c r="A115" s="842"/>
      <c r="B115" s="1182" t="s">
        <v>571</v>
      </c>
      <c r="C115" s="1183"/>
      <c r="D115" s="409" t="s">
        <v>488</v>
      </c>
      <c r="E115" s="409" t="s">
        <v>495</v>
      </c>
      <c r="F115" s="409" t="s">
        <v>2</v>
      </c>
      <c r="G115" s="1662" t="s">
        <v>5</v>
      </c>
      <c r="H115" s="1682">
        <v>807.12400000000002</v>
      </c>
      <c r="I115" s="529"/>
      <c r="J115" s="269"/>
      <c r="K115" s="1858">
        <v>700.22400000000005</v>
      </c>
      <c r="L115" s="1858"/>
      <c r="M115" s="1858"/>
      <c r="N115" s="1200">
        <v>816.62400000000002</v>
      </c>
      <c r="O115" s="1858"/>
      <c r="P115" s="1858"/>
      <c r="Q115" s="1858"/>
      <c r="R115" s="1858"/>
      <c r="S115" s="1858"/>
      <c r="T115" s="1858"/>
      <c r="U115" s="1682">
        <v>846.82399999999996</v>
      </c>
      <c r="V115" s="2">
        <v>807.12400000000002</v>
      </c>
      <c r="W115" s="2">
        <v>816.62400000000002</v>
      </c>
      <c r="X115" s="2">
        <v>846.82399999999996</v>
      </c>
    </row>
    <row r="116" spans="1:24" ht="21" x14ac:dyDescent="0.25">
      <c r="A116" s="842"/>
      <c r="B116" s="1182" t="s">
        <v>454</v>
      </c>
      <c r="C116" s="1183"/>
      <c r="D116" s="409" t="s">
        <v>488</v>
      </c>
      <c r="E116" s="409" t="s">
        <v>495</v>
      </c>
      <c r="F116" s="409" t="s">
        <v>2</v>
      </c>
      <c r="G116" s="1662" t="s">
        <v>1</v>
      </c>
      <c r="H116" s="1682">
        <v>27.576000000000001</v>
      </c>
      <c r="I116" s="529"/>
      <c r="J116" s="269"/>
      <c r="K116" s="1858">
        <v>27.576000000000001</v>
      </c>
      <c r="L116" s="1858"/>
      <c r="M116" s="1858"/>
      <c r="N116" s="1200">
        <v>27.576000000000001</v>
      </c>
      <c r="O116" s="1858"/>
      <c r="P116" s="1858"/>
      <c r="Q116" s="1858"/>
      <c r="R116" s="1858"/>
      <c r="S116" s="1858"/>
      <c r="T116" s="1858"/>
      <c r="U116" s="1682">
        <v>27.576000000000001</v>
      </c>
      <c r="V116" s="2"/>
      <c r="W116" s="2"/>
      <c r="X116" s="2">
        <v>27.576000000000001</v>
      </c>
    </row>
    <row r="117" spans="1:24" x14ac:dyDescent="0.25">
      <c r="A117" s="1179"/>
      <c r="B117" s="1214" t="s">
        <v>407</v>
      </c>
      <c r="C117" s="1177"/>
      <c r="D117" s="408" t="s">
        <v>495</v>
      </c>
      <c r="E117" s="408" t="s">
        <v>459</v>
      </c>
      <c r="F117" s="408"/>
      <c r="G117" s="1661"/>
      <c r="H117" s="1683">
        <f>H119+H141</f>
        <v>793.04</v>
      </c>
      <c r="I117" s="841">
        <f>I118</f>
        <v>1202</v>
      </c>
      <c r="J117" s="276">
        <f>J118</f>
        <v>676</v>
      </c>
      <c r="K117" s="1858"/>
      <c r="L117" s="1858"/>
      <c r="M117" s="1858"/>
      <c r="N117" s="1683">
        <f>N119+N141</f>
        <v>1209.0999999999999</v>
      </c>
      <c r="O117" s="1858"/>
      <c r="P117" s="1858"/>
      <c r="Q117" s="1858"/>
      <c r="R117" s="1858"/>
      <c r="S117" s="1858"/>
      <c r="T117" s="1858"/>
      <c r="U117" s="1683">
        <f>U119+U141</f>
        <v>1257.1399999999999</v>
      </c>
    </row>
    <row r="118" spans="1:24" ht="23" x14ac:dyDescent="0.25">
      <c r="A118" s="842"/>
      <c r="B118" s="1184" t="s">
        <v>570</v>
      </c>
      <c r="C118" s="1177"/>
      <c r="D118" s="408" t="s">
        <v>495</v>
      </c>
      <c r="E118" s="408" t="s">
        <v>539</v>
      </c>
      <c r="F118" s="408"/>
      <c r="G118" s="1661"/>
      <c r="H118" s="1683">
        <f>H119+H136</f>
        <v>836</v>
      </c>
      <c r="I118" s="841">
        <f>I119+I144</f>
        <v>1202</v>
      </c>
      <c r="J118" s="276">
        <f>J119+J144</f>
        <v>676</v>
      </c>
      <c r="K118" s="1858"/>
      <c r="L118" s="1858"/>
      <c r="M118" s="1858"/>
      <c r="N118" s="1683">
        <f>N119</f>
        <v>1202</v>
      </c>
      <c r="O118" s="1858"/>
      <c r="P118" s="1858"/>
      <c r="Q118" s="1858"/>
      <c r="R118" s="1858"/>
      <c r="S118" s="1858"/>
      <c r="T118" s="1858"/>
      <c r="U118" s="1683">
        <f>U119</f>
        <v>1250.04</v>
      </c>
    </row>
    <row r="119" spans="1:24" ht="21" x14ac:dyDescent="0.25">
      <c r="A119" s="1179"/>
      <c r="B119" s="1205" t="s">
        <v>912</v>
      </c>
      <c r="C119" s="1215"/>
      <c r="D119" s="409" t="s">
        <v>495</v>
      </c>
      <c r="E119" s="409" t="s">
        <v>539</v>
      </c>
      <c r="F119" s="409" t="s">
        <v>240</v>
      </c>
      <c r="G119" s="1662"/>
      <c r="H119" s="1682">
        <f>H123+H130+H135</f>
        <v>786</v>
      </c>
      <c r="I119" s="529">
        <f>I120+I132</f>
        <v>1202</v>
      </c>
      <c r="J119" s="269">
        <f>J120+J132</f>
        <v>676</v>
      </c>
      <c r="K119" s="1862">
        <f>K123+K130+K135</f>
        <v>836</v>
      </c>
      <c r="L119" s="1858"/>
      <c r="M119" s="1858"/>
      <c r="N119" s="1200">
        <f>N123+N130+N135</f>
        <v>1202</v>
      </c>
      <c r="O119" s="1858"/>
      <c r="P119" s="1858"/>
      <c r="Q119" s="1858"/>
      <c r="R119" s="1858"/>
      <c r="S119" s="1858"/>
      <c r="T119" s="1858"/>
      <c r="U119" s="1682">
        <f>U123+U130+U135</f>
        <v>1250.04</v>
      </c>
    </row>
    <row r="120" spans="1:24" ht="42" x14ac:dyDescent="0.25">
      <c r="A120" s="1179"/>
      <c r="B120" s="1216" t="s">
        <v>926</v>
      </c>
      <c r="C120" s="1215"/>
      <c r="D120" s="1217" t="s">
        <v>495</v>
      </c>
      <c r="E120" s="1217" t="s">
        <v>539</v>
      </c>
      <c r="F120" s="1217" t="s">
        <v>238</v>
      </c>
      <c r="G120" s="1664"/>
      <c r="H120" s="1682">
        <f>H121+H128</f>
        <v>612</v>
      </c>
      <c r="I120" s="529">
        <f>I121+I128</f>
        <v>506</v>
      </c>
      <c r="J120" s="269">
        <f>J121+J128</f>
        <v>646</v>
      </c>
      <c r="K120" s="1858"/>
      <c r="L120" s="1858"/>
      <c r="M120" s="1858"/>
      <c r="N120" s="1200">
        <f>N121+N128</f>
        <v>606</v>
      </c>
      <c r="O120" s="1858"/>
      <c r="P120" s="1858"/>
      <c r="Q120" s="1858"/>
      <c r="R120" s="1858"/>
      <c r="S120" s="1858"/>
      <c r="T120" s="1858"/>
      <c r="U120" s="1682">
        <f>U121+U128</f>
        <v>630.20000000000005</v>
      </c>
    </row>
    <row r="121" spans="1:24" ht="21" x14ac:dyDescent="0.25">
      <c r="A121" s="1179"/>
      <c r="B121" s="1197" t="s">
        <v>236</v>
      </c>
      <c r="C121" s="1215"/>
      <c r="D121" s="1217" t="s">
        <v>495</v>
      </c>
      <c r="E121" s="1217" t="s">
        <v>539</v>
      </c>
      <c r="F121" s="1217" t="s">
        <v>235</v>
      </c>
      <c r="G121" s="1664"/>
      <c r="H121" s="1682">
        <f>H122+H124+H126</f>
        <v>82.037000000000006</v>
      </c>
      <c r="I121" s="529">
        <f>I122+I124+I126</f>
        <v>320</v>
      </c>
      <c r="J121" s="269">
        <f>J122+J124+J126</f>
        <v>340</v>
      </c>
      <c r="K121" s="1858"/>
      <c r="L121" s="1858"/>
      <c r="M121" s="1858"/>
      <c r="N121" s="1200">
        <f>N122+N124+N126</f>
        <v>376</v>
      </c>
      <c r="O121" s="1858"/>
      <c r="P121" s="1858"/>
      <c r="Q121" s="1858"/>
      <c r="R121" s="1858"/>
      <c r="S121" s="1858"/>
      <c r="T121" s="1858"/>
      <c r="U121" s="1682">
        <f>U122+U124+U126</f>
        <v>391</v>
      </c>
    </row>
    <row r="122" spans="1:24" ht="21" x14ac:dyDescent="0.25">
      <c r="A122" s="1179"/>
      <c r="B122" s="1218" t="s">
        <v>237</v>
      </c>
      <c r="C122" s="1215"/>
      <c r="D122" s="1217" t="s">
        <v>495</v>
      </c>
      <c r="E122" s="1217" t="s">
        <v>539</v>
      </c>
      <c r="F122" s="1217" t="s">
        <v>233</v>
      </c>
      <c r="G122" s="1664"/>
      <c r="H122" s="1682">
        <f>H123</f>
        <v>82.037000000000006</v>
      </c>
      <c r="I122" s="529">
        <f>I123</f>
        <v>320</v>
      </c>
      <c r="J122" s="269">
        <f>J123</f>
        <v>340</v>
      </c>
      <c r="K122" s="1858"/>
      <c r="L122" s="1858"/>
      <c r="M122" s="1858"/>
      <c r="N122" s="1200">
        <f>N123</f>
        <v>376</v>
      </c>
      <c r="O122" s="1858"/>
      <c r="P122" s="1858"/>
      <c r="Q122" s="1858"/>
      <c r="R122" s="1858"/>
      <c r="S122" s="1858"/>
      <c r="T122" s="1858"/>
      <c r="U122" s="1682">
        <f>U123</f>
        <v>391</v>
      </c>
    </row>
    <row r="123" spans="1:24" ht="21" x14ac:dyDescent="0.25">
      <c r="A123" s="1179"/>
      <c r="B123" s="1182" t="s">
        <v>454</v>
      </c>
      <c r="C123" s="1183"/>
      <c r="D123" s="1217" t="s">
        <v>495</v>
      </c>
      <c r="E123" s="1217" t="s">
        <v>539</v>
      </c>
      <c r="F123" s="1217" t="s">
        <v>233</v>
      </c>
      <c r="G123" s="1662" t="s">
        <v>1</v>
      </c>
      <c r="H123" s="1682">
        <f>133.32-1.283-50</f>
        <v>82.037000000000006</v>
      </c>
      <c r="I123" s="529">
        <v>320</v>
      </c>
      <c r="J123" s="269">
        <v>340</v>
      </c>
      <c r="K123" s="1858">
        <v>133.32</v>
      </c>
      <c r="L123" s="1858"/>
      <c r="M123" s="1858"/>
      <c r="N123" s="1200">
        <v>376</v>
      </c>
      <c r="O123" s="1858"/>
      <c r="P123" s="1858"/>
      <c r="Q123" s="1858"/>
      <c r="R123" s="1858"/>
      <c r="S123" s="1858"/>
      <c r="T123" s="1858"/>
      <c r="U123" s="1682">
        <v>391</v>
      </c>
    </row>
    <row r="124" spans="1:24" hidden="1" x14ac:dyDescent="0.25">
      <c r="A124" s="1179"/>
      <c r="B124" s="1219" t="s">
        <v>568</v>
      </c>
      <c r="C124" s="1215"/>
      <c r="D124" s="1217" t="s">
        <v>495</v>
      </c>
      <c r="E124" s="1217" t="s">
        <v>539</v>
      </c>
      <c r="F124" s="1217" t="s">
        <v>233</v>
      </c>
      <c r="G124" s="1664" t="s">
        <v>91</v>
      </c>
      <c r="H124" s="1682"/>
      <c r="I124" s="529">
        <f>I125</f>
        <v>0</v>
      </c>
      <c r="J124" s="269">
        <f>J125</f>
        <v>0</v>
      </c>
      <c r="K124" s="1858"/>
      <c r="L124" s="1858"/>
      <c r="M124" s="1858"/>
      <c r="N124" s="1200">
        <f>N125</f>
        <v>0</v>
      </c>
      <c r="O124" s="1858"/>
      <c r="P124" s="1858"/>
      <c r="Q124" s="1858"/>
      <c r="R124" s="1858"/>
      <c r="S124" s="1858"/>
      <c r="T124" s="1858"/>
      <c r="U124" s="1682">
        <f>U125</f>
        <v>0</v>
      </c>
    </row>
    <row r="125" spans="1:24" ht="21" hidden="1" x14ac:dyDescent="0.25">
      <c r="A125" s="1179"/>
      <c r="B125" s="1182" t="s">
        <v>454</v>
      </c>
      <c r="C125" s="1183"/>
      <c r="D125" s="1217" t="s">
        <v>495</v>
      </c>
      <c r="E125" s="1217" t="s">
        <v>539</v>
      </c>
      <c r="F125" s="1217" t="s">
        <v>567</v>
      </c>
      <c r="G125" s="1662" t="s">
        <v>1</v>
      </c>
      <c r="H125" s="1682"/>
      <c r="I125" s="529"/>
      <c r="J125" s="269"/>
      <c r="K125" s="1858"/>
      <c r="L125" s="1858"/>
      <c r="M125" s="1858"/>
      <c r="N125" s="1200"/>
      <c r="O125" s="1858"/>
      <c r="P125" s="1858"/>
      <c r="Q125" s="1858"/>
      <c r="R125" s="1858"/>
      <c r="S125" s="1858"/>
      <c r="T125" s="1858"/>
      <c r="U125" s="1682"/>
    </row>
    <row r="126" spans="1:24" hidden="1" x14ac:dyDescent="0.25">
      <c r="A126" s="1179"/>
      <c r="B126" s="1219" t="s">
        <v>566</v>
      </c>
      <c r="C126" s="1215"/>
      <c r="D126" s="1217" t="s">
        <v>495</v>
      </c>
      <c r="E126" s="1217" t="s">
        <v>539</v>
      </c>
      <c r="F126" s="1217" t="s">
        <v>565</v>
      </c>
      <c r="G126" s="1664"/>
      <c r="H126" s="1682">
        <f>H127</f>
        <v>0</v>
      </c>
      <c r="I126" s="529">
        <f>I127</f>
        <v>0</v>
      </c>
      <c r="J126" s="269">
        <f>J127</f>
        <v>0</v>
      </c>
      <c r="K126" s="1858"/>
      <c r="L126" s="1858"/>
      <c r="M126" s="1858"/>
      <c r="N126" s="1200">
        <f>N127</f>
        <v>0</v>
      </c>
      <c r="O126" s="1858"/>
      <c r="P126" s="1858"/>
      <c r="Q126" s="1858"/>
      <c r="R126" s="1858"/>
      <c r="S126" s="1858"/>
      <c r="T126" s="1858"/>
      <c r="U126" s="1682">
        <f>U127</f>
        <v>0</v>
      </c>
    </row>
    <row r="127" spans="1:24" ht="21" hidden="1" x14ac:dyDescent="0.25">
      <c r="A127" s="1179"/>
      <c r="B127" s="1182" t="s">
        <v>454</v>
      </c>
      <c r="C127" s="1183"/>
      <c r="D127" s="1217" t="s">
        <v>495</v>
      </c>
      <c r="E127" s="1217" t="s">
        <v>539</v>
      </c>
      <c r="F127" s="1217" t="s">
        <v>565</v>
      </c>
      <c r="G127" s="1662" t="s">
        <v>1</v>
      </c>
      <c r="H127" s="1682"/>
      <c r="I127" s="529"/>
      <c r="J127" s="269"/>
      <c r="K127" s="1858"/>
      <c r="L127" s="1858"/>
      <c r="M127" s="1858"/>
      <c r="N127" s="1200"/>
      <c r="O127" s="1858"/>
      <c r="P127" s="1858"/>
      <c r="Q127" s="1858"/>
      <c r="R127" s="1858"/>
      <c r="S127" s="1858"/>
      <c r="T127" s="1858"/>
      <c r="U127" s="1682"/>
    </row>
    <row r="128" spans="1:24" x14ac:dyDescent="0.25">
      <c r="A128" s="1179"/>
      <c r="B128" s="1219" t="s">
        <v>564</v>
      </c>
      <c r="C128" s="1215"/>
      <c r="D128" s="1217" t="s">
        <v>495</v>
      </c>
      <c r="E128" s="1217" t="s">
        <v>539</v>
      </c>
      <c r="F128" s="1217" t="s">
        <v>231</v>
      </c>
      <c r="G128" s="1664"/>
      <c r="H128" s="1682">
        <f>H129</f>
        <v>529.96299999999997</v>
      </c>
      <c r="I128" s="529">
        <f>I129</f>
        <v>186</v>
      </c>
      <c r="J128" s="269">
        <f>J129</f>
        <v>306</v>
      </c>
      <c r="K128" s="1858"/>
      <c r="L128" s="1858"/>
      <c r="M128" s="1858"/>
      <c r="N128" s="1200">
        <f>N129</f>
        <v>230</v>
      </c>
      <c r="O128" s="1858"/>
      <c r="P128" s="1858"/>
      <c r="Q128" s="1858"/>
      <c r="R128" s="1858"/>
      <c r="S128" s="1858"/>
      <c r="T128" s="1858"/>
      <c r="U128" s="1682">
        <f>U129</f>
        <v>239.2</v>
      </c>
    </row>
    <row r="129" spans="1:25" x14ac:dyDescent="0.25">
      <c r="A129" s="1179"/>
      <c r="B129" s="1117" t="s">
        <v>563</v>
      </c>
      <c r="C129" s="1188"/>
      <c r="D129" s="409" t="s">
        <v>495</v>
      </c>
      <c r="E129" s="409" t="s">
        <v>539</v>
      </c>
      <c r="F129" s="1217" t="s">
        <v>229</v>
      </c>
      <c r="G129" s="1664"/>
      <c r="H129" s="1682">
        <f>H130+H131</f>
        <v>529.96299999999997</v>
      </c>
      <c r="I129" s="529">
        <f>I130+I131</f>
        <v>186</v>
      </c>
      <c r="J129" s="269">
        <f>J130+J131</f>
        <v>306</v>
      </c>
      <c r="K129" s="1858"/>
      <c r="L129" s="1858"/>
      <c r="M129" s="1858"/>
      <c r="N129" s="1200">
        <f>N130+N131</f>
        <v>230</v>
      </c>
      <c r="O129" s="1858"/>
      <c r="P129" s="1858"/>
      <c r="Q129" s="1858"/>
      <c r="R129" s="1858"/>
      <c r="S129" s="1858"/>
      <c r="T129" s="1858"/>
      <c r="U129" s="1682">
        <f>U130+U131</f>
        <v>239.2</v>
      </c>
    </row>
    <row r="130" spans="1:25" ht="21" x14ac:dyDescent="0.25">
      <c r="A130" s="1179"/>
      <c r="B130" s="1182" t="s">
        <v>454</v>
      </c>
      <c r="C130" s="1183"/>
      <c r="D130" s="409" t="s">
        <v>495</v>
      </c>
      <c r="E130" s="409" t="s">
        <v>539</v>
      </c>
      <c r="F130" s="1217" t="s">
        <v>229</v>
      </c>
      <c r="G130" s="1664">
        <v>240</v>
      </c>
      <c r="H130" s="1682">
        <f>310+1.283+218.68</f>
        <v>529.96299999999997</v>
      </c>
      <c r="I130" s="529">
        <v>186</v>
      </c>
      <c r="J130" s="269">
        <v>306</v>
      </c>
      <c r="K130" s="1858">
        <v>310</v>
      </c>
      <c r="L130" s="1858"/>
      <c r="M130" s="1858"/>
      <c r="N130" s="1200">
        <v>230</v>
      </c>
      <c r="O130" s="1858"/>
      <c r="P130" s="1858"/>
      <c r="Q130" s="1858"/>
      <c r="R130" s="1858"/>
      <c r="S130" s="1858"/>
      <c r="T130" s="1858"/>
      <c r="U130" s="1682">
        <v>239.2</v>
      </c>
    </row>
    <row r="131" spans="1:25" ht="21" hidden="1" x14ac:dyDescent="0.25">
      <c r="A131" s="1179"/>
      <c r="B131" s="1183" t="s">
        <v>562</v>
      </c>
      <c r="C131" s="1183"/>
      <c r="D131" s="409" t="s">
        <v>495</v>
      </c>
      <c r="E131" s="409" t="s">
        <v>539</v>
      </c>
      <c r="F131" s="1217" t="s">
        <v>229</v>
      </c>
      <c r="G131" s="1664" t="s">
        <v>561</v>
      </c>
      <c r="H131" s="1682"/>
      <c r="I131" s="529"/>
      <c r="J131" s="269"/>
      <c r="K131" s="1858"/>
      <c r="L131" s="1858"/>
      <c r="M131" s="1858"/>
      <c r="N131" s="1200"/>
      <c r="O131" s="1858"/>
      <c r="P131" s="1858"/>
      <c r="Q131" s="1858"/>
      <c r="R131" s="1858"/>
      <c r="S131" s="1858"/>
      <c r="T131" s="1858"/>
      <c r="U131" s="1682"/>
    </row>
    <row r="132" spans="1:25" x14ac:dyDescent="0.25">
      <c r="A132" s="1179"/>
      <c r="B132" s="1219" t="s">
        <v>560</v>
      </c>
      <c r="C132" s="1215"/>
      <c r="D132" s="1217" t="s">
        <v>495</v>
      </c>
      <c r="E132" s="1217" t="s">
        <v>539</v>
      </c>
      <c r="F132" s="1217" t="s">
        <v>227</v>
      </c>
      <c r="G132" s="1664"/>
      <c r="H132" s="1682">
        <f>H133</f>
        <v>174</v>
      </c>
      <c r="I132" s="529">
        <f>I133</f>
        <v>696</v>
      </c>
      <c r="J132" s="269">
        <f>J133</f>
        <v>30</v>
      </c>
      <c r="K132" s="1858"/>
      <c r="L132" s="1858"/>
      <c r="M132" s="1858"/>
      <c r="N132" s="1200">
        <f>N133</f>
        <v>596</v>
      </c>
      <c r="O132" s="1858"/>
      <c r="P132" s="1858"/>
      <c r="Q132" s="1858"/>
      <c r="R132" s="1858"/>
      <c r="S132" s="1858"/>
      <c r="T132" s="1858"/>
      <c r="U132" s="1682">
        <f>U133</f>
        <v>619.84</v>
      </c>
    </row>
    <row r="133" spans="1:25" ht="21" x14ac:dyDescent="0.25">
      <c r="A133" s="1179"/>
      <c r="B133" s="1219" t="s">
        <v>559</v>
      </c>
      <c r="C133" s="1215"/>
      <c r="D133" s="1217" t="s">
        <v>495</v>
      </c>
      <c r="E133" s="1217" t="s">
        <v>539</v>
      </c>
      <c r="F133" s="1217" t="s">
        <v>225</v>
      </c>
      <c r="G133" s="1664"/>
      <c r="H133" s="1682">
        <f>H134</f>
        <v>174</v>
      </c>
      <c r="I133" s="529">
        <f>I134+I141</f>
        <v>696</v>
      </c>
      <c r="J133" s="269">
        <f>J134+J141</f>
        <v>30</v>
      </c>
      <c r="K133" s="1858"/>
      <c r="L133" s="1858"/>
      <c r="M133" s="1858"/>
      <c r="N133" s="1200">
        <f>N134</f>
        <v>596</v>
      </c>
      <c r="O133" s="1858"/>
      <c r="P133" s="1858"/>
      <c r="Q133" s="1858"/>
      <c r="R133" s="1858"/>
      <c r="S133" s="1858"/>
      <c r="T133" s="1858"/>
      <c r="U133" s="1682">
        <f>U134</f>
        <v>619.84</v>
      </c>
    </row>
    <row r="134" spans="1:25" x14ac:dyDescent="0.25">
      <c r="A134" s="1179"/>
      <c r="B134" s="1863" t="s">
        <v>224</v>
      </c>
      <c r="C134" s="1188"/>
      <c r="D134" s="1217" t="s">
        <v>495</v>
      </c>
      <c r="E134" s="1217" t="s">
        <v>539</v>
      </c>
      <c r="F134" s="1217" t="s">
        <v>220</v>
      </c>
      <c r="G134" s="1664"/>
      <c r="H134" s="1682">
        <f>H135</f>
        <v>174</v>
      </c>
      <c r="I134" s="529">
        <f>I135</f>
        <v>696</v>
      </c>
      <c r="J134" s="269">
        <f>J135</f>
        <v>30</v>
      </c>
      <c r="K134" s="1858"/>
      <c r="L134" s="1858"/>
      <c r="M134" s="1858"/>
      <c r="N134" s="1200">
        <f>N135</f>
        <v>596</v>
      </c>
      <c r="O134" s="1858"/>
      <c r="P134" s="1858"/>
      <c r="Q134" s="1858"/>
      <c r="R134" s="1858"/>
      <c r="S134" s="1858"/>
      <c r="T134" s="1858"/>
      <c r="U134" s="1682">
        <f>U135</f>
        <v>619.84</v>
      </c>
    </row>
    <row r="135" spans="1:25" ht="21" x14ac:dyDescent="0.25">
      <c r="A135" s="1179"/>
      <c r="B135" s="1182" t="s">
        <v>454</v>
      </c>
      <c r="C135" s="1183"/>
      <c r="D135" s="1217" t="s">
        <v>495</v>
      </c>
      <c r="E135" s="1217" t="s">
        <v>539</v>
      </c>
      <c r="F135" s="1217" t="s">
        <v>220</v>
      </c>
      <c r="G135" s="1662" t="s">
        <v>1</v>
      </c>
      <c r="H135" s="1682">
        <f>392.68-218.68</f>
        <v>174</v>
      </c>
      <c r="I135" s="529">
        <v>696</v>
      </c>
      <c r="J135" s="269">
        <v>30</v>
      </c>
      <c r="K135" s="1858">
        <v>392.68</v>
      </c>
      <c r="L135" s="1858"/>
      <c r="M135" s="1858"/>
      <c r="N135" s="1200">
        <v>596</v>
      </c>
      <c r="O135" s="1858"/>
      <c r="P135" s="1858"/>
      <c r="Q135" s="1858"/>
      <c r="R135" s="1858"/>
      <c r="S135" s="1858"/>
      <c r="T135" s="1858"/>
      <c r="U135" s="1682">
        <v>619.84</v>
      </c>
    </row>
    <row r="136" spans="1:25" ht="21" x14ac:dyDescent="0.25">
      <c r="A136" s="1179"/>
      <c r="B136" s="753" t="s">
        <v>499</v>
      </c>
      <c r="C136" s="1183"/>
      <c r="D136" s="1217" t="s">
        <v>495</v>
      </c>
      <c r="E136" s="1217" t="s">
        <v>539</v>
      </c>
      <c r="F136" s="409" t="s">
        <v>89</v>
      </c>
      <c r="G136" s="1662"/>
      <c r="H136" s="1682">
        <f>H137</f>
        <v>50</v>
      </c>
      <c r="I136" s="529"/>
      <c r="J136" s="269"/>
      <c r="K136" s="1858"/>
      <c r="L136" s="1858"/>
      <c r="M136" s="1858"/>
      <c r="N136" s="1200"/>
      <c r="O136" s="1858"/>
      <c r="P136" s="1858"/>
      <c r="Q136" s="1858"/>
      <c r="R136" s="1858"/>
      <c r="S136" s="1858"/>
      <c r="T136" s="1858"/>
      <c r="U136" s="1682"/>
    </row>
    <row r="137" spans="1:25" x14ac:dyDescent="0.25">
      <c r="A137" s="1179"/>
      <c r="B137" s="753" t="s">
        <v>109</v>
      </c>
      <c r="C137" s="1183"/>
      <c r="D137" s="1217" t="s">
        <v>495</v>
      </c>
      <c r="E137" s="1217" t="s">
        <v>539</v>
      </c>
      <c r="F137" s="409" t="s">
        <v>84</v>
      </c>
      <c r="G137" s="1662"/>
      <c r="H137" s="1682">
        <f>H138</f>
        <v>50</v>
      </c>
      <c r="I137" s="529"/>
      <c r="J137" s="269"/>
      <c r="K137" s="1858"/>
      <c r="L137" s="1858"/>
      <c r="M137" s="1858"/>
      <c r="N137" s="1200"/>
      <c r="O137" s="1858"/>
      <c r="P137" s="1858"/>
      <c r="Q137" s="1858"/>
      <c r="R137" s="1858"/>
      <c r="S137" s="1858"/>
      <c r="T137" s="1858"/>
      <c r="U137" s="1682"/>
    </row>
    <row r="138" spans="1:25" x14ac:dyDescent="0.25">
      <c r="A138" s="1179"/>
      <c r="B138" s="753" t="s">
        <v>109</v>
      </c>
      <c r="C138" s="1183"/>
      <c r="D138" s="1217" t="s">
        <v>495</v>
      </c>
      <c r="E138" s="1217" t="s">
        <v>539</v>
      </c>
      <c r="F138" s="409" t="s">
        <v>82</v>
      </c>
      <c r="G138" s="1662"/>
      <c r="H138" s="1682">
        <f>H139</f>
        <v>50</v>
      </c>
      <c r="I138" s="529"/>
      <c r="J138" s="269"/>
      <c r="K138" s="1858"/>
      <c r="L138" s="1858"/>
      <c r="M138" s="1858"/>
      <c r="N138" s="1200"/>
      <c r="O138" s="1858"/>
      <c r="P138" s="1858"/>
      <c r="Q138" s="1858"/>
      <c r="R138" s="1858"/>
      <c r="S138" s="1858"/>
      <c r="T138" s="1858"/>
      <c r="U138" s="1682"/>
    </row>
    <row r="139" spans="1:25" ht="25.5" customHeight="1" x14ac:dyDescent="0.25">
      <c r="A139" s="1179"/>
      <c r="B139" s="1182" t="s">
        <v>237</v>
      </c>
      <c r="C139" s="1183"/>
      <c r="D139" s="1217" t="s">
        <v>495</v>
      </c>
      <c r="E139" s="1217" t="s">
        <v>539</v>
      </c>
      <c r="F139" s="1217" t="s">
        <v>1006</v>
      </c>
      <c r="G139" s="1662"/>
      <c r="H139" s="1682">
        <f>H140</f>
        <v>50</v>
      </c>
      <c r="I139" s="529"/>
      <c r="J139" s="269"/>
      <c r="K139" s="1858"/>
      <c r="L139" s="1858"/>
      <c r="M139" s="1858"/>
      <c r="N139" s="1200"/>
      <c r="O139" s="1858"/>
      <c r="P139" s="1858"/>
      <c r="Q139" s="1858"/>
      <c r="R139" s="1858"/>
      <c r="S139" s="1858"/>
      <c r="T139" s="1858"/>
      <c r="U139" s="1682"/>
    </row>
    <row r="140" spans="1:25" x14ac:dyDescent="0.25">
      <c r="A140" s="1179"/>
      <c r="B140" s="1182" t="s">
        <v>457</v>
      </c>
      <c r="C140" s="1183"/>
      <c r="D140" s="1217" t="s">
        <v>495</v>
      </c>
      <c r="E140" s="1217" t="s">
        <v>539</v>
      </c>
      <c r="F140" s="1217" t="s">
        <v>1006</v>
      </c>
      <c r="G140" s="1662" t="s">
        <v>91</v>
      </c>
      <c r="H140" s="1682">
        <v>50</v>
      </c>
      <c r="I140" s="529"/>
      <c r="J140" s="269"/>
      <c r="K140" s="1858"/>
      <c r="L140" s="1858"/>
      <c r="M140" s="1858"/>
      <c r="N140" s="1200"/>
      <c r="O140" s="1858"/>
      <c r="P140" s="1858"/>
      <c r="Q140" s="1858"/>
      <c r="R140" s="1858"/>
      <c r="S140" s="1858"/>
      <c r="T140" s="1858"/>
      <c r="U140" s="1682"/>
    </row>
    <row r="141" spans="1:25" ht="27" customHeight="1" x14ac:dyDescent="0.25">
      <c r="A141" s="1179"/>
      <c r="B141" s="1214" t="s">
        <v>833</v>
      </c>
      <c r="C141" s="1188"/>
      <c r="D141" s="1221" t="s">
        <v>495</v>
      </c>
      <c r="E141" s="1221" t="s">
        <v>832</v>
      </c>
      <c r="F141" s="408"/>
      <c r="G141" s="1769"/>
      <c r="H141" s="1683">
        <f>H143</f>
        <v>7.04</v>
      </c>
      <c r="I141" s="529">
        <f>I143</f>
        <v>0</v>
      </c>
      <c r="J141" s="269">
        <f>J143</f>
        <v>0</v>
      </c>
      <c r="K141" s="1858"/>
      <c r="L141" s="1858"/>
      <c r="M141" s="1858"/>
      <c r="N141" s="1208">
        <f>N143</f>
        <v>7.1</v>
      </c>
      <c r="O141" s="1858"/>
      <c r="P141" s="1858"/>
      <c r="Q141" s="1858"/>
      <c r="R141" s="1858"/>
      <c r="S141" s="1858"/>
      <c r="T141" s="1858"/>
      <c r="U141" s="1683">
        <f>U143</f>
        <v>7.1</v>
      </c>
      <c r="V141" s="1861">
        <v>7.1</v>
      </c>
      <c r="W141" s="1861">
        <v>7.1</v>
      </c>
      <c r="X141" s="1861">
        <v>7.1</v>
      </c>
      <c r="Y141" s="239" t="s">
        <v>444</v>
      </c>
    </row>
    <row r="142" spans="1:25" ht="26.25" customHeight="1" x14ac:dyDescent="0.25">
      <c r="A142" s="1179"/>
      <c r="B142" s="753" t="s">
        <v>583</v>
      </c>
      <c r="C142" s="1188"/>
      <c r="D142" s="1217" t="s">
        <v>495</v>
      </c>
      <c r="E142" s="1217" t="s">
        <v>832</v>
      </c>
      <c r="F142" s="409" t="s">
        <v>157</v>
      </c>
      <c r="G142" s="1664"/>
      <c r="H142" s="1682">
        <f>H143</f>
        <v>7.04</v>
      </c>
      <c r="I142" s="529"/>
      <c r="J142" s="269"/>
      <c r="K142" s="1858"/>
      <c r="L142" s="1858"/>
      <c r="M142" s="1858"/>
      <c r="N142" s="1200">
        <f>N143</f>
        <v>7.1</v>
      </c>
      <c r="O142" s="1858"/>
      <c r="P142" s="1858"/>
      <c r="Q142" s="1858"/>
      <c r="R142" s="1858"/>
      <c r="S142" s="1858"/>
      <c r="T142" s="1858"/>
      <c r="U142" s="1682">
        <f>U143</f>
        <v>7.1</v>
      </c>
    </row>
    <row r="143" spans="1:25" ht="27.75" customHeight="1" x14ac:dyDescent="0.25">
      <c r="A143" s="1179"/>
      <c r="B143" s="1197" t="s">
        <v>156</v>
      </c>
      <c r="C143" s="1183"/>
      <c r="D143" s="1217" t="s">
        <v>495</v>
      </c>
      <c r="E143" s="1217" t="s">
        <v>832</v>
      </c>
      <c r="F143" s="409" t="s">
        <v>155</v>
      </c>
      <c r="G143" s="1662"/>
      <c r="H143" s="1682">
        <f>H144</f>
        <v>7.04</v>
      </c>
      <c r="I143" s="529"/>
      <c r="J143" s="269"/>
      <c r="K143" s="1858"/>
      <c r="L143" s="1858"/>
      <c r="M143" s="1858"/>
      <c r="N143" s="1200">
        <f>N144</f>
        <v>7.1</v>
      </c>
      <c r="O143" s="1858"/>
      <c r="P143" s="1858"/>
      <c r="Q143" s="1858"/>
      <c r="R143" s="1858"/>
      <c r="S143" s="1858"/>
      <c r="T143" s="1858"/>
      <c r="U143" s="1682">
        <f>U144</f>
        <v>7.1</v>
      </c>
    </row>
    <row r="144" spans="1:25" x14ac:dyDescent="0.25">
      <c r="A144" s="842"/>
      <c r="B144" s="1219" t="s">
        <v>109</v>
      </c>
      <c r="C144" s="1222"/>
      <c r="D144" s="409" t="s">
        <v>495</v>
      </c>
      <c r="E144" s="409" t="s">
        <v>832</v>
      </c>
      <c r="F144" s="409" t="s">
        <v>154</v>
      </c>
      <c r="G144" s="1662"/>
      <c r="H144" s="1682">
        <f>H145</f>
        <v>7.04</v>
      </c>
      <c r="I144" s="841">
        <f t="shared" ref="I144:J145" si="16">I145</f>
        <v>0</v>
      </c>
      <c r="J144" s="276">
        <f t="shared" si="16"/>
        <v>0</v>
      </c>
      <c r="K144" s="1858"/>
      <c r="L144" s="1858"/>
      <c r="M144" s="1858"/>
      <c r="N144" s="1200">
        <f>N145</f>
        <v>7.1</v>
      </c>
      <c r="O144" s="1858"/>
      <c r="P144" s="1858"/>
      <c r="Q144" s="1858"/>
      <c r="R144" s="1858"/>
      <c r="S144" s="1858"/>
      <c r="T144" s="1858"/>
      <c r="U144" s="1682">
        <f>U145</f>
        <v>7.1</v>
      </c>
    </row>
    <row r="145" spans="1:24" ht="31.5" x14ac:dyDescent="0.25">
      <c r="A145" s="1179"/>
      <c r="B145" s="1219" t="s">
        <v>834</v>
      </c>
      <c r="C145" s="1223"/>
      <c r="D145" s="409" t="s">
        <v>495</v>
      </c>
      <c r="E145" s="409" t="s">
        <v>832</v>
      </c>
      <c r="F145" s="409" t="s">
        <v>127</v>
      </c>
      <c r="G145" s="1662"/>
      <c r="H145" s="1682">
        <f>H146+H147</f>
        <v>7.04</v>
      </c>
      <c r="I145" s="529">
        <f t="shared" si="16"/>
        <v>0</v>
      </c>
      <c r="J145" s="269">
        <f t="shared" si="16"/>
        <v>0</v>
      </c>
      <c r="K145" s="1862">
        <f>K146+K147</f>
        <v>37.200000000000003</v>
      </c>
      <c r="L145" s="1858"/>
      <c r="M145" s="1858"/>
      <c r="N145" s="1200">
        <f>N146+N147</f>
        <v>7.1</v>
      </c>
      <c r="O145" s="1858"/>
      <c r="P145" s="1858"/>
      <c r="Q145" s="1858"/>
      <c r="R145" s="1858"/>
      <c r="S145" s="1858"/>
      <c r="T145" s="1858"/>
      <c r="U145" s="1682">
        <f>U146+U147</f>
        <v>7.1</v>
      </c>
    </row>
    <row r="146" spans="1:24" x14ac:dyDescent="0.25">
      <c r="A146" s="842"/>
      <c r="B146" s="753" t="s">
        <v>571</v>
      </c>
      <c r="C146" s="1224"/>
      <c r="D146" s="1217" t="s">
        <v>495</v>
      </c>
      <c r="E146" s="1217" t="s">
        <v>832</v>
      </c>
      <c r="F146" s="409" t="s">
        <v>127</v>
      </c>
      <c r="G146" s="1662" t="s">
        <v>5</v>
      </c>
      <c r="H146" s="1682"/>
      <c r="I146" s="529"/>
      <c r="J146" s="269"/>
      <c r="K146" s="1858"/>
      <c r="L146" s="1858"/>
      <c r="M146" s="1858"/>
      <c r="N146" s="1200"/>
      <c r="O146" s="1858"/>
      <c r="P146" s="1858"/>
      <c r="Q146" s="1858"/>
      <c r="R146" s="1858"/>
      <c r="S146" s="1858"/>
      <c r="T146" s="1858"/>
      <c r="U146" s="1682"/>
    </row>
    <row r="147" spans="1:24" ht="21" x14ac:dyDescent="0.25">
      <c r="A147" s="1179"/>
      <c r="B147" s="1182" t="s">
        <v>454</v>
      </c>
      <c r="C147" s="1183"/>
      <c r="D147" s="1217" t="s">
        <v>495</v>
      </c>
      <c r="E147" s="1217" t="s">
        <v>832</v>
      </c>
      <c r="F147" s="409" t="s">
        <v>127</v>
      </c>
      <c r="G147" s="1662" t="s">
        <v>1</v>
      </c>
      <c r="H147" s="1682">
        <f>7.1-0.06</f>
        <v>7.04</v>
      </c>
      <c r="I147" s="529"/>
      <c r="J147" s="269"/>
      <c r="K147" s="1858">
        <v>37.200000000000003</v>
      </c>
      <c r="L147" s="1858"/>
      <c r="M147" s="1858"/>
      <c r="N147" s="1200">
        <v>7.1</v>
      </c>
      <c r="O147" s="1858"/>
      <c r="P147" s="1858"/>
      <c r="Q147" s="1858"/>
      <c r="R147" s="1858"/>
      <c r="S147" s="1858"/>
      <c r="T147" s="1858"/>
      <c r="U147" s="1682">
        <v>7.1</v>
      </c>
      <c r="V147" s="1861">
        <v>7.1</v>
      </c>
      <c r="W147" s="1861">
        <v>7.1</v>
      </c>
      <c r="X147" s="1861">
        <v>7.1</v>
      </c>
    </row>
    <row r="148" spans="1:24" x14ac:dyDescent="0.25">
      <c r="A148" s="1179"/>
      <c r="B148" s="1225" t="s">
        <v>396</v>
      </c>
      <c r="C148" s="1226"/>
      <c r="D148" s="1227" t="s">
        <v>452</v>
      </c>
      <c r="E148" s="1227" t="s">
        <v>459</v>
      </c>
      <c r="F148" s="1227"/>
      <c r="G148" s="1665"/>
      <c r="H148" s="1684">
        <f>H149+H182</f>
        <v>6312.7010000000009</v>
      </c>
      <c r="I148" s="853">
        <f>I149+I182</f>
        <v>6055</v>
      </c>
      <c r="J148" s="400">
        <f>J149+J182</f>
        <v>6300</v>
      </c>
      <c r="K148" s="1858"/>
      <c r="L148" s="1858"/>
      <c r="M148" s="1858"/>
      <c r="N148" s="1228">
        <f>N149+N182</f>
        <v>5644.7219999999998</v>
      </c>
      <c r="O148" s="1858"/>
      <c r="P148" s="1858"/>
      <c r="Q148" s="1858"/>
      <c r="R148" s="1858"/>
      <c r="S148" s="1858"/>
      <c r="T148" s="1858"/>
      <c r="U148" s="1684">
        <f>U149+U182</f>
        <v>3924.0209999999997</v>
      </c>
    </row>
    <row r="149" spans="1:24" x14ac:dyDescent="0.25">
      <c r="A149" s="1229"/>
      <c r="B149" s="1225" t="s">
        <v>60</v>
      </c>
      <c r="C149" s="1227"/>
      <c r="D149" s="1227" t="s">
        <v>452</v>
      </c>
      <c r="E149" s="1227" t="s">
        <v>539</v>
      </c>
      <c r="F149" s="1227"/>
      <c r="G149" s="1665"/>
      <c r="H149" s="1684">
        <f>H154+H156+H162+H164+H181</f>
        <v>4330.8470000000007</v>
      </c>
      <c r="I149" s="853">
        <f>I150</f>
        <v>5740</v>
      </c>
      <c r="J149" s="400">
        <f>J150</f>
        <v>5980</v>
      </c>
      <c r="K149" s="1858"/>
      <c r="L149" s="1858"/>
      <c r="M149" s="1858"/>
      <c r="N149" s="1228">
        <f>N154+N156+N162+N164+N181</f>
        <v>3908.3220000000001</v>
      </c>
      <c r="O149" s="1858"/>
      <c r="P149" s="1858"/>
      <c r="Q149" s="1858"/>
      <c r="R149" s="1858"/>
      <c r="S149" s="1858"/>
      <c r="T149" s="1858"/>
      <c r="U149" s="1684">
        <f>U154+U156+U162+U164+U181</f>
        <v>3021.3209999999999</v>
      </c>
    </row>
    <row r="150" spans="1:24" ht="30" customHeight="1" x14ac:dyDescent="0.25">
      <c r="A150" s="1179"/>
      <c r="B150" s="1205" t="s">
        <v>927</v>
      </c>
      <c r="C150" s="409"/>
      <c r="D150" s="409" t="s">
        <v>452</v>
      </c>
      <c r="E150" s="409" t="s">
        <v>539</v>
      </c>
      <c r="F150" s="409" t="s">
        <v>218</v>
      </c>
      <c r="G150" s="1662"/>
      <c r="H150" s="1682">
        <f>H151+H159</f>
        <v>4330.8470000000007</v>
      </c>
      <c r="I150" s="529">
        <f>I151+I159</f>
        <v>5740</v>
      </c>
      <c r="J150" s="270">
        <f>J151+J159</f>
        <v>5980</v>
      </c>
      <c r="K150" s="1858"/>
      <c r="L150" s="1858"/>
      <c r="M150" s="1858"/>
      <c r="N150" s="1200">
        <f>N151+N159</f>
        <v>2182.1999999999998</v>
      </c>
      <c r="O150" s="1858"/>
      <c r="P150" s="1858"/>
      <c r="Q150" s="1858"/>
      <c r="R150" s="1858"/>
      <c r="S150" s="1858"/>
      <c r="T150" s="1858"/>
      <c r="U150" s="1682">
        <f>U151+U159</f>
        <v>1295.1990000000001</v>
      </c>
    </row>
    <row r="151" spans="1:24" ht="21" x14ac:dyDescent="0.25">
      <c r="A151" s="1179"/>
      <c r="B151" s="1205" t="s">
        <v>217</v>
      </c>
      <c r="C151" s="1217"/>
      <c r="D151" s="1217" t="s">
        <v>452</v>
      </c>
      <c r="E151" s="1217" t="s">
        <v>539</v>
      </c>
      <c r="F151" s="409" t="s">
        <v>216</v>
      </c>
      <c r="G151" s="1664"/>
      <c r="H151" s="1682">
        <f>H152</f>
        <v>3002.7750000000005</v>
      </c>
      <c r="I151" s="529">
        <f>I152</f>
        <v>0</v>
      </c>
      <c r="J151" s="270">
        <f>J152</f>
        <v>0</v>
      </c>
      <c r="K151" s="1862">
        <f>K154+K156+K162+K164+K181</f>
        <v>5289.9639999999999</v>
      </c>
      <c r="L151" s="1858"/>
      <c r="M151" s="1858"/>
      <c r="N151" s="1200"/>
      <c r="O151" s="1858"/>
      <c r="P151" s="1858"/>
      <c r="Q151" s="1858"/>
      <c r="R151" s="1858"/>
      <c r="S151" s="1858"/>
      <c r="T151" s="1858"/>
      <c r="U151" s="1682"/>
    </row>
    <row r="152" spans="1:24" ht="52.5" x14ac:dyDescent="0.25">
      <c r="A152" s="1179"/>
      <c r="B152" s="1197" t="s">
        <v>986</v>
      </c>
      <c r="C152" s="1217"/>
      <c r="D152" s="1217" t="s">
        <v>452</v>
      </c>
      <c r="E152" s="1217" t="s">
        <v>539</v>
      </c>
      <c r="F152" s="1217" t="s">
        <v>214</v>
      </c>
      <c r="G152" s="1664"/>
      <c r="H152" s="1682">
        <f>H153+H155+H158</f>
        <v>3002.7750000000005</v>
      </c>
      <c r="I152" s="529">
        <f>I153+I155+I158</f>
        <v>0</v>
      </c>
      <c r="J152" s="270">
        <f>J153+J155+J158</f>
        <v>0</v>
      </c>
      <c r="K152" s="1858"/>
      <c r="L152" s="1858"/>
      <c r="M152" s="1858"/>
      <c r="N152" s="1200"/>
      <c r="O152" s="1858"/>
      <c r="P152" s="1858"/>
      <c r="Q152" s="1858"/>
      <c r="R152" s="1858"/>
      <c r="S152" s="1858"/>
      <c r="T152" s="1858"/>
      <c r="U152" s="1682"/>
    </row>
    <row r="153" spans="1:24" x14ac:dyDescent="0.25">
      <c r="A153" s="1179"/>
      <c r="B153" s="1197" t="s">
        <v>619</v>
      </c>
      <c r="C153" s="1217"/>
      <c r="D153" s="1217" t="s">
        <v>452</v>
      </c>
      <c r="E153" s="1217" t="s">
        <v>539</v>
      </c>
      <c r="F153" s="1217" t="s">
        <v>213</v>
      </c>
      <c r="G153" s="1662"/>
      <c r="H153" s="1682">
        <f>H154</f>
        <v>1207.0940000000003</v>
      </c>
      <c r="I153" s="529">
        <f>I154</f>
        <v>0</v>
      </c>
      <c r="J153" s="270">
        <f>J154</f>
        <v>0</v>
      </c>
      <c r="K153" s="1858"/>
      <c r="L153" s="1858"/>
      <c r="M153" s="1858"/>
      <c r="N153" s="1200"/>
      <c r="O153" s="1858"/>
      <c r="P153" s="1858"/>
      <c r="Q153" s="1858"/>
      <c r="R153" s="1858"/>
      <c r="S153" s="1858"/>
      <c r="T153" s="1858"/>
      <c r="U153" s="1682"/>
    </row>
    <row r="154" spans="1:24" ht="21" x14ac:dyDescent="0.25">
      <c r="A154" s="1179"/>
      <c r="B154" s="1182" t="s">
        <v>454</v>
      </c>
      <c r="C154" s="1217"/>
      <c r="D154" s="1217" t="s">
        <v>452</v>
      </c>
      <c r="E154" s="1217" t="s">
        <v>539</v>
      </c>
      <c r="F154" s="1217" t="s">
        <v>213</v>
      </c>
      <c r="G154" s="1662" t="s">
        <v>1</v>
      </c>
      <c r="H154" s="1682">
        <f>2821.65-416.7-797.856-400</f>
        <v>1207.0940000000003</v>
      </c>
      <c r="I154" s="529"/>
      <c r="J154" s="269"/>
      <c r="K154" s="1858">
        <v>2043.85</v>
      </c>
      <c r="L154" s="1858"/>
      <c r="M154" s="1858"/>
      <c r="N154" s="1200"/>
      <c r="O154" s="1858"/>
      <c r="P154" s="1858"/>
      <c r="Q154" s="1858"/>
      <c r="R154" s="1858"/>
      <c r="S154" s="1858"/>
      <c r="T154" s="1858"/>
      <c r="U154" s="1682"/>
      <c r="V154" s="237">
        <f>H149-V156-V162-V164</f>
        <v>1445.8330000000005</v>
      </c>
      <c r="W154" s="237"/>
      <c r="X154" s="237"/>
    </row>
    <row r="155" spans="1:24" ht="21" x14ac:dyDescent="0.25">
      <c r="A155" s="1179"/>
      <c r="B155" s="1197" t="s">
        <v>212</v>
      </c>
      <c r="C155" s="1217"/>
      <c r="D155" s="1217" t="s">
        <v>452</v>
      </c>
      <c r="E155" s="1217" t="s">
        <v>539</v>
      </c>
      <c r="F155" s="1217" t="s">
        <v>984</v>
      </c>
      <c r="G155" s="1662"/>
      <c r="H155" s="1682">
        <f>H156</f>
        <v>1795.681</v>
      </c>
      <c r="I155" s="529">
        <f>I156</f>
        <v>0</v>
      </c>
      <c r="J155" s="269">
        <f>J156</f>
        <v>0</v>
      </c>
      <c r="K155" s="1858"/>
      <c r="L155" s="1858"/>
      <c r="M155" s="1858"/>
      <c r="N155" s="1200">
        <f>N156</f>
        <v>1726.1220000000001</v>
      </c>
      <c r="O155" s="1858"/>
      <c r="P155" s="1858"/>
      <c r="Q155" s="1858"/>
      <c r="R155" s="1858"/>
      <c r="S155" s="1858"/>
      <c r="T155" s="1858"/>
      <c r="U155" s="1682">
        <f>U156</f>
        <v>1726.1220000000001</v>
      </c>
    </row>
    <row r="156" spans="1:24" ht="21" x14ac:dyDescent="0.25">
      <c r="A156" s="1179"/>
      <c r="B156" s="1182" t="s">
        <v>454</v>
      </c>
      <c r="C156" s="1217"/>
      <c r="D156" s="1217" t="s">
        <v>452</v>
      </c>
      <c r="E156" s="1217" t="s">
        <v>539</v>
      </c>
      <c r="F156" s="1217" t="s">
        <v>984</v>
      </c>
      <c r="G156" s="1662" t="s">
        <v>1</v>
      </c>
      <c r="H156" s="1682">
        <f>1695.014+489.567-388.9</f>
        <v>1795.681</v>
      </c>
      <c r="I156" s="529"/>
      <c r="J156" s="269"/>
      <c r="K156" s="1858">
        <v>750</v>
      </c>
      <c r="L156" s="1858"/>
      <c r="M156" s="1858"/>
      <c r="N156" s="1200">
        <v>1726.1220000000001</v>
      </c>
      <c r="O156" s="1858"/>
      <c r="P156" s="1858"/>
      <c r="Q156" s="1858"/>
      <c r="R156" s="1858"/>
      <c r="S156" s="1858"/>
      <c r="T156" s="1858"/>
      <c r="U156" s="1682">
        <v>1726.1220000000001</v>
      </c>
      <c r="V156" s="1">
        <v>1695.0139999999999</v>
      </c>
      <c r="W156" s="1">
        <v>1726.1220000000001</v>
      </c>
      <c r="X156" s="1">
        <v>1726.1220000000001</v>
      </c>
    </row>
    <row r="157" spans="1:24" ht="26" hidden="1" x14ac:dyDescent="0.3">
      <c r="A157" s="1179"/>
      <c r="B157" s="336" t="s">
        <v>206</v>
      </c>
      <c r="C157" s="1217"/>
      <c r="D157" s="1217" t="s">
        <v>452</v>
      </c>
      <c r="E157" s="1217" t="s">
        <v>539</v>
      </c>
      <c r="F157" s="1217" t="s">
        <v>205</v>
      </c>
      <c r="G157" s="1662"/>
      <c r="H157" s="1682">
        <f>H158</f>
        <v>0</v>
      </c>
      <c r="I157" s="529">
        <f>I158</f>
        <v>0</v>
      </c>
      <c r="J157" s="269">
        <f>J158</f>
        <v>0</v>
      </c>
      <c r="K157" s="1858"/>
      <c r="L157" s="1858"/>
      <c r="M157" s="1858"/>
      <c r="N157" s="1200">
        <f>N158</f>
        <v>0</v>
      </c>
      <c r="O157" s="1858"/>
      <c r="P157" s="1858"/>
      <c r="Q157" s="1858"/>
      <c r="R157" s="1858"/>
      <c r="S157" s="1858"/>
      <c r="T157" s="1858"/>
      <c r="U157" s="1682">
        <f>U158</f>
        <v>0</v>
      </c>
    </row>
    <row r="158" spans="1:24" ht="21" hidden="1" x14ac:dyDescent="0.25">
      <c r="A158" s="1179"/>
      <c r="B158" s="1182" t="s">
        <v>454</v>
      </c>
      <c r="C158" s="1217"/>
      <c r="D158" s="1217" t="s">
        <v>452</v>
      </c>
      <c r="E158" s="1217" t="s">
        <v>539</v>
      </c>
      <c r="F158" s="1217" t="s">
        <v>205</v>
      </c>
      <c r="G158" s="1662" t="s">
        <v>1</v>
      </c>
      <c r="H158" s="1682"/>
      <c r="I158" s="529"/>
      <c r="J158" s="269"/>
      <c r="K158" s="1858"/>
      <c r="L158" s="1858"/>
      <c r="M158" s="1858"/>
      <c r="N158" s="1200"/>
      <c r="O158" s="1858"/>
      <c r="P158" s="1858"/>
      <c r="Q158" s="1858"/>
      <c r="R158" s="1858"/>
      <c r="S158" s="1858"/>
      <c r="T158" s="1858"/>
      <c r="U158" s="1682"/>
    </row>
    <row r="159" spans="1:24" ht="31.5" x14ac:dyDescent="0.25">
      <c r="A159" s="1179"/>
      <c r="B159" s="1205" t="s">
        <v>837</v>
      </c>
      <c r="C159" s="1217"/>
      <c r="D159" s="1217" t="s">
        <v>452</v>
      </c>
      <c r="E159" s="1217" t="s">
        <v>539</v>
      </c>
      <c r="F159" s="409" t="s">
        <v>204</v>
      </c>
      <c r="G159" s="1662"/>
      <c r="H159" s="1682">
        <f>H160</f>
        <v>1328.0720000000001</v>
      </c>
      <c r="I159" s="529">
        <f>I160</f>
        <v>5740</v>
      </c>
      <c r="J159" s="269">
        <f>J160</f>
        <v>5980</v>
      </c>
      <c r="K159" s="1858"/>
      <c r="L159" s="1858"/>
      <c r="M159" s="1858"/>
      <c r="N159" s="1200">
        <f>N160</f>
        <v>2182.1999999999998</v>
      </c>
      <c r="O159" s="1858"/>
      <c r="P159" s="1858"/>
      <c r="Q159" s="1858"/>
      <c r="R159" s="1858"/>
      <c r="S159" s="1858"/>
      <c r="T159" s="1858"/>
      <c r="U159" s="1682">
        <f>U160</f>
        <v>1295.1990000000001</v>
      </c>
    </row>
    <row r="160" spans="1:24" x14ac:dyDescent="0.25">
      <c r="A160" s="1179"/>
      <c r="B160" s="1197" t="s">
        <v>203</v>
      </c>
      <c r="C160" s="1217"/>
      <c r="D160" s="1217" t="s">
        <v>452</v>
      </c>
      <c r="E160" s="1217" t="s">
        <v>539</v>
      </c>
      <c r="F160" s="1217" t="s">
        <v>202</v>
      </c>
      <c r="G160" s="1662"/>
      <c r="H160" s="1682">
        <f>H161+H163</f>
        <v>1328.0720000000001</v>
      </c>
      <c r="I160" s="529">
        <f>I161+I163</f>
        <v>5740</v>
      </c>
      <c r="J160" s="269">
        <f>J161+J163</f>
        <v>5980</v>
      </c>
      <c r="K160" s="1858"/>
      <c r="L160" s="1858"/>
      <c r="M160" s="1858"/>
      <c r="N160" s="1200">
        <f>N161+N163</f>
        <v>2182.1999999999998</v>
      </c>
      <c r="O160" s="1858"/>
      <c r="P160" s="1858"/>
      <c r="Q160" s="1858"/>
      <c r="R160" s="1858"/>
      <c r="S160" s="1858"/>
      <c r="T160" s="1858"/>
      <c r="U160" s="1682">
        <f>U161+U163</f>
        <v>1295.1990000000001</v>
      </c>
    </row>
    <row r="161" spans="1:24" x14ac:dyDescent="0.25">
      <c r="A161" s="1179"/>
      <c r="B161" s="1197" t="s">
        <v>619</v>
      </c>
      <c r="C161" s="1217"/>
      <c r="D161" s="1217" t="s">
        <v>452</v>
      </c>
      <c r="E161" s="1217" t="s">
        <v>539</v>
      </c>
      <c r="F161" s="1217" t="s">
        <v>200</v>
      </c>
      <c r="G161" s="1662"/>
      <c r="H161" s="1682">
        <f>H162</f>
        <v>601.40300000000002</v>
      </c>
      <c r="I161" s="529">
        <f>I162</f>
        <v>5240</v>
      </c>
      <c r="J161" s="269">
        <f>J162</f>
        <v>5380</v>
      </c>
      <c r="K161" s="1858"/>
      <c r="L161" s="1858"/>
      <c r="M161" s="1858"/>
      <c r="N161" s="1200">
        <f>N162</f>
        <v>1722.2</v>
      </c>
      <c r="O161" s="1858"/>
      <c r="P161" s="1858"/>
      <c r="Q161" s="1858"/>
      <c r="R161" s="1858"/>
      <c r="S161" s="1858"/>
      <c r="T161" s="1858"/>
      <c r="U161" s="1682">
        <f>U162</f>
        <v>775.19899999999996</v>
      </c>
    </row>
    <row r="162" spans="1:24" ht="21" x14ac:dyDescent="0.25">
      <c r="A162" s="1179"/>
      <c r="B162" s="1182" t="s">
        <v>454</v>
      </c>
      <c r="C162" s="1217"/>
      <c r="D162" s="1217" t="s">
        <v>452</v>
      </c>
      <c r="E162" s="1217" t="s">
        <v>539</v>
      </c>
      <c r="F162" s="1217" t="s">
        <v>200</v>
      </c>
      <c r="G162" s="1662" t="s">
        <v>1</v>
      </c>
      <c r="H162" s="1682">
        <f>750-148.597</f>
        <v>601.40300000000002</v>
      </c>
      <c r="I162" s="529">
        <v>5240</v>
      </c>
      <c r="J162" s="269">
        <v>5380</v>
      </c>
      <c r="K162" s="1858">
        <v>1667.2139999999999</v>
      </c>
      <c r="L162" s="1858"/>
      <c r="M162" s="1858"/>
      <c r="N162" s="1200">
        <v>1722.2</v>
      </c>
      <c r="O162" s="1858"/>
      <c r="P162" s="1858"/>
      <c r="Q162" s="1858"/>
      <c r="R162" s="1858"/>
      <c r="S162" s="1858"/>
      <c r="T162" s="1858"/>
      <c r="U162" s="1682">
        <v>775.19899999999996</v>
      </c>
      <c r="V162" s="1">
        <v>750</v>
      </c>
    </row>
    <row r="163" spans="1:24" ht="21" x14ac:dyDescent="0.25">
      <c r="A163" s="1179"/>
      <c r="B163" s="1197" t="s">
        <v>199</v>
      </c>
      <c r="C163" s="1217"/>
      <c r="D163" s="1217" t="s">
        <v>452</v>
      </c>
      <c r="E163" s="1217" t="s">
        <v>539</v>
      </c>
      <c r="F163" s="1217" t="s">
        <v>198</v>
      </c>
      <c r="G163" s="1662"/>
      <c r="H163" s="1682">
        <f>H164</f>
        <v>726.66899999999998</v>
      </c>
      <c r="I163" s="529">
        <f>I164</f>
        <v>500</v>
      </c>
      <c r="J163" s="269">
        <f>J164</f>
        <v>600</v>
      </c>
      <c r="K163" s="1858"/>
      <c r="L163" s="1858"/>
      <c r="M163" s="1858"/>
      <c r="N163" s="1200">
        <f>N164</f>
        <v>460</v>
      </c>
      <c r="O163" s="1858"/>
      <c r="P163" s="1858"/>
      <c r="Q163" s="1858"/>
      <c r="R163" s="1858"/>
      <c r="S163" s="1858"/>
      <c r="T163" s="1858"/>
      <c r="U163" s="1682">
        <f>U164</f>
        <v>520</v>
      </c>
    </row>
    <row r="164" spans="1:24" ht="21" x14ac:dyDescent="0.25">
      <c r="A164" s="1179"/>
      <c r="B164" s="1182" t="s">
        <v>454</v>
      </c>
      <c r="C164" s="1217"/>
      <c r="D164" s="1217" t="s">
        <v>452</v>
      </c>
      <c r="E164" s="1217" t="s">
        <v>539</v>
      </c>
      <c r="F164" s="1217" t="s">
        <v>198</v>
      </c>
      <c r="G164" s="1662" t="s">
        <v>1</v>
      </c>
      <c r="H164" s="1682">
        <f>440+148.597+138.072</f>
        <v>726.66899999999998</v>
      </c>
      <c r="I164" s="529">
        <v>500</v>
      </c>
      <c r="J164" s="269">
        <v>600</v>
      </c>
      <c r="K164" s="1858">
        <v>440</v>
      </c>
      <c r="L164" s="1858"/>
      <c r="M164" s="1858"/>
      <c r="N164" s="1200">
        <v>460</v>
      </c>
      <c r="O164" s="1858"/>
      <c r="P164" s="1858"/>
      <c r="Q164" s="1858"/>
      <c r="R164" s="1858"/>
      <c r="S164" s="1858"/>
      <c r="T164" s="1858"/>
      <c r="U164" s="1682">
        <v>520</v>
      </c>
      <c r="V164" s="1">
        <v>440</v>
      </c>
      <c r="W164" s="1">
        <v>460</v>
      </c>
      <c r="X164" s="1">
        <v>520</v>
      </c>
    </row>
    <row r="165" spans="1:24" ht="31.5" hidden="1" x14ac:dyDescent="0.25">
      <c r="A165" s="842"/>
      <c r="B165" s="1230" t="s">
        <v>557</v>
      </c>
      <c r="C165" s="408"/>
      <c r="D165" s="408" t="s">
        <v>452</v>
      </c>
      <c r="E165" s="408" t="s">
        <v>539</v>
      </c>
      <c r="F165" s="408" t="s">
        <v>556</v>
      </c>
      <c r="G165" s="1661"/>
      <c r="H165" s="1683">
        <f>H166</f>
        <v>0</v>
      </c>
      <c r="I165" s="841">
        <f>I166</f>
        <v>0</v>
      </c>
      <c r="J165" s="276">
        <f>J166</f>
        <v>0</v>
      </c>
      <c r="K165" s="1858"/>
      <c r="L165" s="1858"/>
      <c r="M165" s="1858"/>
      <c r="N165" s="1208">
        <f>N166</f>
        <v>0</v>
      </c>
      <c r="O165" s="1858"/>
      <c r="P165" s="1858"/>
      <c r="Q165" s="1858"/>
      <c r="R165" s="1858"/>
      <c r="S165" s="1858"/>
      <c r="T165" s="1858"/>
      <c r="U165" s="1683">
        <f>U166</f>
        <v>0</v>
      </c>
    </row>
    <row r="166" spans="1:24" ht="21" hidden="1" x14ac:dyDescent="0.25">
      <c r="A166" s="1179"/>
      <c r="B166" s="1219" t="s">
        <v>555</v>
      </c>
      <c r="C166" s="1217"/>
      <c r="D166" s="1217" t="s">
        <v>452</v>
      </c>
      <c r="E166" s="1217" t="s">
        <v>539</v>
      </c>
      <c r="F166" s="1217" t="s">
        <v>554</v>
      </c>
      <c r="G166" s="1664"/>
      <c r="H166" s="1682">
        <f>H167+H170</f>
        <v>0</v>
      </c>
      <c r="I166" s="529">
        <f>I167+I170</f>
        <v>0</v>
      </c>
      <c r="J166" s="269">
        <f>J167+J170</f>
        <v>0</v>
      </c>
      <c r="K166" s="1858"/>
      <c r="L166" s="1858"/>
      <c r="M166" s="1858"/>
      <c r="N166" s="1200">
        <f>N167+N170</f>
        <v>0</v>
      </c>
      <c r="O166" s="1858"/>
      <c r="P166" s="1858"/>
      <c r="Q166" s="1858"/>
      <c r="R166" s="1858"/>
      <c r="S166" s="1858"/>
      <c r="T166" s="1858"/>
      <c r="U166" s="1682">
        <f>U167+U170</f>
        <v>0</v>
      </c>
    </row>
    <row r="167" spans="1:24" ht="31.5" hidden="1" x14ac:dyDescent="0.25">
      <c r="A167" s="1179"/>
      <c r="B167" s="1219" t="s">
        <v>553</v>
      </c>
      <c r="C167" s="1217"/>
      <c r="D167" s="1217" t="s">
        <v>452</v>
      </c>
      <c r="E167" s="1217" t="s">
        <v>539</v>
      </c>
      <c r="F167" s="1217" t="s">
        <v>552</v>
      </c>
      <c r="G167" s="1664"/>
      <c r="H167" s="1682">
        <f t="shared" ref="H167:J168" si="17">H168</f>
        <v>0</v>
      </c>
      <c r="I167" s="529">
        <f t="shared" si="17"/>
        <v>0</v>
      </c>
      <c r="J167" s="269">
        <f t="shared" si="17"/>
        <v>0</v>
      </c>
      <c r="K167" s="1858"/>
      <c r="L167" s="1858"/>
      <c r="M167" s="1858"/>
      <c r="N167" s="1200">
        <f t="shared" ref="N167:N168" si="18">N168</f>
        <v>0</v>
      </c>
      <c r="O167" s="1858"/>
      <c r="P167" s="1858"/>
      <c r="Q167" s="1858"/>
      <c r="R167" s="1858"/>
      <c r="S167" s="1858"/>
      <c r="T167" s="1858"/>
      <c r="U167" s="1682">
        <f t="shared" ref="U167:U168" si="19">U168</f>
        <v>0</v>
      </c>
    </row>
    <row r="168" spans="1:24" ht="31.5" hidden="1" x14ac:dyDescent="0.25">
      <c r="A168" s="1179"/>
      <c r="B168" s="753" t="s">
        <v>551</v>
      </c>
      <c r="C168" s="1217"/>
      <c r="D168" s="1217" t="s">
        <v>452</v>
      </c>
      <c r="E168" s="1217" t="s">
        <v>539</v>
      </c>
      <c r="F168" s="1217" t="s">
        <v>550</v>
      </c>
      <c r="G168" s="1664"/>
      <c r="H168" s="1682">
        <f t="shared" si="17"/>
        <v>0</v>
      </c>
      <c r="I168" s="529">
        <f t="shared" si="17"/>
        <v>0</v>
      </c>
      <c r="J168" s="269">
        <f t="shared" si="17"/>
        <v>0</v>
      </c>
      <c r="K168" s="1858"/>
      <c r="L168" s="1858"/>
      <c r="M168" s="1858"/>
      <c r="N168" s="1200">
        <f t="shared" si="18"/>
        <v>0</v>
      </c>
      <c r="O168" s="1858"/>
      <c r="P168" s="1858"/>
      <c r="Q168" s="1858"/>
      <c r="R168" s="1858"/>
      <c r="S168" s="1858"/>
      <c r="T168" s="1858"/>
      <c r="U168" s="1682">
        <f t="shared" si="19"/>
        <v>0</v>
      </c>
    </row>
    <row r="169" spans="1:24" hidden="1" x14ac:dyDescent="0.25">
      <c r="A169" s="1179"/>
      <c r="B169" s="1182" t="s">
        <v>481</v>
      </c>
      <c r="C169" s="1217"/>
      <c r="D169" s="1217" t="s">
        <v>452</v>
      </c>
      <c r="E169" s="1217" t="s">
        <v>539</v>
      </c>
      <c r="F169" s="1217" t="s">
        <v>550</v>
      </c>
      <c r="G169" s="1662" t="s">
        <v>26</v>
      </c>
      <c r="H169" s="1682">
        <v>0</v>
      </c>
      <c r="I169" s="529">
        <v>0</v>
      </c>
      <c r="J169" s="269">
        <v>0</v>
      </c>
      <c r="K169" s="1858"/>
      <c r="L169" s="1858"/>
      <c r="M169" s="1858"/>
      <c r="N169" s="1200">
        <v>0</v>
      </c>
      <c r="O169" s="1858"/>
      <c r="P169" s="1858"/>
      <c r="Q169" s="1858"/>
      <c r="R169" s="1858"/>
      <c r="S169" s="1858"/>
      <c r="T169" s="1858"/>
      <c r="U169" s="1682">
        <v>0</v>
      </c>
    </row>
    <row r="170" spans="1:24" ht="42" hidden="1" x14ac:dyDescent="0.25">
      <c r="A170" s="1179"/>
      <c r="B170" s="1219" t="s">
        <v>549</v>
      </c>
      <c r="C170" s="1217"/>
      <c r="D170" s="1217" t="s">
        <v>548</v>
      </c>
      <c r="E170" s="1217" t="s">
        <v>539</v>
      </c>
      <c r="F170" s="1217" t="s">
        <v>547</v>
      </c>
      <c r="G170" s="1664"/>
      <c r="H170" s="1682">
        <f>H171+H173+H175</f>
        <v>0</v>
      </c>
      <c r="I170" s="529">
        <f>I171+I173+I175</f>
        <v>0</v>
      </c>
      <c r="J170" s="269">
        <f>J171+J173+J175</f>
        <v>0</v>
      </c>
      <c r="K170" s="1858"/>
      <c r="L170" s="1858"/>
      <c r="M170" s="1858"/>
      <c r="N170" s="1200">
        <f>N171+N173+N175</f>
        <v>0</v>
      </c>
      <c r="O170" s="1858"/>
      <c r="P170" s="1858"/>
      <c r="Q170" s="1858"/>
      <c r="R170" s="1858"/>
      <c r="S170" s="1858"/>
      <c r="T170" s="1858"/>
      <c r="U170" s="1682">
        <f>U171+U173+U175</f>
        <v>0</v>
      </c>
    </row>
    <row r="171" spans="1:24" ht="21" hidden="1" x14ac:dyDescent="0.25">
      <c r="A171" s="1179"/>
      <c r="B171" s="753" t="s">
        <v>546</v>
      </c>
      <c r="C171" s="1217"/>
      <c r="D171" s="1217" t="s">
        <v>452</v>
      </c>
      <c r="E171" s="1217" t="s">
        <v>539</v>
      </c>
      <c r="F171" s="1217" t="s">
        <v>545</v>
      </c>
      <c r="G171" s="1664"/>
      <c r="H171" s="1682">
        <f>H172</f>
        <v>0</v>
      </c>
      <c r="I171" s="529">
        <f>I172</f>
        <v>0</v>
      </c>
      <c r="J171" s="269">
        <f>J172</f>
        <v>0</v>
      </c>
      <c r="K171" s="1858"/>
      <c r="L171" s="1858"/>
      <c r="M171" s="1858"/>
      <c r="N171" s="1200">
        <f>N172</f>
        <v>0</v>
      </c>
      <c r="O171" s="1858"/>
      <c r="P171" s="1858"/>
      <c r="Q171" s="1858"/>
      <c r="R171" s="1858"/>
      <c r="S171" s="1858"/>
      <c r="T171" s="1858"/>
      <c r="U171" s="1682">
        <f>U172</f>
        <v>0</v>
      </c>
    </row>
    <row r="172" spans="1:24" ht="21" hidden="1" x14ac:dyDescent="0.25">
      <c r="A172" s="1179"/>
      <c r="B172" s="1182" t="s">
        <v>454</v>
      </c>
      <c r="C172" s="1217"/>
      <c r="D172" s="1217" t="s">
        <v>452</v>
      </c>
      <c r="E172" s="1217" t="s">
        <v>539</v>
      </c>
      <c r="F172" s="1217" t="s">
        <v>545</v>
      </c>
      <c r="G172" s="1662" t="s">
        <v>1</v>
      </c>
      <c r="H172" s="1682"/>
      <c r="I172" s="529"/>
      <c r="J172" s="269"/>
      <c r="K172" s="1858"/>
      <c r="L172" s="1858"/>
      <c r="M172" s="1858"/>
      <c r="N172" s="1200"/>
      <c r="O172" s="1858"/>
      <c r="P172" s="1858"/>
      <c r="Q172" s="1858"/>
      <c r="R172" s="1858"/>
      <c r="S172" s="1858"/>
      <c r="T172" s="1858"/>
      <c r="U172" s="1682"/>
    </row>
    <row r="173" spans="1:24" ht="31.5" hidden="1" x14ac:dyDescent="0.25">
      <c r="A173" s="1229"/>
      <c r="B173" s="753" t="s">
        <v>544</v>
      </c>
      <c r="C173" s="1217"/>
      <c r="D173" s="1217" t="s">
        <v>452</v>
      </c>
      <c r="E173" s="1217" t="s">
        <v>539</v>
      </c>
      <c r="F173" s="1217" t="s">
        <v>543</v>
      </c>
      <c r="G173" s="1664"/>
      <c r="H173" s="1682">
        <f>H174</f>
        <v>0</v>
      </c>
      <c r="I173" s="529">
        <f>I174</f>
        <v>0</v>
      </c>
      <c r="J173" s="269">
        <f>J174</f>
        <v>0</v>
      </c>
      <c r="K173" s="1858"/>
      <c r="L173" s="1858"/>
      <c r="M173" s="1858"/>
      <c r="N173" s="1200">
        <f>N174</f>
        <v>0</v>
      </c>
      <c r="O173" s="1858"/>
      <c r="P173" s="1858"/>
      <c r="Q173" s="1858"/>
      <c r="R173" s="1858"/>
      <c r="S173" s="1858"/>
      <c r="T173" s="1858"/>
      <c r="U173" s="1682">
        <f>U174</f>
        <v>0</v>
      </c>
    </row>
    <row r="174" spans="1:24" ht="21" hidden="1" x14ac:dyDescent="0.25">
      <c r="A174" s="1229"/>
      <c r="B174" s="1182" t="s">
        <v>454</v>
      </c>
      <c r="C174" s="1217"/>
      <c r="D174" s="1217" t="s">
        <v>452</v>
      </c>
      <c r="E174" s="1217" t="s">
        <v>539</v>
      </c>
      <c r="F174" s="1217" t="s">
        <v>543</v>
      </c>
      <c r="G174" s="1662" t="s">
        <v>1</v>
      </c>
      <c r="H174" s="1682"/>
      <c r="I174" s="529"/>
      <c r="J174" s="269"/>
      <c r="K174" s="1858"/>
      <c r="L174" s="1858"/>
      <c r="M174" s="1858"/>
      <c r="N174" s="1200"/>
      <c r="O174" s="1858"/>
      <c r="P174" s="1858"/>
      <c r="Q174" s="1858"/>
      <c r="R174" s="1858"/>
      <c r="S174" s="1858"/>
      <c r="T174" s="1858"/>
      <c r="U174" s="1682"/>
    </row>
    <row r="175" spans="1:24" ht="31.5" hidden="1" x14ac:dyDescent="0.25">
      <c r="A175" s="1229"/>
      <c r="B175" s="753" t="s">
        <v>542</v>
      </c>
      <c r="C175" s="1217"/>
      <c r="D175" s="1217" t="s">
        <v>452</v>
      </c>
      <c r="E175" s="1217" t="s">
        <v>539</v>
      </c>
      <c r="F175" s="1217" t="s">
        <v>541</v>
      </c>
      <c r="G175" s="1664"/>
      <c r="H175" s="1682">
        <f>H176</f>
        <v>0</v>
      </c>
      <c r="I175" s="529">
        <f>I176</f>
        <v>0</v>
      </c>
      <c r="J175" s="269">
        <f>J176</f>
        <v>0</v>
      </c>
      <c r="K175" s="1858"/>
      <c r="L175" s="1858"/>
      <c r="M175" s="1858"/>
      <c r="N175" s="1200">
        <f>N176</f>
        <v>0</v>
      </c>
      <c r="O175" s="1858"/>
      <c r="P175" s="1858"/>
      <c r="Q175" s="1858"/>
      <c r="R175" s="1858"/>
      <c r="S175" s="1858"/>
      <c r="T175" s="1858"/>
      <c r="U175" s="1682">
        <f>U176</f>
        <v>0</v>
      </c>
    </row>
    <row r="176" spans="1:24" ht="21" hidden="1" x14ac:dyDescent="0.25">
      <c r="A176" s="1229"/>
      <c r="B176" s="1182" t="s">
        <v>454</v>
      </c>
      <c r="C176" s="1217"/>
      <c r="D176" s="1217" t="s">
        <v>452</v>
      </c>
      <c r="E176" s="1217" t="s">
        <v>539</v>
      </c>
      <c r="F176" s="1217" t="s">
        <v>541</v>
      </c>
      <c r="G176" s="1662" t="s">
        <v>1</v>
      </c>
      <c r="H176" s="1682"/>
      <c r="I176" s="529"/>
      <c r="J176" s="269"/>
      <c r="K176" s="1858"/>
      <c r="L176" s="1858"/>
      <c r="M176" s="1858"/>
      <c r="N176" s="1200"/>
      <c r="O176" s="1858"/>
      <c r="P176" s="1858"/>
      <c r="Q176" s="1858"/>
      <c r="R176" s="1858"/>
      <c r="S176" s="1858"/>
      <c r="T176" s="1858"/>
      <c r="U176" s="1682"/>
    </row>
    <row r="177" spans="1:21" ht="21" hidden="1" x14ac:dyDescent="0.25">
      <c r="A177" s="1211"/>
      <c r="B177" s="753" t="s">
        <v>499</v>
      </c>
      <c r="C177" s="1177"/>
      <c r="D177" s="409" t="s">
        <v>452</v>
      </c>
      <c r="E177" s="409" t="s">
        <v>539</v>
      </c>
      <c r="F177" s="409" t="s">
        <v>89</v>
      </c>
      <c r="G177" s="1662"/>
      <c r="H177" s="1682">
        <f t="shared" ref="H177:J180" si="20">H178</f>
        <v>0</v>
      </c>
      <c r="I177" s="841">
        <f t="shared" si="20"/>
        <v>0</v>
      </c>
      <c r="J177" s="276">
        <f t="shared" si="20"/>
        <v>0</v>
      </c>
      <c r="K177" s="1858"/>
      <c r="L177" s="1858"/>
      <c r="M177" s="1858"/>
      <c r="N177" s="1200">
        <f t="shared" ref="N177:N180" si="21">N178</f>
        <v>0</v>
      </c>
      <c r="O177" s="1858"/>
      <c r="P177" s="1858"/>
      <c r="Q177" s="1858"/>
      <c r="R177" s="1858"/>
      <c r="S177" s="1858"/>
      <c r="T177" s="1858"/>
      <c r="U177" s="1682">
        <f t="shared" ref="U177:U180" si="22">U178</f>
        <v>0</v>
      </c>
    </row>
    <row r="178" spans="1:21" hidden="1" x14ac:dyDescent="0.25">
      <c r="A178" s="842"/>
      <c r="B178" s="753" t="s">
        <v>109</v>
      </c>
      <c r="C178" s="1177"/>
      <c r="D178" s="409" t="s">
        <v>452</v>
      </c>
      <c r="E178" s="409" t="s">
        <v>539</v>
      </c>
      <c r="F178" s="409" t="s">
        <v>84</v>
      </c>
      <c r="G178" s="1662"/>
      <c r="H178" s="1682">
        <f t="shared" si="20"/>
        <v>0</v>
      </c>
      <c r="I178" s="841">
        <f t="shared" si="20"/>
        <v>0</v>
      </c>
      <c r="J178" s="276">
        <f t="shared" si="20"/>
        <v>0</v>
      </c>
      <c r="K178" s="1858"/>
      <c r="L178" s="1858"/>
      <c r="M178" s="1858"/>
      <c r="N178" s="1200">
        <f t="shared" si="21"/>
        <v>0</v>
      </c>
      <c r="O178" s="1858"/>
      <c r="P178" s="1858"/>
      <c r="Q178" s="1858"/>
      <c r="R178" s="1858"/>
      <c r="S178" s="1858"/>
      <c r="T178" s="1858"/>
      <c r="U178" s="1682">
        <f t="shared" si="22"/>
        <v>0</v>
      </c>
    </row>
    <row r="179" spans="1:21" hidden="1" x14ac:dyDescent="0.25">
      <c r="A179" s="842"/>
      <c r="B179" s="753" t="s">
        <v>109</v>
      </c>
      <c r="C179" s="1177"/>
      <c r="D179" s="409" t="s">
        <v>452</v>
      </c>
      <c r="E179" s="409" t="s">
        <v>539</v>
      </c>
      <c r="F179" s="409" t="s">
        <v>82</v>
      </c>
      <c r="G179" s="1662"/>
      <c r="H179" s="1682">
        <f>H180</f>
        <v>0</v>
      </c>
      <c r="I179" s="841">
        <f t="shared" si="20"/>
        <v>0</v>
      </c>
      <c r="J179" s="276">
        <f t="shared" si="20"/>
        <v>0</v>
      </c>
      <c r="K179" s="1858">
        <v>388.9</v>
      </c>
      <c r="L179" s="1858"/>
      <c r="M179" s="1858"/>
      <c r="N179" s="1200">
        <f>N180</f>
        <v>0</v>
      </c>
      <c r="O179" s="1858"/>
      <c r="P179" s="1858"/>
      <c r="Q179" s="1858"/>
      <c r="R179" s="1858"/>
      <c r="S179" s="1858"/>
      <c r="T179" s="1858"/>
      <c r="U179" s="1682">
        <f>U180</f>
        <v>0</v>
      </c>
    </row>
    <row r="180" spans="1:21" ht="21" hidden="1" x14ac:dyDescent="0.25">
      <c r="A180" s="1229"/>
      <c r="B180" s="1481" t="s">
        <v>967</v>
      </c>
      <c r="C180" s="409"/>
      <c r="D180" s="409" t="s">
        <v>452</v>
      </c>
      <c r="E180" s="409" t="s">
        <v>539</v>
      </c>
      <c r="F180" s="1231" t="s">
        <v>965</v>
      </c>
      <c r="G180" s="1662"/>
      <c r="H180" s="1682">
        <f t="shared" si="20"/>
        <v>0</v>
      </c>
      <c r="I180" s="529">
        <f t="shared" si="20"/>
        <v>0</v>
      </c>
      <c r="J180" s="269">
        <f t="shared" si="20"/>
        <v>0</v>
      </c>
      <c r="K180" s="1858"/>
      <c r="L180" s="1858"/>
      <c r="M180" s="1858"/>
      <c r="N180" s="1200">
        <f t="shared" si="21"/>
        <v>0</v>
      </c>
      <c r="O180" s="1858"/>
      <c r="P180" s="1858"/>
      <c r="Q180" s="1858"/>
      <c r="R180" s="1858"/>
      <c r="S180" s="1858"/>
      <c r="T180" s="1858"/>
      <c r="U180" s="1682">
        <f t="shared" si="22"/>
        <v>0</v>
      </c>
    </row>
    <row r="181" spans="1:21" ht="21" hidden="1" x14ac:dyDescent="0.25">
      <c r="A181" s="1229"/>
      <c r="B181" s="1182" t="s">
        <v>454</v>
      </c>
      <c r="C181" s="1217"/>
      <c r="D181" s="1217" t="s">
        <v>452</v>
      </c>
      <c r="E181" s="1217" t="s">
        <v>539</v>
      </c>
      <c r="F181" s="1231" t="s">
        <v>965</v>
      </c>
      <c r="G181" s="1662" t="s">
        <v>1</v>
      </c>
      <c r="H181" s="1682"/>
      <c r="I181" s="529"/>
      <c r="J181" s="269"/>
      <c r="K181" s="1858">
        <v>388.9</v>
      </c>
      <c r="L181" s="1858"/>
      <c r="M181" s="1858"/>
      <c r="N181" s="1200"/>
      <c r="O181" s="1858"/>
      <c r="P181" s="1858"/>
      <c r="Q181" s="1858"/>
      <c r="R181" s="1858"/>
      <c r="S181" s="1858"/>
      <c r="T181" s="1858"/>
      <c r="U181" s="1682"/>
    </row>
    <row r="182" spans="1:21" x14ac:dyDescent="0.25">
      <c r="A182" s="1229"/>
      <c r="B182" s="1225" t="s">
        <v>51</v>
      </c>
      <c r="C182" s="1227"/>
      <c r="D182" s="1227" t="s">
        <v>452</v>
      </c>
      <c r="E182" s="1227" t="s">
        <v>534</v>
      </c>
      <c r="F182" s="1227"/>
      <c r="G182" s="1665"/>
      <c r="H182" s="1684">
        <f>H183+H187</f>
        <v>1981.854</v>
      </c>
      <c r="I182" s="853">
        <f>I183+I187</f>
        <v>315</v>
      </c>
      <c r="J182" s="400">
        <f>J183+J187</f>
        <v>320</v>
      </c>
      <c r="K182" s="1858"/>
      <c r="L182" s="1858"/>
      <c r="M182" s="1858"/>
      <c r="N182" s="1228">
        <f>N183+N187</f>
        <v>1736.4</v>
      </c>
      <c r="O182" s="1858"/>
      <c r="P182" s="1858"/>
      <c r="Q182" s="1858"/>
      <c r="R182" s="1858"/>
      <c r="S182" s="1858"/>
      <c r="T182" s="1858"/>
      <c r="U182" s="1684">
        <f>U183+U187</f>
        <v>902.69999999999993</v>
      </c>
    </row>
    <row r="183" spans="1:21" ht="31.5" x14ac:dyDescent="0.25">
      <c r="A183" s="1179"/>
      <c r="B183" s="1205" t="s">
        <v>907</v>
      </c>
      <c r="C183" s="409"/>
      <c r="D183" s="409" t="s">
        <v>452</v>
      </c>
      <c r="E183" s="409" t="s">
        <v>534</v>
      </c>
      <c r="F183" s="409" t="s">
        <v>292</v>
      </c>
      <c r="G183" s="1662"/>
      <c r="H183" s="1682">
        <f t="shared" ref="H183:J185" si="23">H184</f>
        <v>330</v>
      </c>
      <c r="I183" s="529">
        <f t="shared" si="23"/>
        <v>315</v>
      </c>
      <c r="J183" s="270">
        <f t="shared" si="23"/>
        <v>320</v>
      </c>
      <c r="K183" s="1862">
        <f>330</f>
        <v>330</v>
      </c>
      <c r="L183" s="1858"/>
      <c r="M183" s="1858"/>
      <c r="N183" s="1200">
        <f t="shared" ref="N183:N185" si="24">N184</f>
        <v>330</v>
      </c>
      <c r="O183" s="1858"/>
      <c r="P183" s="1858"/>
      <c r="Q183" s="1858"/>
      <c r="R183" s="1858"/>
      <c r="S183" s="1858"/>
      <c r="T183" s="1858"/>
      <c r="U183" s="1682">
        <f t="shared" ref="U183:U185" si="25">U184</f>
        <v>350</v>
      </c>
    </row>
    <row r="184" spans="1:21" ht="31.5" x14ac:dyDescent="0.25">
      <c r="A184" s="1179"/>
      <c r="B184" s="1197" t="s">
        <v>289</v>
      </c>
      <c r="C184" s="409"/>
      <c r="D184" s="409" t="s">
        <v>452</v>
      </c>
      <c r="E184" s="409" t="s">
        <v>534</v>
      </c>
      <c r="F184" s="409" t="s">
        <v>286</v>
      </c>
      <c r="G184" s="1662"/>
      <c r="H184" s="1682">
        <f t="shared" si="23"/>
        <v>330</v>
      </c>
      <c r="I184" s="529">
        <f t="shared" si="23"/>
        <v>315</v>
      </c>
      <c r="J184" s="270">
        <f t="shared" si="23"/>
        <v>320</v>
      </c>
      <c r="K184" s="1858"/>
      <c r="L184" s="1858"/>
      <c r="M184" s="1858"/>
      <c r="N184" s="1200">
        <f t="shared" si="24"/>
        <v>330</v>
      </c>
      <c r="O184" s="1858"/>
      <c r="P184" s="1858"/>
      <c r="Q184" s="1858"/>
      <c r="R184" s="1858"/>
      <c r="S184" s="1858"/>
      <c r="T184" s="1858"/>
      <c r="U184" s="1682">
        <f t="shared" si="25"/>
        <v>350</v>
      </c>
    </row>
    <row r="185" spans="1:21" ht="21" x14ac:dyDescent="0.25">
      <c r="A185" s="1179"/>
      <c r="B185" s="1232" t="s">
        <v>287</v>
      </c>
      <c r="C185" s="1217"/>
      <c r="D185" s="1217" t="s">
        <v>452</v>
      </c>
      <c r="E185" s="1217" t="s">
        <v>534</v>
      </c>
      <c r="F185" s="1217" t="s">
        <v>275</v>
      </c>
      <c r="G185" s="1664"/>
      <c r="H185" s="1682">
        <f t="shared" si="23"/>
        <v>330</v>
      </c>
      <c r="I185" s="529">
        <f t="shared" si="23"/>
        <v>315</v>
      </c>
      <c r="J185" s="270">
        <f t="shared" si="23"/>
        <v>320</v>
      </c>
      <c r="K185" s="1858"/>
      <c r="L185" s="1858"/>
      <c r="M185" s="1858"/>
      <c r="N185" s="1200">
        <f t="shared" si="24"/>
        <v>330</v>
      </c>
      <c r="O185" s="1858"/>
      <c r="P185" s="1858"/>
      <c r="Q185" s="1858"/>
      <c r="R185" s="1858"/>
      <c r="S185" s="1858"/>
      <c r="T185" s="1858"/>
      <c r="U185" s="1682">
        <f t="shared" si="25"/>
        <v>350</v>
      </c>
    </row>
    <row r="186" spans="1:21" ht="21" x14ac:dyDescent="0.25">
      <c r="A186" s="1179"/>
      <c r="B186" s="1182" t="s">
        <v>454</v>
      </c>
      <c r="C186" s="1217"/>
      <c r="D186" s="1217" t="s">
        <v>452</v>
      </c>
      <c r="E186" s="1217" t="s">
        <v>534</v>
      </c>
      <c r="F186" s="1217" t="s">
        <v>275</v>
      </c>
      <c r="G186" s="1662" t="s">
        <v>1</v>
      </c>
      <c r="H186" s="1682">
        <v>330</v>
      </c>
      <c r="I186" s="529">
        <v>315</v>
      </c>
      <c r="J186" s="269">
        <v>320</v>
      </c>
      <c r="K186" s="1858">
        <v>330</v>
      </c>
      <c r="L186" s="1858"/>
      <c r="M186" s="1858"/>
      <c r="N186" s="1200">
        <v>330</v>
      </c>
      <c r="O186" s="1858"/>
      <c r="P186" s="1858"/>
      <c r="Q186" s="1858"/>
      <c r="R186" s="1858"/>
      <c r="S186" s="1858"/>
      <c r="T186" s="1858"/>
      <c r="U186" s="1682">
        <v>350</v>
      </c>
    </row>
    <row r="187" spans="1:21" ht="21" x14ac:dyDescent="0.25">
      <c r="A187" s="1233"/>
      <c r="B187" s="753" t="s">
        <v>499</v>
      </c>
      <c r="C187" s="1180"/>
      <c r="D187" s="409" t="s">
        <v>452</v>
      </c>
      <c r="E187" s="409" t="s">
        <v>534</v>
      </c>
      <c r="F187" s="409" t="s">
        <v>89</v>
      </c>
      <c r="G187" s="1662"/>
      <c r="H187" s="1682">
        <f>H188</f>
        <v>1651.854</v>
      </c>
      <c r="I187" s="529">
        <f t="shared" ref="H187:J188" si="26">I188</f>
        <v>0</v>
      </c>
      <c r="J187" s="270">
        <f t="shared" si="26"/>
        <v>0</v>
      </c>
      <c r="K187" s="1858"/>
      <c r="L187" s="1858"/>
      <c r="M187" s="1858"/>
      <c r="N187" s="1200">
        <f>N188</f>
        <v>1406.4</v>
      </c>
      <c r="O187" s="1858"/>
      <c r="P187" s="1858"/>
      <c r="Q187" s="1858"/>
      <c r="R187" s="1858"/>
      <c r="S187" s="1858"/>
      <c r="T187" s="1858"/>
      <c r="U187" s="1682">
        <f>U188</f>
        <v>552.69999999999993</v>
      </c>
    </row>
    <row r="188" spans="1:21" x14ac:dyDescent="0.25">
      <c r="A188" s="1179"/>
      <c r="B188" s="753" t="s">
        <v>109</v>
      </c>
      <c r="C188" s="1180"/>
      <c r="D188" s="409" t="s">
        <v>452</v>
      </c>
      <c r="E188" s="409" t="s">
        <v>534</v>
      </c>
      <c r="F188" s="409" t="s">
        <v>84</v>
      </c>
      <c r="G188" s="1662"/>
      <c r="H188" s="1682">
        <f t="shared" si="26"/>
        <v>1651.854</v>
      </c>
      <c r="I188" s="529">
        <f t="shared" si="26"/>
        <v>0</v>
      </c>
      <c r="J188" s="270">
        <f t="shared" si="26"/>
        <v>0</v>
      </c>
      <c r="K188" s="1858"/>
      <c r="L188" s="1858"/>
      <c r="M188" s="1858"/>
      <c r="N188" s="1200">
        <f t="shared" ref="N188" si="27">N189</f>
        <v>1406.4</v>
      </c>
      <c r="O188" s="1858"/>
      <c r="P188" s="1858"/>
      <c r="Q188" s="1858"/>
      <c r="R188" s="1858"/>
      <c r="S188" s="1858"/>
      <c r="T188" s="1858"/>
      <c r="U188" s="1682">
        <f t="shared" ref="U188" si="28">U189</f>
        <v>552.69999999999993</v>
      </c>
    </row>
    <row r="189" spans="1:21" x14ac:dyDescent="0.25">
      <c r="A189" s="1179"/>
      <c r="B189" s="753" t="s">
        <v>109</v>
      </c>
      <c r="C189" s="1180"/>
      <c r="D189" s="409" t="s">
        <v>452</v>
      </c>
      <c r="E189" s="409" t="s">
        <v>534</v>
      </c>
      <c r="F189" s="409" t="s">
        <v>82</v>
      </c>
      <c r="G189" s="1662"/>
      <c r="H189" s="1682">
        <f>H190+H192+H195+H196</f>
        <v>1651.854</v>
      </c>
      <c r="I189" s="529">
        <f>I190+I192+I195</f>
        <v>0</v>
      </c>
      <c r="J189" s="270">
        <f>J190+J192+J195</f>
        <v>0</v>
      </c>
      <c r="K189" s="1862">
        <f>K191+K193+K195</f>
        <v>1500</v>
      </c>
      <c r="L189" s="1858"/>
      <c r="M189" s="1858"/>
      <c r="N189" s="1200">
        <f>N190+N192+N195+N196</f>
        <v>1406.4</v>
      </c>
      <c r="O189" s="1858"/>
      <c r="P189" s="1858"/>
      <c r="Q189" s="1858"/>
      <c r="R189" s="1858"/>
      <c r="S189" s="1858"/>
      <c r="T189" s="1858"/>
      <c r="U189" s="1682">
        <f>U190+U192+U195+U196</f>
        <v>552.69999999999993</v>
      </c>
    </row>
    <row r="190" spans="1:21" x14ac:dyDescent="0.25">
      <c r="A190" s="842"/>
      <c r="B190" s="753" t="s">
        <v>537</v>
      </c>
      <c r="C190" s="409"/>
      <c r="D190" s="409" t="s">
        <v>452</v>
      </c>
      <c r="E190" s="409" t="s">
        <v>534</v>
      </c>
      <c r="F190" s="409" t="s">
        <v>536</v>
      </c>
      <c r="G190" s="1662"/>
      <c r="H190" s="1682">
        <f>H191</f>
        <v>589.92600000000004</v>
      </c>
      <c r="I190" s="529">
        <f>I191</f>
        <v>0</v>
      </c>
      <c r="J190" s="270">
        <f>J191</f>
        <v>0</v>
      </c>
      <c r="K190" s="1858"/>
      <c r="L190" s="1858"/>
      <c r="M190" s="1858"/>
      <c r="N190" s="1200">
        <f>N191</f>
        <v>902.4</v>
      </c>
      <c r="O190" s="1858"/>
      <c r="P190" s="1858"/>
      <c r="Q190" s="1858"/>
      <c r="R190" s="1858"/>
      <c r="S190" s="1858"/>
      <c r="T190" s="1858"/>
      <c r="U190" s="1682">
        <f>U191</f>
        <v>248.69999999999993</v>
      </c>
    </row>
    <row r="191" spans="1:21" ht="21" x14ac:dyDescent="0.25">
      <c r="A191" s="1229"/>
      <c r="B191" s="1182" t="s">
        <v>454</v>
      </c>
      <c r="C191" s="1217"/>
      <c r="D191" s="1217" t="s">
        <v>452</v>
      </c>
      <c r="E191" s="1217" t="s">
        <v>534</v>
      </c>
      <c r="F191" s="1217" t="s">
        <v>536</v>
      </c>
      <c r="G191" s="1662" t="s">
        <v>1</v>
      </c>
      <c r="H191" s="1682">
        <f>500+170-57.817-22.257</f>
        <v>589.92600000000004</v>
      </c>
      <c r="I191" s="529"/>
      <c r="J191" s="270"/>
      <c r="K191" s="1859">
        <v>500</v>
      </c>
      <c r="L191" s="1858"/>
      <c r="M191" s="1858"/>
      <c r="N191" s="1200">
        <f>1054.5-152.1</f>
        <v>902.4</v>
      </c>
      <c r="O191" s="1858"/>
      <c r="P191" s="1858"/>
      <c r="Q191" s="1858"/>
      <c r="R191" s="1858"/>
      <c r="S191" s="1858"/>
      <c r="T191" s="1858"/>
      <c r="U191" s="1682">
        <f>586.8-338.1</f>
        <v>248.69999999999993</v>
      </c>
    </row>
    <row r="192" spans="1:21" x14ac:dyDescent="0.25">
      <c r="A192" s="842"/>
      <c r="B192" s="753" t="s">
        <v>535</v>
      </c>
      <c r="C192" s="409"/>
      <c r="D192" s="409" t="s">
        <v>452</v>
      </c>
      <c r="E192" s="409" t="s">
        <v>534</v>
      </c>
      <c r="F192" s="409" t="s">
        <v>54</v>
      </c>
      <c r="G192" s="1662"/>
      <c r="H192" s="1682">
        <f>H193</f>
        <v>94.8</v>
      </c>
      <c r="I192" s="529">
        <f>I193</f>
        <v>0</v>
      </c>
      <c r="J192" s="270">
        <f>J193</f>
        <v>0</v>
      </c>
      <c r="K192" s="1858"/>
      <c r="L192" s="1858"/>
      <c r="M192" s="1858"/>
      <c r="N192" s="1200"/>
      <c r="O192" s="1858"/>
      <c r="P192" s="1858"/>
      <c r="Q192" s="1858"/>
      <c r="R192" s="1858"/>
      <c r="S192" s="1858"/>
      <c r="T192" s="1858"/>
      <c r="U192" s="1682"/>
    </row>
    <row r="193" spans="1:21" ht="21" x14ac:dyDescent="0.25">
      <c r="A193" s="1234"/>
      <c r="B193" s="1182" t="s">
        <v>454</v>
      </c>
      <c r="C193" s="1217"/>
      <c r="D193" s="1217" t="s">
        <v>452</v>
      </c>
      <c r="E193" s="1217" t="s">
        <v>534</v>
      </c>
      <c r="F193" s="1217" t="s">
        <v>54</v>
      </c>
      <c r="G193" s="1662" t="s">
        <v>1</v>
      </c>
      <c r="H193" s="1682">
        <v>94.8</v>
      </c>
      <c r="I193" s="529"/>
      <c r="J193" s="269"/>
      <c r="K193" s="1858">
        <v>94.8</v>
      </c>
      <c r="L193" s="1858"/>
      <c r="M193" s="1858"/>
      <c r="N193" s="1200"/>
      <c r="O193" s="1858"/>
      <c r="P193" s="1858"/>
      <c r="Q193" s="1858"/>
      <c r="R193" s="1858"/>
      <c r="S193" s="1858"/>
      <c r="T193" s="1858"/>
      <c r="U193" s="1682"/>
    </row>
    <row r="194" spans="1:21" x14ac:dyDescent="0.25">
      <c r="A194" s="1234"/>
      <c r="B194" s="753" t="s">
        <v>53</v>
      </c>
      <c r="C194" s="409"/>
      <c r="D194" s="409" t="s">
        <v>452</v>
      </c>
      <c r="E194" s="409" t="s">
        <v>534</v>
      </c>
      <c r="F194" s="409" t="s">
        <v>50</v>
      </c>
      <c r="G194" s="1662"/>
      <c r="H194" s="1682">
        <f>H195+H196</f>
        <v>967.12800000000004</v>
      </c>
      <c r="I194" s="529">
        <f>I195</f>
        <v>0</v>
      </c>
      <c r="J194" s="269">
        <f>J195</f>
        <v>0</v>
      </c>
      <c r="K194" s="1858"/>
      <c r="L194" s="1858"/>
      <c r="M194" s="1858"/>
      <c r="N194" s="1200">
        <f>N195+N196</f>
        <v>504</v>
      </c>
      <c r="O194" s="1858"/>
      <c r="P194" s="1858"/>
      <c r="Q194" s="1858"/>
      <c r="R194" s="1858"/>
      <c r="S194" s="1858"/>
      <c r="T194" s="1858"/>
      <c r="U194" s="1682">
        <f>U195+U196</f>
        <v>304</v>
      </c>
    </row>
    <row r="195" spans="1:21" ht="21" x14ac:dyDescent="0.25">
      <c r="A195" s="1234"/>
      <c r="B195" s="1182" t="s">
        <v>454</v>
      </c>
      <c r="C195" s="1217"/>
      <c r="D195" s="1217" t="s">
        <v>452</v>
      </c>
      <c r="E195" s="1217" t="s">
        <v>534</v>
      </c>
      <c r="F195" s="1217" t="s">
        <v>50</v>
      </c>
      <c r="G195" s="1662" t="s">
        <v>1</v>
      </c>
      <c r="H195" s="1682">
        <f>905.2+450+500-750-138.072</f>
        <v>967.12800000000004</v>
      </c>
      <c r="I195" s="529"/>
      <c r="J195" s="269"/>
      <c r="K195" s="1859">
        <v>905.2</v>
      </c>
      <c r="L195" s="1858"/>
      <c r="M195" s="1858"/>
      <c r="N195" s="1200">
        <v>504</v>
      </c>
      <c r="O195" s="1858"/>
      <c r="P195" s="1858"/>
      <c r="Q195" s="1858"/>
      <c r="R195" s="1858"/>
      <c r="S195" s="1858"/>
      <c r="T195" s="1858"/>
      <c r="U195" s="1682">
        <f>904-600</f>
        <v>304</v>
      </c>
    </row>
    <row r="196" spans="1:21" hidden="1" x14ac:dyDescent="0.25">
      <c r="A196" s="1234"/>
      <c r="B196" s="1182" t="s">
        <v>622</v>
      </c>
      <c r="C196" s="1217"/>
      <c r="D196" s="1217"/>
      <c r="E196" s="1217"/>
      <c r="F196" s="1217"/>
      <c r="G196" s="1662"/>
      <c r="H196" s="1682"/>
      <c r="I196" s="529"/>
      <c r="J196" s="404"/>
      <c r="K196" s="1858"/>
      <c r="L196" s="1858"/>
      <c r="M196" s="1858"/>
      <c r="N196" s="1200"/>
      <c r="O196" s="1858"/>
      <c r="P196" s="1858"/>
      <c r="Q196" s="1858"/>
      <c r="R196" s="1858"/>
      <c r="S196" s="1858"/>
      <c r="T196" s="1858"/>
      <c r="U196" s="1682"/>
    </row>
    <row r="197" spans="1:21" x14ac:dyDescent="0.25">
      <c r="A197" s="1234"/>
      <c r="B197" s="1225" t="s">
        <v>378</v>
      </c>
      <c r="C197" s="1226"/>
      <c r="D197" s="1227" t="s">
        <v>463</v>
      </c>
      <c r="E197" s="1227" t="s">
        <v>459</v>
      </c>
      <c r="F197" s="1227"/>
      <c r="G197" s="1665"/>
      <c r="H197" s="1684">
        <f>H198+H220+H255</f>
        <v>64339.774600000004</v>
      </c>
      <c r="I197" s="853">
        <f>I198+I220+I255</f>
        <v>40536.79</v>
      </c>
      <c r="J197" s="400">
        <f>J198+J220+J255</f>
        <v>40253.18</v>
      </c>
      <c r="K197" s="1858"/>
      <c r="L197" s="1858"/>
      <c r="M197" s="1858"/>
      <c r="N197" s="1228">
        <f>N198+N220+N255</f>
        <v>43860.957999999999</v>
      </c>
      <c r="O197" s="1858"/>
      <c r="P197" s="1858"/>
      <c r="Q197" s="1858"/>
      <c r="R197" s="1858"/>
      <c r="S197" s="1858"/>
      <c r="T197" s="1858"/>
      <c r="U197" s="1684">
        <f>U198+U220+U255</f>
        <v>45453.890000000007</v>
      </c>
    </row>
    <row r="198" spans="1:21" x14ac:dyDescent="0.25">
      <c r="A198" s="1229"/>
      <c r="B198" s="1225" t="s">
        <v>11</v>
      </c>
      <c r="C198" s="1227"/>
      <c r="D198" s="1227" t="s">
        <v>463</v>
      </c>
      <c r="E198" s="1227" t="s">
        <v>456</v>
      </c>
      <c r="F198" s="1227"/>
      <c r="G198" s="1665"/>
      <c r="H198" s="1684">
        <f>H208+H199</f>
        <v>2185.335</v>
      </c>
      <c r="I198" s="853">
        <f>I208</f>
        <v>799.11500000000001</v>
      </c>
      <c r="J198" s="400">
        <f>J208</f>
        <v>895.01</v>
      </c>
      <c r="K198" s="1858"/>
      <c r="L198" s="1858"/>
      <c r="M198" s="1858"/>
      <c r="N198" s="1228">
        <f>N208+N199</f>
        <v>947.01</v>
      </c>
      <c r="O198" s="1858"/>
      <c r="P198" s="1858"/>
      <c r="Q198" s="1858"/>
      <c r="R198" s="1858"/>
      <c r="S198" s="1858"/>
      <c r="T198" s="1858"/>
      <c r="U198" s="1684">
        <f>U208+U199</f>
        <v>947.01</v>
      </c>
    </row>
    <row r="199" spans="1:21" ht="31.5" hidden="1" x14ac:dyDescent="0.25">
      <c r="A199" s="1229"/>
      <c r="B199" s="1203" t="s">
        <v>861</v>
      </c>
      <c r="C199" s="1177"/>
      <c r="D199" s="408" t="s">
        <v>463</v>
      </c>
      <c r="E199" s="408" t="s">
        <v>456</v>
      </c>
      <c r="F199" s="408" t="s">
        <v>468</v>
      </c>
      <c r="G199" s="1661"/>
      <c r="H199" s="1683">
        <f>H200+H204</f>
        <v>0</v>
      </c>
      <c r="I199" s="853"/>
      <c r="J199" s="400"/>
      <c r="K199" s="1858"/>
      <c r="L199" s="1858"/>
      <c r="M199" s="1858"/>
      <c r="N199" s="1208"/>
      <c r="O199" s="1858"/>
      <c r="P199" s="1858"/>
      <c r="Q199" s="1858"/>
      <c r="R199" s="1858"/>
      <c r="S199" s="1858"/>
      <c r="T199" s="1858"/>
      <c r="U199" s="1683"/>
    </row>
    <row r="200" spans="1:21" hidden="1" x14ac:dyDescent="0.25">
      <c r="A200" s="1229"/>
      <c r="B200" s="1203" t="s">
        <v>849</v>
      </c>
      <c r="C200" s="1180"/>
      <c r="D200" s="409" t="s">
        <v>463</v>
      </c>
      <c r="E200" s="409" t="s">
        <v>456</v>
      </c>
      <c r="F200" s="409" t="s">
        <v>854</v>
      </c>
      <c r="G200" s="1662"/>
      <c r="H200" s="1682">
        <f>H201</f>
        <v>0</v>
      </c>
      <c r="I200" s="853"/>
      <c r="J200" s="400"/>
      <c r="K200" s="1862">
        <v>186.20699999999999</v>
      </c>
      <c r="L200" s="1858"/>
      <c r="M200" s="1858"/>
      <c r="N200" s="1200"/>
      <c r="O200" s="1858"/>
      <c r="P200" s="1858"/>
      <c r="Q200" s="1858"/>
      <c r="R200" s="1858"/>
      <c r="S200" s="1858"/>
      <c r="T200" s="1858"/>
      <c r="U200" s="1682"/>
    </row>
    <row r="201" spans="1:21" hidden="1" x14ac:dyDescent="0.25">
      <c r="A201" s="1229"/>
      <c r="B201" s="1203" t="s">
        <v>850</v>
      </c>
      <c r="C201" s="1180"/>
      <c r="D201" s="409" t="s">
        <v>463</v>
      </c>
      <c r="E201" s="409" t="s">
        <v>456</v>
      </c>
      <c r="F201" s="409" t="s">
        <v>855</v>
      </c>
      <c r="G201" s="1662"/>
      <c r="H201" s="1682">
        <f>H202</f>
        <v>0</v>
      </c>
      <c r="I201" s="853"/>
      <c r="J201" s="400"/>
      <c r="K201" s="1858"/>
      <c r="L201" s="1858"/>
      <c r="M201" s="1858"/>
      <c r="N201" s="1200"/>
      <c r="O201" s="1858"/>
      <c r="P201" s="1858"/>
      <c r="Q201" s="1858"/>
      <c r="R201" s="1858"/>
      <c r="S201" s="1858"/>
      <c r="T201" s="1858"/>
      <c r="U201" s="1682"/>
    </row>
    <row r="202" spans="1:21" ht="31.5" hidden="1" x14ac:dyDescent="0.25">
      <c r="A202" s="1229"/>
      <c r="B202" s="1232" t="s">
        <v>851</v>
      </c>
      <c r="C202" s="1180"/>
      <c r="D202" s="409" t="s">
        <v>463</v>
      </c>
      <c r="E202" s="409" t="s">
        <v>456</v>
      </c>
      <c r="F202" s="1864" t="s">
        <v>856</v>
      </c>
      <c r="G202" s="1662"/>
      <c r="H202" s="1682">
        <f>H203</f>
        <v>0</v>
      </c>
      <c r="I202" s="853"/>
      <c r="J202" s="400"/>
      <c r="K202" s="1858"/>
      <c r="L202" s="1858"/>
      <c r="M202" s="1858"/>
      <c r="N202" s="1200"/>
      <c r="O202" s="1858"/>
      <c r="P202" s="1858"/>
      <c r="Q202" s="1858"/>
      <c r="R202" s="1858"/>
      <c r="S202" s="1858"/>
      <c r="T202" s="1858"/>
      <c r="U202" s="1682"/>
    </row>
    <row r="203" spans="1:21" hidden="1" x14ac:dyDescent="0.25">
      <c r="A203" s="1229"/>
      <c r="B203" s="1236" t="s">
        <v>497</v>
      </c>
      <c r="C203" s="1183"/>
      <c r="D203" s="409" t="s">
        <v>463</v>
      </c>
      <c r="E203" s="409" t="s">
        <v>456</v>
      </c>
      <c r="F203" s="1864" t="s">
        <v>856</v>
      </c>
      <c r="G203" s="1662" t="s">
        <v>77</v>
      </c>
      <c r="H203" s="1865"/>
      <c r="I203" s="853"/>
      <c r="J203" s="400"/>
      <c r="K203" s="1858">
        <v>130.441</v>
      </c>
      <c r="L203" s="1858"/>
      <c r="M203" s="1858"/>
      <c r="N203" s="1866"/>
      <c r="O203" s="1858"/>
      <c r="P203" s="1858"/>
      <c r="Q203" s="1858"/>
      <c r="R203" s="1858"/>
      <c r="S203" s="1858"/>
      <c r="T203" s="1858"/>
      <c r="U203" s="1865"/>
    </row>
    <row r="204" spans="1:21" ht="21" hidden="1" x14ac:dyDescent="0.25">
      <c r="A204" s="1229"/>
      <c r="B204" s="1203" t="s">
        <v>853</v>
      </c>
      <c r="C204" s="1183"/>
      <c r="D204" s="409" t="s">
        <v>463</v>
      </c>
      <c r="E204" s="409" t="s">
        <v>456</v>
      </c>
      <c r="F204" s="1864" t="s">
        <v>857</v>
      </c>
      <c r="G204" s="1662"/>
      <c r="H204" s="1865">
        <f>H205</f>
        <v>0</v>
      </c>
      <c r="I204" s="853"/>
      <c r="J204" s="400"/>
      <c r="K204" s="1858"/>
      <c r="L204" s="1858"/>
      <c r="M204" s="1858"/>
      <c r="N204" s="1866"/>
      <c r="O204" s="1858"/>
      <c r="P204" s="1858"/>
      <c r="Q204" s="1858"/>
      <c r="R204" s="1858"/>
      <c r="S204" s="1858"/>
      <c r="T204" s="1858"/>
      <c r="U204" s="1865"/>
    </row>
    <row r="205" spans="1:21" hidden="1" x14ac:dyDescent="0.25">
      <c r="A205" s="1229"/>
      <c r="B205" s="1203" t="s">
        <v>850</v>
      </c>
      <c r="C205" s="1183"/>
      <c r="D205" s="409" t="s">
        <v>463</v>
      </c>
      <c r="E205" s="409" t="s">
        <v>456</v>
      </c>
      <c r="F205" s="409" t="s">
        <v>858</v>
      </c>
      <c r="G205" s="1662"/>
      <c r="H205" s="1865">
        <f>H206</f>
        <v>0</v>
      </c>
      <c r="I205" s="853"/>
      <c r="J205" s="400"/>
      <c r="K205" s="1858"/>
      <c r="L205" s="1858"/>
      <c r="M205" s="1858"/>
      <c r="N205" s="1866"/>
      <c r="O205" s="1858"/>
      <c r="P205" s="1858"/>
      <c r="Q205" s="1858"/>
      <c r="R205" s="1858"/>
      <c r="S205" s="1858"/>
      <c r="T205" s="1858"/>
      <c r="U205" s="1865"/>
    </row>
    <row r="206" spans="1:21" ht="31.5" hidden="1" x14ac:dyDescent="0.25">
      <c r="A206" s="1229"/>
      <c r="B206" s="1203" t="s">
        <v>851</v>
      </c>
      <c r="C206" s="1183"/>
      <c r="D206" s="409" t="s">
        <v>463</v>
      </c>
      <c r="E206" s="409" t="s">
        <v>456</v>
      </c>
      <c r="F206" s="1864" t="s">
        <v>859</v>
      </c>
      <c r="G206" s="1662"/>
      <c r="H206" s="1865">
        <f>H207</f>
        <v>0</v>
      </c>
      <c r="I206" s="853"/>
      <c r="J206" s="400"/>
      <c r="K206" s="1858"/>
      <c r="L206" s="1858"/>
      <c r="M206" s="1858"/>
      <c r="N206" s="1866"/>
      <c r="O206" s="1858"/>
      <c r="P206" s="1858"/>
      <c r="Q206" s="1858"/>
      <c r="R206" s="1858"/>
      <c r="S206" s="1858"/>
      <c r="T206" s="1858"/>
      <c r="U206" s="1865"/>
    </row>
    <row r="207" spans="1:21" hidden="1" x14ac:dyDescent="0.25">
      <c r="A207" s="1229"/>
      <c r="B207" s="1236" t="s">
        <v>497</v>
      </c>
      <c r="C207" s="1183"/>
      <c r="D207" s="409" t="s">
        <v>463</v>
      </c>
      <c r="E207" s="409" t="s">
        <v>456</v>
      </c>
      <c r="F207" s="1864" t="s">
        <v>859</v>
      </c>
      <c r="G207" s="1662" t="s">
        <v>77</v>
      </c>
      <c r="H207" s="1865"/>
      <c r="I207" s="853"/>
      <c r="J207" s="400"/>
      <c r="K207" s="1858">
        <v>55.765999999999998</v>
      </c>
      <c r="L207" s="1858"/>
      <c r="M207" s="1858"/>
      <c r="N207" s="1866"/>
      <c r="O207" s="1858"/>
      <c r="P207" s="1858"/>
      <c r="Q207" s="1858"/>
      <c r="R207" s="1858"/>
      <c r="S207" s="1858"/>
      <c r="T207" s="1858"/>
      <c r="U207" s="1865"/>
    </row>
    <row r="208" spans="1:21" ht="22.5" customHeight="1" x14ac:dyDescent="0.25">
      <c r="A208" s="1233"/>
      <c r="B208" s="753" t="s">
        <v>499</v>
      </c>
      <c r="C208" s="1180"/>
      <c r="D208" s="409" t="s">
        <v>463</v>
      </c>
      <c r="E208" s="409" t="s">
        <v>456</v>
      </c>
      <c r="F208" s="409" t="s">
        <v>89</v>
      </c>
      <c r="G208" s="1662"/>
      <c r="H208" s="1682">
        <f t="shared" ref="H208:J209" si="29">H209</f>
        <v>2185.335</v>
      </c>
      <c r="I208" s="529">
        <f t="shared" si="29"/>
        <v>799.11500000000001</v>
      </c>
      <c r="J208" s="270">
        <f t="shared" si="29"/>
        <v>895.01</v>
      </c>
      <c r="K208" s="1858"/>
      <c r="L208" s="1858"/>
      <c r="M208" s="1858"/>
      <c r="N208" s="1200">
        <f t="shared" ref="N208:N209" si="30">N209</f>
        <v>947.01</v>
      </c>
      <c r="O208" s="1858"/>
      <c r="P208" s="1858"/>
      <c r="Q208" s="1858"/>
      <c r="R208" s="1858"/>
      <c r="S208" s="1858"/>
      <c r="T208" s="1858"/>
      <c r="U208" s="1682">
        <f t="shared" ref="U208:U209" si="31">U209</f>
        <v>947.01</v>
      </c>
    </row>
    <row r="209" spans="1:21" x14ac:dyDescent="0.25">
      <c r="A209" s="1179"/>
      <c r="B209" s="753" t="s">
        <v>109</v>
      </c>
      <c r="C209" s="1180"/>
      <c r="D209" s="409" t="s">
        <v>463</v>
      </c>
      <c r="E209" s="409" t="s">
        <v>456</v>
      </c>
      <c r="F209" s="409" t="s">
        <v>84</v>
      </c>
      <c r="G209" s="1662"/>
      <c r="H209" s="1682">
        <f t="shared" si="29"/>
        <v>2185.335</v>
      </c>
      <c r="I209" s="529">
        <f t="shared" si="29"/>
        <v>799.11500000000001</v>
      </c>
      <c r="J209" s="270">
        <f t="shared" si="29"/>
        <v>895.01</v>
      </c>
      <c r="K209" s="1858"/>
      <c r="L209" s="1858"/>
      <c r="M209" s="1858"/>
      <c r="N209" s="1200">
        <f t="shared" si="30"/>
        <v>947.01</v>
      </c>
      <c r="O209" s="1858"/>
      <c r="P209" s="1858"/>
      <c r="Q209" s="1858"/>
      <c r="R209" s="1858"/>
      <c r="S209" s="1858"/>
      <c r="T209" s="1858"/>
      <c r="U209" s="1682">
        <f t="shared" si="31"/>
        <v>947.01</v>
      </c>
    </row>
    <row r="210" spans="1:21" x14ac:dyDescent="0.25">
      <c r="A210" s="1179"/>
      <c r="B210" s="753" t="s">
        <v>109</v>
      </c>
      <c r="C210" s="1180"/>
      <c r="D210" s="409" t="s">
        <v>463</v>
      </c>
      <c r="E210" s="409" t="s">
        <v>456</v>
      </c>
      <c r="F210" s="409" t="s">
        <v>82</v>
      </c>
      <c r="G210" s="1662"/>
      <c r="H210" s="1682">
        <f>H211+H213+H217+H215</f>
        <v>2185.335</v>
      </c>
      <c r="I210" s="529">
        <f>I211+I213+I217</f>
        <v>799.11500000000001</v>
      </c>
      <c r="J210" s="270">
        <f>J211+J213+J217</f>
        <v>895.01</v>
      </c>
      <c r="K210" s="1858"/>
      <c r="L210" s="1858"/>
      <c r="M210" s="1858"/>
      <c r="N210" s="1200">
        <f>N211+N213+N217</f>
        <v>947.01</v>
      </c>
      <c r="O210" s="1858"/>
      <c r="P210" s="1858"/>
      <c r="Q210" s="1858"/>
      <c r="R210" s="1858"/>
      <c r="S210" s="1858"/>
      <c r="T210" s="1858"/>
      <c r="U210" s="1682">
        <f>U211+U213+U217</f>
        <v>947.01</v>
      </c>
    </row>
    <row r="211" spans="1:21" hidden="1" x14ac:dyDescent="0.25">
      <c r="A211" s="842"/>
      <c r="B211" s="753" t="s">
        <v>533</v>
      </c>
      <c r="C211" s="409"/>
      <c r="D211" s="409" t="s">
        <v>463</v>
      </c>
      <c r="E211" s="409" t="s">
        <v>456</v>
      </c>
      <c r="F211" s="409" t="s">
        <v>30</v>
      </c>
      <c r="G211" s="1662"/>
      <c r="H211" s="1682">
        <f>H212</f>
        <v>0</v>
      </c>
      <c r="I211" s="529">
        <f>I212</f>
        <v>0</v>
      </c>
      <c r="J211" s="270">
        <f>J212</f>
        <v>0</v>
      </c>
      <c r="K211" s="1858"/>
      <c r="L211" s="1858"/>
      <c r="M211" s="1858"/>
      <c r="N211" s="1200">
        <f>N212</f>
        <v>0</v>
      </c>
      <c r="O211" s="1858"/>
      <c r="P211" s="1858"/>
      <c r="Q211" s="1858"/>
      <c r="R211" s="1858"/>
      <c r="S211" s="1858"/>
      <c r="T211" s="1858"/>
      <c r="U211" s="1682">
        <f>U212</f>
        <v>0</v>
      </c>
    </row>
    <row r="212" spans="1:21" ht="21" hidden="1" x14ac:dyDescent="0.25">
      <c r="A212" s="1229"/>
      <c r="B212" s="1182" t="s">
        <v>454</v>
      </c>
      <c r="C212" s="409"/>
      <c r="D212" s="1217" t="s">
        <v>463</v>
      </c>
      <c r="E212" s="1217" t="s">
        <v>456</v>
      </c>
      <c r="F212" s="409" t="s">
        <v>30</v>
      </c>
      <c r="G212" s="1662" t="s">
        <v>1</v>
      </c>
      <c r="H212" s="1682">
        <v>0</v>
      </c>
      <c r="I212" s="529"/>
      <c r="J212" s="269"/>
      <c r="K212" s="1858"/>
      <c r="L212" s="1858"/>
      <c r="M212" s="1858"/>
      <c r="N212" s="1200">
        <v>0</v>
      </c>
      <c r="O212" s="1858"/>
      <c r="P212" s="1858"/>
      <c r="Q212" s="1858"/>
      <c r="R212" s="1858"/>
      <c r="S212" s="1858"/>
      <c r="T212" s="1858"/>
      <c r="U212" s="1682">
        <v>0</v>
      </c>
    </row>
    <row r="213" spans="1:21" hidden="1" x14ac:dyDescent="0.25">
      <c r="A213" s="842"/>
      <c r="B213" s="753" t="s">
        <v>532</v>
      </c>
      <c r="C213" s="409"/>
      <c r="D213" s="409" t="s">
        <v>463</v>
      </c>
      <c r="E213" s="409" t="s">
        <v>456</v>
      </c>
      <c r="F213" s="409" t="s">
        <v>531</v>
      </c>
      <c r="G213" s="1662"/>
      <c r="H213" s="1682">
        <f>H214</f>
        <v>0</v>
      </c>
      <c r="I213" s="529">
        <f>I214</f>
        <v>0</v>
      </c>
      <c r="J213" s="269">
        <f>J214</f>
        <v>0</v>
      </c>
      <c r="K213" s="1858"/>
      <c r="L213" s="1858"/>
      <c r="M213" s="1858"/>
      <c r="N213" s="1200">
        <f>N214</f>
        <v>0</v>
      </c>
      <c r="O213" s="1858"/>
      <c r="P213" s="1858"/>
      <c r="Q213" s="1858"/>
      <c r="R213" s="1858"/>
      <c r="S213" s="1858"/>
      <c r="T213" s="1858"/>
      <c r="U213" s="1682">
        <f>U214</f>
        <v>0</v>
      </c>
    </row>
    <row r="214" spans="1:21" ht="21" hidden="1" x14ac:dyDescent="0.25">
      <c r="A214" s="1229"/>
      <c r="B214" s="1182" t="s">
        <v>454</v>
      </c>
      <c r="C214" s="409"/>
      <c r="D214" s="1217" t="s">
        <v>463</v>
      </c>
      <c r="E214" s="1217" t="s">
        <v>456</v>
      </c>
      <c r="F214" s="1217" t="s">
        <v>531</v>
      </c>
      <c r="G214" s="1662" t="s">
        <v>1</v>
      </c>
      <c r="H214" s="1682"/>
      <c r="I214" s="529"/>
      <c r="J214" s="269"/>
      <c r="K214" s="1858"/>
      <c r="L214" s="1858"/>
      <c r="M214" s="1858"/>
      <c r="N214" s="1200"/>
      <c r="O214" s="1858"/>
      <c r="P214" s="1858"/>
      <c r="Q214" s="1858"/>
      <c r="R214" s="1858"/>
      <c r="S214" s="1858"/>
      <c r="T214" s="1858"/>
      <c r="U214" s="1682"/>
    </row>
    <row r="215" spans="1:21" x14ac:dyDescent="0.25">
      <c r="A215" s="1229"/>
      <c r="B215" s="753" t="s">
        <v>1007</v>
      </c>
      <c r="C215" s="409"/>
      <c r="D215" s="409" t="s">
        <v>463</v>
      </c>
      <c r="E215" s="409" t="s">
        <v>456</v>
      </c>
      <c r="F215" s="1217" t="s">
        <v>30</v>
      </c>
      <c r="G215" s="1662"/>
      <c r="H215" s="1682">
        <f>H216</f>
        <v>1238.3249999999998</v>
      </c>
      <c r="I215" s="529"/>
      <c r="J215" s="269"/>
      <c r="K215" s="1858"/>
      <c r="L215" s="1858"/>
      <c r="M215" s="1858"/>
      <c r="N215" s="1200"/>
      <c r="O215" s="1858"/>
      <c r="P215" s="1858"/>
      <c r="Q215" s="1858"/>
      <c r="R215" s="1858"/>
      <c r="S215" s="1858"/>
      <c r="T215" s="1858"/>
      <c r="U215" s="1682"/>
    </row>
    <row r="216" spans="1:21" ht="21" x14ac:dyDescent="0.25">
      <c r="A216" s="1229"/>
      <c r="B216" s="1182" t="s">
        <v>454</v>
      </c>
      <c r="C216" s="409"/>
      <c r="D216" s="409" t="s">
        <v>463</v>
      </c>
      <c r="E216" s="409" t="s">
        <v>456</v>
      </c>
      <c r="F216" s="1217" t="s">
        <v>30</v>
      </c>
      <c r="G216" s="1662" t="s">
        <v>1</v>
      </c>
      <c r="H216" s="1682">
        <f>600+186.207+270+124.301+57.817</f>
        <v>1238.3249999999998</v>
      </c>
      <c r="I216" s="529"/>
      <c r="J216" s="269"/>
      <c r="K216" s="1858"/>
      <c r="L216" s="1858"/>
      <c r="M216" s="1858"/>
      <c r="N216" s="1200"/>
      <c r="O216" s="1858"/>
      <c r="P216" s="1858"/>
      <c r="Q216" s="1858"/>
      <c r="R216" s="1858"/>
      <c r="S216" s="1858"/>
      <c r="T216" s="1858"/>
      <c r="U216" s="1682"/>
    </row>
    <row r="217" spans="1:21" x14ac:dyDescent="0.25">
      <c r="A217" s="842"/>
      <c r="B217" s="753" t="s">
        <v>12</v>
      </c>
      <c r="C217" s="409"/>
      <c r="D217" s="409" t="s">
        <v>463</v>
      </c>
      <c r="E217" s="409" t="s">
        <v>456</v>
      </c>
      <c r="F217" s="409" t="s">
        <v>10</v>
      </c>
      <c r="G217" s="1662"/>
      <c r="H217" s="1682">
        <f>H218</f>
        <v>947.01</v>
      </c>
      <c r="I217" s="529">
        <f>I218</f>
        <v>799.11500000000001</v>
      </c>
      <c r="J217" s="269">
        <f>J218</f>
        <v>895.01</v>
      </c>
      <c r="K217" s="1858"/>
      <c r="L217" s="1858"/>
      <c r="M217" s="1858"/>
      <c r="N217" s="1200">
        <f>N218</f>
        <v>947.01</v>
      </c>
      <c r="O217" s="1858"/>
      <c r="P217" s="1858"/>
      <c r="Q217" s="1858"/>
      <c r="R217" s="1858"/>
      <c r="S217" s="1858"/>
      <c r="T217" s="1858"/>
      <c r="U217" s="1682">
        <f>U218</f>
        <v>947.01</v>
      </c>
    </row>
    <row r="218" spans="1:21" ht="21" x14ac:dyDescent="0.25">
      <c r="A218" s="1229"/>
      <c r="B218" s="1182" t="s">
        <v>454</v>
      </c>
      <c r="C218" s="409"/>
      <c r="D218" s="1217" t="s">
        <v>463</v>
      </c>
      <c r="E218" s="1217" t="s">
        <v>456</v>
      </c>
      <c r="F218" s="1217" t="s">
        <v>10</v>
      </c>
      <c r="G218" s="1662" t="s">
        <v>1</v>
      </c>
      <c r="H218" s="1682">
        <v>947.01</v>
      </c>
      <c r="I218" s="529">
        <v>799.11500000000001</v>
      </c>
      <c r="J218" s="269">
        <v>895.01</v>
      </c>
      <c r="K218" s="1862">
        <v>947.01</v>
      </c>
      <c r="L218" s="1858"/>
      <c r="M218" s="1858"/>
      <c r="N218" s="1200">
        <v>947.01</v>
      </c>
      <c r="O218" s="1858"/>
      <c r="P218" s="1858"/>
      <c r="Q218" s="1858"/>
      <c r="R218" s="1858"/>
      <c r="S218" s="1858"/>
      <c r="T218" s="1858"/>
      <c r="U218" s="1682">
        <v>947.01</v>
      </c>
    </row>
    <row r="219" spans="1:21" hidden="1" x14ac:dyDescent="0.25">
      <c r="A219" s="1179"/>
      <c r="B219" s="1184" t="s">
        <v>45</v>
      </c>
      <c r="C219" s="1177"/>
      <c r="D219" s="408" t="s">
        <v>496</v>
      </c>
      <c r="E219" s="408" t="s">
        <v>495</v>
      </c>
      <c r="F219" s="408"/>
      <c r="G219" s="1661"/>
      <c r="H219" s="1683" t="e">
        <f>#REF!</f>
        <v>#REF!</v>
      </c>
      <c r="I219" s="529"/>
      <c r="J219" s="404"/>
      <c r="K219" s="1858"/>
      <c r="L219" s="1858"/>
      <c r="M219" s="1858"/>
      <c r="N219" s="1208" t="e">
        <f>#REF!</f>
        <v>#REF!</v>
      </c>
      <c r="O219" s="1858"/>
      <c r="P219" s="1858"/>
      <c r="Q219" s="1858"/>
      <c r="R219" s="1858"/>
      <c r="S219" s="1858"/>
      <c r="T219" s="1858"/>
      <c r="U219" s="1683" t="e">
        <f>#REF!</f>
        <v>#REF!</v>
      </c>
    </row>
    <row r="220" spans="1:21" x14ac:dyDescent="0.25">
      <c r="A220" s="1234"/>
      <c r="B220" s="1225" t="s">
        <v>530</v>
      </c>
      <c r="C220" s="1227"/>
      <c r="D220" s="1227" t="s">
        <v>463</v>
      </c>
      <c r="E220" s="1227" t="s">
        <v>488</v>
      </c>
      <c r="F220" s="1227"/>
      <c r="G220" s="1665"/>
      <c r="H220" s="1684">
        <f>H224+H226+H231+H236+H254+H233+H230</f>
        <v>9768.1630000000005</v>
      </c>
      <c r="I220" s="853">
        <f>I221+I227+I237</f>
        <v>3718.8</v>
      </c>
      <c r="J220" s="400">
        <f>J221+J227+J237</f>
        <v>4854</v>
      </c>
      <c r="K220" s="1858"/>
      <c r="L220" s="1858"/>
      <c r="M220" s="1858"/>
      <c r="N220" s="1228">
        <f>N221+N227+N237+N242</f>
        <v>8590.3080000000009</v>
      </c>
      <c r="O220" s="1858"/>
      <c r="P220" s="1858"/>
      <c r="Q220" s="1858"/>
      <c r="R220" s="1858"/>
      <c r="S220" s="1858"/>
      <c r="T220" s="1858"/>
      <c r="U220" s="1684">
        <f>U221+U227+U237+U242</f>
        <v>8418.5</v>
      </c>
    </row>
    <row r="221" spans="1:21" ht="21" x14ac:dyDescent="0.25">
      <c r="A221" s="1234"/>
      <c r="B221" s="1238" t="s">
        <v>884</v>
      </c>
      <c r="C221" s="409"/>
      <c r="D221" s="409" t="s">
        <v>463</v>
      </c>
      <c r="E221" s="409" t="s">
        <v>488</v>
      </c>
      <c r="F221" s="409" t="s">
        <v>196</v>
      </c>
      <c r="G221" s="1662"/>
      <c r="H221" s="1682">
        <f>H222</f>
        <v>1224.9099999999999</v>
      </c>
      <c r="I221" s="529">
        <f t="shared" ref="I221:J222" si="32">I222</f>
        <v>48</v>
      </c>
      <c r="J221" s="270">
        <f t="shared" si="32"/>
        <v>816.12</v>
      </c>
      <c r="K221" s="1862">
        <f>K224</f>
        <v>3500.703</v>
      </c>
      <c r="L221" s="1858"/>
      <c r="M221" s="1858"/>
      <c r="N221" s="1200">
        <f t="shared" ref="N221:N222" si="33">N222</f>
        <v>4981.808</v>
      </c>
      <c r="O221" s="1858"/>
      <c r="P221" s="1858"/>
      <c r="Q221" s="1858"/>
      <c r="R221" s="1858"/>
      <c r="S221" s="1858"/>
      <c r="T221" s="1858"/>
      <c r="U221" s="1682">
        <f t="shared" ref="U221" si="34">U222</f>
        <v>5143</v>
      </c>
    </row>
    <row r="222" spans="1:21" x14ac:dyDescent="0.25">
      <c r="A222" s="1234"/>
      <c r="B222" s="1203" t="s">
        <v>195</v>
      </c>
      <c r="C222" s="409"/>
      <c r="D222" s="1217" t="s">
        <v>463</v>
      </c>
      <c r="E222" s="1217" t="s">
        <v>488</v>
      </c>
      <c r="F222" s="409" t="s">
        <v>194</v>
      </c>
      <c r="G222" s="1662"/>
      <c r="H222" s="1682">
        <f>H223+H226</f>
        <v>1224.9099999999999</v>
      </c>
      <c r="I222" s="529">
        <f t="shared" si="32"/>
        <v>48</v>
      </c>
      <c r="J222" s="270">
        <f t="shared" si="32"/>
        <v>816.12</v>
      </c>
      <c r="K222" s="1858"/>
      <c r="L222" s="1858"/>
      <c r="M222" s="1858"/>
      <c r="N222" s="1200">
        <f t="shared" si="33"/>
        <v>4981.808</v>
      </c>
      <c r="O222" s="1858"/>
      <c r="P222" s="1858"/>
      <c r="Q222" s="1858"/>
      <c r="R222" s="1858"/>
      <c r="S222" s="1858"/>
      <c r="T222" s="1858"/>
      <c r="U222" s="1682">
        <f>U223+U226</f>
        <v>5143</v>
      </c>
    </row>
    <row r="223" spans="1:21" ht="21" x14ac:dyDescent="0.25">
      <c r="A223" s="1234"/>
      <c r="B223" s="1239" t="s">
        <v>193</v>
      </c>
      <c r="C223" s="1217"/>
      <c r="D223" s="1217" t="s">
        <v>463</v>
      </c>
      <c r="E223" s="1217" t="s">
        <v>488</v>
      </c>
      <c r="F223" s="1217" t="s">
        <v>191</v>
      </c>
      <c r="G223" s="1664"/>
      <c r="H223" s="1682">
        <f>H224</f>
        <v>1224.9099999999999</v>
      </c>
      <c r="I223" s="529">
        <f>I224</f>
        <v>48</v>
      </c>
      <c r="J223" s="270">
        <f>J224</f>
        <v>816.12</v>
      </c>
      <c r="K223" s="1858"/>
      <c r="L223" s="1858"/>
      <c r="M223" s="1858"/>
      <c r="N223" s="1200">
        <f>N224</f>
        <v>4981.808</v>
      </c>
      <c r="O223" s="1858"/>
      <c r="P223" s="1858"/>
      <c r="Q223" s="1858"/>
      <c r="R223" s="1858"/>
      <c r="S223" s="1858"/>
      <c r="T223" s="1858"/>
      <c r="U223" s="1682">
        <f>U224</f>
        <v>3543</v>
      </c>
    </row>
    <row r="224" spans="1:21" x14ac:dyDescent="0.25">
      <c r="A224" s="1234"/>
      <c r="B224" s="1182" t="s">
        <v>481</v>
      </c>
      <c r="C224" s="409"/>
      <c r="D224" s="1217" t="s">
        <v>463</v>
      </c>
      <c r="E224" s="1217" t="s">
        <v>488</v>
      </c>
      <c r="F224" s="1217" t="s">
        <v>191</v>
      </c>
      <c r="G224" s="1662" t="s">
        <v>26</v>
      </c>
      <c r="H224" s="1682">
        <f>3500.703-1300-5-218.134-500-252.659</f>
        <v>1224.9099999999999</v>
      </c>
      <c r="I224" s="529">
        <v>48</v>
      </c>
      <c r="J224" s="269">
        <v>816.12</v>
      </c>
      <c r="K224" s="1858">
        <v>3500.703</v>
      </c>
      <c r="L224" s="1858"/>
      <c r="M224" s="1858"/>
      <c r="N224" s="1200">
        <v>4981.808</v>
      </c>
      <c r="O224" s="1858"/>
      <c r="P224" s="1858"/>
      <c r="Q224" s="1858"/>
      <c r="R224" s="1858"/>
      <c r="S224" s="1858"/>
      <c r="T224" s="1858"/>
      <c r="U224" s="1682">
        <f>3700-157</f>
        <v>3543</v>
      </c>
    </row>
    <row r="225" spans="1:21" ht="21.65" customHeight="1" x14ac:dyDescent="0.25">
      <c r="A225" s="1234"/>
      <c r="B225" s="1242" t="s">
        <v>193</v>
      </c>
      <c r="C225" s="409"/>
      <c r="D225" s="1217" t="s">
        <v>463</v>
      </c>
      <c r="E225" s="1217" t="s">
        <v>488</v>
      </c>
      <c r="F225" s="1217" t="s">
        <v>1008</v>
      </c>
      <c r="G225" s="1662"/>
      <c r="H225" s="1682">
        <f>H226</f>
        <v>0</v>
      </c>
      <c r="I225" s="529"/>
      <c r="J225" s="404"/>
      <c r="K225" s="1858"/>
      <c r="L225" s="1858"/>
      <c r="M225" s="1858"/>
      <c r="N225" s="1200"/>
      <c r="O225" s="1858"/>
      <c r="P225" s="1858"/>
      <c r="Q225" s="1858"/>
      <c r="R225" s="1858"/>
      <c r="S225" s="1858"/>
      <c r="T225" s="1858"/>
      <c r="U225" s="1682">
        <f>U226</f>
        <v>1600</v>
      </c>
    </row>
    <row r="226" spans="1:21" x14ac:dyDescent="0.25">
      <c r="A226" s="1234"/>
      <c r="B226" s="1182" t="s">
        <v>481</v>
      </c>
      <c r="C226" s="409"/>
      <c r="D226" s="1217" t="s">
        <v>463</v>
      </c>
      <c r="E226" s="1217" t="s">
        <v>488</v>
      </c>
      <c r="F226" s="1217" t="s">
        <v>1008</v>
      </c>
      <c r="G226" s="1662" t="s">
        <v>26</v>
      </c>
      <c r="H226" s="1682">
        <f>95+5-95-5</f>
        <v>0</v>
      </c>
      <c r="I226" s="529"/>
      <c r="J226" s="404"/>
      <c r="K226" s="1858"/>
      <c r="L226" s="1858"/>
      <c r="M226" s="1858"/>
      <c r="N226" s="1200"/>
      <c r="O226" s="1858"/>
      <c r="P226" s="1858"/>
      <c r="Q226" s="1858"/>
      <c r="R226" s="1858"/>
      <c r="S226" s="1858"/>
      <c r="T226" s="1858"/>
      <c r="U226" s="1682">
        <f>1443+157</f>
        <v>1600</v>
      </c>
    </row>
    <row r="227" spans="1:21" ht="45.65" customHeight="1" x14ac:dyDescent="0.25">
      <c r="A227" s="1179"/>
      <c r="B227" s="1203" t="s">
        <v>928</v>
      </c>
      <c r="C227" s="409"/>
      <c r="D227" s="409" t="s">
        <v>463</v>
      </c>
      <c r="E227" s="409" t="s">
        <v>488</v>
      </c>
      <c r="F227" s="409" t="s">
        <v>181</v>
      </c>
      <c r="G227" s="1662"/>
      <c r="H227" s="1682">
        <f>H231+H236+H233+H230</f>
        <v>8362.3170000000009</v>
      </c>
      <c r="I227" s="529">
        <f>I228</f>
        <v>3670.8</v>
      </c>
      <c r="J227" s="270">
        <f>J228</f>
        <v>4037.88</v>
      </c>
      <c r="K227" s="1858"/>
      <c r="L227" s="1858"/>
      <c r="M227" s="1858"/>
      <c r="N227" s="1200">
        <f>N231+N236</f>
        <v>3608.5</v>
      </c>
      <c r="O227" s="1858"/>
      <c r="P227" s="1858"/>
      <c r="Q227" s="1858"/>
      <c r="R227" s="1858"/>
      <c r="S227" s="1858"/>
      <c r="T227" s="1858"/>
      <c r="U227" s="1682">
        <f>U231+U236</f>
        <v>3275.5</v>
      </c>
    </row>
    <row r="228" spans="1:21" ht="21" x14ac:dyDescent="0.25">
      <c r="A228" s="1240"/>
      <c r="B228" s="1197" t="s">
        <v>180</v>
      </c>
      <c r="C228" s="1217"/>
      <c r="D228" s="1217" t="s">
        <v>463</v>
      </c>
      <c r="E228" s="1217" t="s">
        <v>488</v>
      </c>
      <c r="F228" s="1217" t="s">
        <v>179</v>
      </c>
      <c r="G228" s="1664"/>
      <c r="H228" s="1682">
        <f>H229</f>
        <v>75.7</v>
      </c>
      <c r="I228" s="529">
        <f>I229</f>
        <v>3670.8</v>
      </c>
      <c r="J228" s="270">
        <f>J229</f>
        <v>4037.88</v>
      </c>
      <c r="K228" s="1862">
        <f>K231</f>
        <v>7000</v>
      </c>
      <c r="L228" s="1858"/>
      <c r="M228" s="1858"/>
      <c r="N228" s="1200">
        <f>N229</f>
        <v>3608.5</v>
      </c>
      <c r="O228" s="1858"/>
      <c r="P228" s="1858"/>
      <c r="Q228" s="1858"/>
      <c r="R228" s="1858"/>
      <c r="S228" s="1858"/>
      <c r="T228" s="1858"/>
      <c r="U228" s="1682">
        <f>U229</f>
        <v>3275.5</v>
      </c>
    </row>
    <row r="229" spans="1:21" ht="30" customHeight="1" x14ac:dyDescent="0.25">
      <c r="A229" s="1240"/>
      <c r="B229" s="1197" t="s">
        <v>23</v>
      </c>
      <c r="C229" s="1217"/>
      <c r="D229" s="1217" t="s">
        <v>463</v>
      </c>
      <c r="E229" s="1217" t="s">
        <v>488</v>
      </c>
      <c r="F229" s="1217" t="s">
        <v>178</v>
      </c>
      <c r="G229" s="1664"/>
      <c r="H229" s="1682">
        <f>H230</f>
        <v>75.7</v>
      </c>
      <c r="I229" s="529">
        <f>I231+I232</f>
        <v>3670.8</v>
      </c>
      <c r="J229" s="270">
        <f>J231+J232</f>
        <v>4037.88</v>
      </c>
      <c r="K229" s="1858"/>
      <c r="L229" s="1858"/>
      <c r="M229" s="1858"/>
      <c r="N229" s="1200">
        <f>N231+N232</f>
        <v>3608.5</v>
      </c>
      <c r="O229" s="1858"/>
      <c r="P229" s="1858"/>
      <c r="Q229" s="1858"/>
      <c r="R229" s="1858"/>
      <c r="S229" s="1858"/>
      <c r="T229" s="1858"/>
      <c r="U229" s="1682">
        <f>U231+U232</f>
        <v>3275.5</v>
      </c>
    </row>
    <row r="230" spans="1:21" ht="30" customHeight="1" x14ac:dyDescent="0.25">
      <c r="A230" s="1240"/>
      <c r="B230" s="1182" t="s">
        <v>454</v>
      </c>
      <c r="C230" s="409"/>
      <c r="D230" s="1217" t="s">
        <v>463</v>
      </c>
      <c r="E230" s="1217" t="s">
        <v>488</v>
      </c>
      <c r="F230" s="1217" t="s">
        <v>178</v>
      </c>
      <c r="G230" s="1662" t="s">
        <v>1</v>
      </c>
      <c r="H230" s="1682">
        <v>75.7</v>
      </c>
      <c r="I230" s="529"/>
      <c r="J230" s="404"/>
      <c r="K230" s="1858"/>
      <c r="L230" s="1858"/>
      <c r="M230" s="1858"/>
      <c r="N230" s="1200"/>
      <c r="O230" s="1858"/>
      <c r="P230" s="1858"/>
      <c r="Q230" s="1858"/>
      <c r="R230" s="1858"/>
      <c r="S230" s="1858"/>
      <c r="T230" s="1858"/>
      <c r="U230" s="1682"/>
    </row>
    <row r="231" spans="1:21" x14ac:dyDescent="0.25">
      <c r="A231" s="1229"/>
      <c r="B231" s="1182" t="s">
        <v>481</v>
      </c>
      <c r="C231" s="1217"/>
      <c r="D231" s="1217" t="s">
        <v>463</v>
      </c>
      <c r="E231" s="1217" t="s">
        <v>488</v>
      </c>
      <c r="F231" s="1217" t="s">
        <v>178</v>
      </c>
      <c r="G231" s="1662" t="s">
        <v>26</v>
      </c>
      <c r="H231" s="1867">
        <f>200.001-75.7-124.301</f>
        <v>0</v>
      </c>
      <c r="I231" s="529">
        <v>3670.8</v>
      </c>
      <c r="J231" s="269">
        <v>4037.88</v>
      </c>
      <c r="K231" s="1858">
        <v>7000</v>
      </c>
      <c r="L231" s="1858"/>
      <c r="M231" s="1858"/>
      <c r="N231" s="1200">
        <v>3608.5</v>
      </c>
      <c r="O231" s="1858"/>
      <c r="P231" s="1858"/>
      <c r="Q231" s="1858"/>
      <c r="R231" s="1858"/>
      <c r="S231" s="1858"/>
      <c r="T231" s="1858"/>
      <c r="U231" s="1682">
        <v>3275.5</v>
      </c>
    </row>
    <row r="232" spans="1:21" hidden="1" x14ac:dyDescent="0.25">
      <c r="A232" s="1229"/>
      <c r="B232" s="753" t="s">
        <v>528</v>
      </c>
      <c r="C232" s="1217"/>
      <c r="D232" s="1217" t="s">
        <v>463</v>
      </c>
      <c r="E232" s="1217" t="s">
        <v>488</v>
      </c>
      <c r="F232" s="1217" t="s">
        <v>527</v>
      </c>
      <c r="G232" s="1664"/>
      <c r="H232" s="1682">
        <f>H233</f>
        <v>0</v>
      </c>
      <c r="I232" s="529">
        <f>I233</f>
        <v>0</v>
      </c>
      <c r="J232" s="269">
        <f>J233</f>
        <v>0</v>
      </c>
      <c r="K232" s="1858"/>
      <c r="L232" s="1858"/>
      <c r="M232" s="1858"/>
      <c r="N232" s="1200">
        <f>N233</f>
        <v>0</v>
      </c>
      <c r="O232" s="1858"/>
      <c r="P232" s="1858"/>
      <c r="Q232" s="1858"/>
      <c r="R232" s="1858"/>
      <c r="S232" s="1858"/>
      <c r="T232" s="1858"/>
      <c r="U232" s="1682">
        <f>U233</f>
        <v>0</v>
      </c>
    </row>
    <row r="233" spans="1:21" ht="21" hidden="1" x14ac:dyDescent="0.25">
      <c r="A233" s="1229"/>
      <c r="B233" s="1182" t="s">
        <v>454</v>
      </c>
      <c r="C233" s="409"/>
      <c r="D233" s="1217" t="s">
        <v>463</v>
      </c>
      <c r="E233" s="1217" t="s">
        <v>488</v>
      </c>
      <c r="F233" s="1217" t="s">
        <v>178</v>
      </c>
      <c r="G233" s="1662" t="s">
        <v>1</v>
      </c>
      <c r="H233" s="1682"/>
      <c r="I233" s="529"/>
      <c r="J233" s="269"/>
      <c r="K233" s="1858"/>
      <c r="L233" s="1858"/>
      <c r="M233" s="1858"/>
      <c r="N233" s="1200"/>
      <c r="O233" s="1858"/>
      <c r="P233" s="1858"/>
      <c r="Q233" s="1858"/>
      <c r="R233" s="1858"/>
      <c r="S233" s="1858"/>
      <c r="T233" s="1858"/>
      <c r="U233" s="1682"/>
    </row>
    <row r="234" spans="1:21" ht="21" x14ac:dyDescent="0.25">
      <c r="A234" s="1229"/>
      <c r="B234" s="1197" t="s">
        <v>1009</v>
      </c>
      <c r="C234" s="409"/>
      <c r="D234" s="1217" t="s">
        <v>463</v>
      </c>
      <c r="E234" s="1217" t="s">
        <v>488</v>
      </c>
      <c r="F234" s="1217" t="s">
        <v>1010</v>
      </c>
      <c r="G234" s="1662"/>
      <c r="H234" s="1682">
        <f>H235</f>
        <v>8286.6170000000002</v>
      </c>
      <c r="I234" s="529"/>
      <c r="J234" s="404"/>
      <c r="K234" s="1858"/>
      <c r="L234" s="1858"/>
      <c r="M234" s="1858"/>
      <c r="N234" s="1200"/>
      <c r="O234" s="1858"/>
      <c r="P234" s="1858"/>
      <c r="Q234" s="1858"/>
      <c r="R234" s="1858"/>
      <c r="S234" s="1858"/>
      <c r="T234" s="1858"/>
      <c r="U234" s="1682"/>
    </row>
    <row r="235" spans="1:21" ht="21" customHeight="1" x14ac:dyDescent="0.25">
      <c r="A235" s="1229"/>
      <c r="B235" s="1868" t="s">
        <v>1011</v>
      </c>
      <c r="C235" s="409"/>
      <c r="D235" s="1217" t="s">
        <v>463</v>
      </c>
      <c r="E235" s="1217" t="s">
        <v>488</v>
      </c>
      <c r="F235" s="1231" t="s">
        <v>1012</v>
      </c>
      <c r="G235" s="1662"/>
      <c r="H235" s="1682">
        <f>H236</f>
        <v>8286.6170000000002</v>
      </c>
      <c r="I235" s="529"/>
      <c r="J235" s="404"/>
      <c r="K235" s="1858"/>
      <c r="L235" s="1858"/>
      <c r="M235" s="1858"/>
      <c r="N235" s="1200"/>
      <c r="O235" s="1858"/>
      <c r="P235" s="1858"/>
      <c r="Q235" s="1858"/>
      <c r="R235" s="1858"/>
      <c r="S235" s="1858"/>
      <c r="T235" s="1858"/>
      <c r="U235" s="1682"/>
    </row>
    <row r="236" spans="1:21" ht="21" x14ac:dyDescent="0.25">
      <c r="A236" s="1229"/>
      <c r="B236" s="1182" t="s">
        <v>523</v>
      </c>
      <c r="C236" s="409"/>
      <c r="D236" s="1217" t="s">
        <v>463</v>
      </c>
      <c r="E236" s="1217" t="s">
        <v>488</v>
      </c>
      <c r="F236" s="1231" t="s">
        <v>1012</v>
      </c>
      <c r="G236" s="1662" t="s">
        <v>521</v>
      </c>
      <c r="H236" s="1682">
        <f>431.58+7872.286-17.249</f>
        <v>8286.6170000000002</v>
      </c>
      <c r="I236" s="529"/>
      <c r="J236" s="404"/>
      <c r="K236" s="1858"/>
      <c r="L236" s="1858"/>
      <c r="M236" s="1858"/>
      <c r="N236" s="1200"/>
      <c r="O236" s="1858"/>
      <c r="P236" s="1858"/>
      <c r="Q236" s="1858"/>
      <c r="R236" s="1858"/>
      <c r="S236" s="1858"/>
      <c r="T236" s="1858"/>
      <c r="U236" s="1682"/>
    </row>
    <row r="237" spans="1:21" ht="27.75" hidden="1" customHeight="1" x14ac:dyDescent="0.25">
      <c r="A237" s="1240"/>
      <c r="B237" s="753" t="s">
        <v>499</v>
      </c>
      <c r="C237" s="1217"/>
      <c r="D237" s="1217" t="s">
        <v>463</v>
      </c>
      <c r="E237" s="1217" t="s">
        <v>488</v>
      </c>
      <c r="F237" s="409" t="s">
        <v>89</v>
      </c>
      <c r="G237" s="1664"/>
      <c r="H237" s="1682">
        <f>H238</f>
        <v>0</v>
      </c>
      <c r="I237" s="529">
        <f>I238</f>
        <v>0</v>
      </c>
      <c r="J237" s="270">
        <f>J238</f>
        <v>0</v>
      </c>
      <c r="K237" s="1858"/>
      <c r="L237" s="1858"/>
      <c r="M237" s="1858"/>
      <c r="N237" s="1200"/>
      <c r="O237" s="1858"/>
      <c r="P237" s="1858"/>
      <c r="Q237" s="1858"/>
      <c r="R237" s="1858"/>
      <c r="S237" s="1858"/>
      <c r="T237" s="1858"/>
      <c r="U237" s="1682"/>
    </row>
    <row r="238" spans="1:21" hidden="1" x14ac:dyDescent="0.25">
      <c r="A238" s="1240"/>
      <c r="B238" s="1180" t="s">
        <v>109</v>
      </c>
      <c r="C238" s="1217"/>
      <c r="D238" s="1217" t="s">
        <v>463</v>
      </c>
      <c r="E238" s="1217" t="s">
        <v>488</v>
      </c>
      <c r="F238" s="409" t="s">
        <v>581</v>
      </c>
      <c r="G238" s="1664"/>
      <c r="H238" s="1682">
        <f>H239</f>
        <v>0</v>
      </c>
      <c r="I238" s="529">
        <f t="shared" ref="I238:J240" si="35">I239</f>
        <v>0</v>
      </c>
      <c r="J238" s="270">
        <f t="shared" si="35"/>
        <v>0</v>
      </c>
      <c r="K238" s="1858"/>
      <c r="L238" s="1858"/>
      <c r="M238" s="1858"/>
      <c r="N238" s="1200"/>
      <c r="O238" s="1858"/>
      <c r="P238" s="1858"/>
      <c r="Q238" s="1858"/>
      <c r="R238" s="1858"/>
      <c r="S238" s="1858"/>
      <c r="T238" s="1858"/>
      <c r="U238" s="1682"/>
    </row>
    <row r="239" spans="1:21" hidden="1" x14ac:dyDescent="0.25">
      <c r="A239" s="1229"/>
      <c r="B239" s="1180" t="s">
        <v>109</v>
      </c>
      <c r="C239" s="1217"/>
      <c r="D239" s="1217" t="s">
        <v>463</v>
      </c>
      <c r="E239" s="1217" t="s">
        <v>488</v>
      </c>
      <c r="F239" s="409" t="s">
        <v>82</v>
      </c>
      <c r="G239" s="1664"/>
      <c r="H239" s="1682">
        <f>H240</f>
        <v>0</v>
      </c>
      <c r="I239" s="529">
        <f t="shared" si="35"/>
        <v>0</v>
      </c>
      <c r="J239" s="270">
        <f t="shared" si="35"/>
        <v>0</v>
      </c>
      <c r="K239" s="1858"/>
      <c r="L239" s="1858"/>
      <c r="M239" s="1858"/>
      <c r="N239" s="1200"/>
      <c r="O239" s="1858"/>
      <c r="P239" s="1858"/>
      <c r="Q239" s="1858"/>
      <c r="R239" s="1858"/>
      <c r="S239" s="1858"/>
      <c r="T239" s="1858"/>
      <c r="U239" s="1682"/>
    </row>
    <row r="240" spans="1:21" ht="21" hidden="1" x14ac:dyDescent="0.25">
      <c r="A240" s="1234"/>
      <c r="B240" s="1218" t="s">
        <v>525</v>
      </c>
      <c r="C240" s="409"/>
      <c r="D240" s="1217" t="s">
        <v>463</v>
      </c>
      <c r="E240" s="1217" t="s">
        <v>488</v>
      </c>
      <c r="F240" s="409" t="s">
        <v>524</v>
      </c>
      <c r="G240" s="1662"/>
      <c r="H240" s="1682">
        <f>H241</f>
        <v>0</v>
      </c>
      <c r="I240" s="529">
        <f t="shared" si="35"/>
        <v>0</v>
      </c>
      <c r="J240" s="270">
        <f t="shared" si="35"/>
        <v>0</v>
      </c>
      <c r="K240" s="1858"/>
      <c r="L240" s="1858"/>
      <c r="M240" s="1858"/>
      <c r="N240" s="1200"/>
      <c r="O240" s="1858"/>
      <c r="P240" s="1858"/>
      <c r="Q240" s="1858"/>
      <c r="R240" s="1858"/>
      <c r="S240" s="1858"/>
      <c r="T240" s="1858"/>
      <c r="U240" s="1682"/>
    </row>
    <row r="241" spans="1:21" hidden="1" x14ac:dyDescent="0.25">
      <c r="A241" s="1234"/>
      <c r="B241" s="1182" t="s">
        <v>481</v>
      </c>
      <c r="C241" s="1217"/>
      <c r="D241" s="1217" t="s">
        <v>463</v>
      </c>
      <c r="E241" s="1217" t="s">
        <v>488</v>
      </c>
      <c r="F241" s="409" t="s">
        <v>524</v>
      </c>
      <c r="G241" s="1662" t="s">
        <v>26</v>
      </c>
      <c r="H241" s="1682">
        <f>4900-4900</f>
        <v>0</v>
      </c>
      <c r="I241" s="529"/>
      <c r="J241" s="269"/>
      <c r="K241" s="1858"/>
      <c r="L241" s="1858"/>
      <c r="M241" s="1858"/>
      <c r="N241" s="1200"/>
      <c r="O241" s="1858"/>
      <c r="P241" s="1858"/>
      <c r="Q241" s="1858"/>
      <c r="R241" s="1858"/>
      <c r="S241" s="1858"/>
      <c r="T241" s="1858"/>
      <c r="U241" s="1682"/>
    </row>
    <row r="242" spans="1:21" ht="21" hidden="1" x14ac:dyDescent="0.25">
      <c r="A242" s="1234"/>
      <c r="B242" s="1242" t="s">
        <v>929</v>
      </c>
      <c r="C242" s="409"/>
      <c r="D242" s="1217" t="s">
        <v>463</v>
      </c>
      <c r="E242" s="1217" t="s">
        <v>488</v>
      </c>
      <c r="F242" s="1217" t="s">
        <v>89</v>
      </c>
      <c r="G242" s="1662"/>
      <c r="H242" s="1682">
        <f>H243</f>
        <v>180.93600000000001</v>
      </c>
      <c r="I242" s="529"/>
      <c r="J242" s="269"/>
      <c r="K242" s="1858"/>
      <c r="L242" s="1858"/>
      <c r="M242" s="1858"/>
      <c r="N242" s="1200"/>
      <c r="O242" s="1858"/>
      <c r="P242" s="1858"/>
      <c r="Q242" s="1858"/>
      <c r="R242" s="1858"/>
      <c r="S242" s="1858"/>
      <c r="T242" s="1858"/>
      <c r="U242" s="1682"/>
    </row>
    <row r="243" spans="1:21" hidden="1" x14ac:dyDescent="0.25">
      <c r="A243" s="1234"/>
      <c r="B243" s="753" t="s">
        <v>109</v>
      </c>
      <c r="C243" s="409"/>
      <c r="D243" s="1217" t="s">
        <v>463</v>
      </c>
      <c r="E243" s="1217" t="s">
        <v>488</v>
      </c>
      <c r="F243" s="1217" t="s">
        <v>84</v>
      </c>
      <c r="G243" s="1662"/>
      <c r="H243" s="1682">
        <f>H244</f>
        <v>180.93600000000001</v>
      </c>
      <c r="I243" s="529"/>
      <c r="J243" s="269"/>
      <c r="K243" s="1858"/>
      <c r="L243" s="1858"/>
      <c r="M243" s="1858"/>
      <c r="N243" s="1200"/>
      <c r="O243" s="1858"/>
      <c r="P243" s="1858"/>
      <c r="Q243" s="1858"/>
      <c r="R243" s="1858"/>
      <c r="S243" s="1858"/>
      <c r="T243" s="1858"/>
      <c r="U243" s="1682"/>
    </row>
    <row r="244" spans="1:21" hidden="1" x14ac:dyDescent="0.25">
      <c r="A244" s="1234"/>
      <c r="B244" s="753" t="s">
        <v>109</v>
      </c>
      <c r="C244" s="409"/>
      <c r="D244" s="1217" t="s">
        <v>463</v>
      </c>
      <c r="E244" s="1217" t="s">
        <v>488</v>
      </c>
      <c r="F244" s="1217" t="s">
        <v>82</v>
      </c>
      <c r="G244" s="1662"/>
      <c r="H244" s="1682">
        <f>H246+H254</f>
        <v>180.93600000000001</v>
      </c>
      <c r="I244" s="529"/>
      <c r="J244" s="269"/>
      <c r="K244" s="1858"/>
      <c r="L244" s="1858"/>
      <c r="M244" s="1858"/>
      <c r="N244" s="1200"/>
      <c r="O244" s="1858"/>
      <c r="P244" s="1858"/>
      <c r="Q244" s="1858"/>
      <c r="R244" s="1858"/>
      <c r="S244" s="1858"/>
      <c r="T244" s="1858"/>
      <c r="U244" s="1682"/>
    </row>
    <row r="245" spans="1:21" ht="34.5" hidden="1" customHeight="1" x14ac:dyDescent="0.25">
      <c r="A245" s="1234"/>
      <c r="B245" s="753" t="s">
        <v>922</v>
      </c>
      <c r="C245" s="409"/>
      <c r="D245" s="1217" t="s">
        <v>463</v>
      </c>
      <c r="E245" s="1217" t="s">
        <v>488</v>
      </c>
      <c r="F245" s="1217" t="s">
        <v>923</v>
      </c>
      <c r="G245" s="1662"/>
      <c r="H245" s="1682">
        <f>H246</f>
        <v>0</v>
      </c>
      <c r="I245" s="529"/>
      <c r="J245" s="269"/>
      <c r="K245" s="1858"/>
      <c r="L245" s="1858"/>
      <c r="M245" s="1858"/>
      <c r="N245" s="1200"/>
      <c r="O245" s="1858"/>
      <c r="P245" s="1858"/>
      <c r="Q245" s="1858"/>
      <c r="R245" s="1858"/>
      <c r="S245" s="1858"/>
      <c r="T245" s="1858"/>
      <c r="U245" s="1682"/>
    </row>
    <row r="246" spans="1:21" ht="21" hidden="1" x14ac:dyDescent="0.25">
      <c r="A246" s="1234"/>
      <c r="B246" s="1182" t="s">
        <v>523</v>
      </c>
      <c r="C246" s="409"/>
      <c r="D246" s="1217" t="s">
        <v>463</v>
      </c>
      <c r="E246" s="1217" t="s">
        <v>488</v>
      </c>
      <c r="F246" s="1217" t="s">
        <v>923</v>
      </c>
      <c r="G246" s="1662" t="s">
        <v>521</v>
      </c>
      <c r="H246" s="1682"/>
      <c r="I246" s="529"/>
      <c r="J246" s="269"/>
      <c r="K246" s="1858"/>
      <c r="L246" s="1858"/>
      <c r="M246" s="1858"/>
      <c r="N246" s="1200"/>
      <c r="O246" s="1858"/>
      <c r="P246" s="1858"/>
      <c r="Q246" s="1858"/>
      <c r="R246" s="1858"/>
      <c r="S246" s="1858"/>
      <c r="T246" s="1858"/>
      <c r="U246" s="1682"/>
    </row>
    <row r="247" spans="1:21" ht="24.75" hidden="1" customHeight="1" x14ac:dyDescent="0.25">
      <c r="A247" s="1234"/>
      <c r="B247" s="1242" t="s">
        <v>930</v>
      </c>
      <c r="C247" s="409"/>
      <c r="D247" s="1217" t="s">
        <v>463</v>
      </c>
      <c r="E247" s="1217" t="s">
        <v>488</v>
      </c>
      <c r="F247" s="1217" t="s">
        <v>925</v>
      </c>
      <c r="G247" s="1662"/>
      <c r="H247" s="1682"/>
      <c r="I247" s="529"/>
      <c r="J247" s="404"/>
      <c r="K247" s="1858"/>
      <c r="L247" s="1858"/>
      <c r="M247" s="1858"/>
      <c r="N247" s="1200"/>
      <c r="O247" s="1858"/>
      <c r="P247" s="1858"/>
      <c r="Q247" s="1858"/>
      <c r="R247" s="1858"/>
      <c r="S247" s="1858"/>
      <c r="T247" s="1858"/>
      <c r="U247" s="1682"/>
    </row>
    <row r="248" spans="1:21" hidden="1" x14ac:dyDescent="0.25">
      <c r="A248" s="1234"/>
      <c r="B248" s="753" t="s">
        <v>109</v>
      </c>
      <c r="C248" s="409"/>
      <c r="D248" s="1217" t="s">
        <v>463</v>
      </c>
      <c r="E248" s="1217" t="s">
        <v>488</v>
      </c>
      <c r="F248" s="1217" t="s">
        <v>925</v>
      </c>
      <c r="G248" s="1662"/>
      <c r="H248" s="1682"/>
      <c r="I248" s="529"/>
      <c r="J248" s="404"/>
      <c r="K248" s="1858"/>
      <c r="L248" s="1858"/>
      <c r="M248" s="1858"/>
      <c r="N248" s="1200"/>
      <c r="O248" s="1858"/>
      <c r="P248" s="1858"/>
      <c r="Q248" s="1858"/>
      <c r="R248" s="1858"/>
      <c r="S248" s="1858"/>
      <c r="T248" s="1858"/>
      <c r="U248" s="1682"/>
    </row>
    <row r="249" spans="1:21" hidden="1" x14ac:dyDescent="0.25">
      <c r="A249" s="1234"/>
      <c r="B249" s="753" t="s">
        <v>109</v>
      </c>
      <c r="C249" s="409"/>
      <c r="D249" s="1217" t="s">
        <v>463</v>
      </c>
      <c r="E249" s="1217" t="s">
        <v>488</v>
      </c>
      <c r="F249" s="1217" t="s">
        <v>925</v>
      </c>
      <c r="G249" s="1662"/>
      <c r="H249" s="1682"/>
      <c r="I249" s="529"/>
      <c r="J249" s="404"/>
      <c r="K249" s="1858"/>
      <c r="L249" s="1858"/>
      <c r="M249" s="1858"/>
      <c r="N249" s="1200"/>
      <c r="O249" s="1858"/>
      <c r="P249" s="1858"/>
      <c r="Q249" s="1858"/>
      <c r="R249" s="1858"/>
      <c r="S249" s="1858"/>
      <c r="T249" s="1858"/>
      <c r="U249" s="1682"/>
    </row>
    <row r="250" spans="1:21" ht="21" x14ac:dyDescent="0.25">
      <c r="A250" s="1234"/>
      <c r="B250" s="753" t="s">
        <v>499</v>
      </c>
      <c r="C250" s="409"/>
      <c r="D250" s="1217" t="s">
        <v>463</v>
      </c>
      <c r="E250" s="1217" t="s">
        <v>488</v>
      </c>
      <c r="F250" s="409" t="s">
        <v>89</v>
      </c>
      <c r="G250" s="1662"/>
      <c r="H250" s="1682">
        <f>H251</f>
        <v>180.93600000000001</v>
      </c>
      <c r="I250" s="529"/>
      <c r="J250" s="404"/>
      <c r="K250" s="1858"/>
      <c r="L250" s="1858"/>
      <c r="M250" s="1858"/>
      <c r="N250" s="1200"/>
      <c r="O250" s="1858"/>
      <c r="P250" s="1858"/>
      <c r="Q250" s="1858"/>
      <c r="R250" s="1858"/>
      <c r="S250" s="1858"/>
      <c r="T250" s="1858"/>
      <c r="U250" s="1682"/>
    </row>
    <row r="251" spans="1:21" x14ac:dyDescent="0.25">
      <c r="A251" s="1234"/>
      <c r="B251" s="753" t="s">
        <v>109</v>
      </c>
      <c r="C251" s="409"/>
      <c r="D251" s="1217" t="s">
        <v>463</v>
      </c>
      <c r="E251" s="1217" t="s">
        <v>488</v>
      </c>
      <c r="F251" s="409" t="s">
        <v>84</v>
      </c>
      <c r="G251" s="1662"/>
      <c r="H251" s="1682">
        <f>H252</f>
        <v>180.93600000000001</v>
      </c>
      <c r="I251" s="529"/>
      <c r="J251" s="404"/>
      <c r="K251" s="1858"/>
      <c r="L251" s="1858"/>
      <c r="M251" s="1858"/>
      <c r="N251" s="1200"/>
      <c r="O251" s="1858"/>
      <c r="P251" s="1858"/>
      <c r="Q251" s="1858"/>
      <c r="R251" s="1858"/>
      <c r="S251" s="1858"/>
      <c r="T251" s="1858"/>
      <c r="U251" s="1682"/>
    </row>
    <row r="252" spans="1:21" x14ac:dyDescent="0.25">
      <c r="A252" s="1234"/>
      <c r="B252" s="753" t="s">
        <v>109</v>
      </c>
      <c r="C252" s="409"/>
      <c r="D252" s="1217" t="s">
        <v>463</v>
      </c>
      <c r="E252" s="1217" t="s">
        <v>488</v>
      </c>
      <c r="F252" s="1217" t="s">
        <v>82</v>
      </c>
      <c r="G252" s="1662"/>
      <c r="H252" s="1682">
        <f>H253</f>
        <v>180.93600000000001</v>
      </c>
      <c r="I252" s="529"/>
      <c r="J252" s="404"/>
      <c r="K252" s="1858"/>
      <c r="L252" s="1858"/>
      <c r="M252" s="1858"/>
      <c r="N252" s="1200"/>
      <c r="O252" s="1858"/>
      <c r="P252" s="1858"/>
      <c r="Q252" s="1858"/>
      <c r="R252" s="1858"/>
      <c r="S252" s="1858"/>
      <c r="T252" s="1858"/>
      <c r="U252" s="1682"/>
    </row>
    <row r="253" spans="1:21" ht="21" x14ac:dyDescent="0.25">
      <c r="A253" s="1234"/>
      <c r="B253" s="1242" t="s">
        <v>930</v>
      </c>
      <c r="C253" s="409"/>
      <c r="D253" s="1217" t="s">
        <v>463</v>
      </c>
      <c r="E253" s="1217" t="s">
        <v>488</v>
      </c>
      <c r="F253" s="1217" t="s">
        <v>925</v>
      </c>
      <c r="G253" s="1662"/>
      <c r="H253" s="1682">
        <f>H254</f>
        <v>180.93600000000001</v>
      </c>
      <c r="I253" s="529"/>
      <c r="J253" s="404"/>
      <c r="K253" s="1858"/>
      <c r="L253" s="1858"/>
      <c r="M253" s="1858"/>
      <c r="N253" s="1200">
        <f>N254</f>
        <v>0</v>
      </c>
      <c r="O253" s="1858"/>
      <c r="P253" s="1858"/>
      <c r="Q253" s="1858"/>
      <c r="R253" s="1858"/>
      <c r="S253" s="1858"/>
      <c r="T253" s="1858"/>
      <c r="U253" s="1682">
        <f>U254</f>
        <v>0</v>
      </c>
    </row>
    <row r="254" spans="1:21" ht="21" x14ac:dyDescent="0.25">
      <c r="A254" s="1234"/>
      <c r="B254" s="1182" t="s">
        <v>523</v>
      </c>
      <c r="C254" s="409"/>
      <c r="D254" s="1217" t="s">
        <v>463</v>
      </c>
      <c r="E254" s="1217" t="s">
        <v>488</v>
      </c>
      <c r="F254" s="1217" t="s">
        <v>925</v>
      </c>
      <c r="G254" s="1662" t="s">
        <v>521</v>
      </c>
      <c r="H254" s="1682">
        <v>180.93600000000001</v>
      </c>
      <c r="I254" s="529"/>
      <c r="J254" s="404"/>
      <c r="K254" s="1858"/>
      <c r="L254" s="1858"/>
      <c r="M254" s="1858"/>
      <c r="N254" s="1200"/>
      <c r="O254" s="1858"/>
      <c r="P254" s="1858"/>
      <c r="Q254" s="1858"/>
      <c r="R254" s="1858"/>
      <c r="S254" s="1858"/>
      <c r="T254" s="1858"/>
      <c r="U254" s="1682"/>
    </row>
    <row r="255" spans="1:21" x14ac:dyDescent="0.25">
      <c r="A255" s="1229"/>
      <c r="B255" s="1225" t="s">
        <v>34</v>
      </c>
      <c r="C255" s="1227"/>
      <c r="D255" s="1227" t="s">
        <v>463</v>
      </c>
      <c r="E255" s="1227" t="s">
        <v>495</v>
      </c>
      <c r="F255" s="1227"/>
      <c r="G255" s="1665"/>
      <c r="H255" s="1684">
        <f>H259+H261+H288+H293+H303+H280+H294+H298</f>
        <v>52386.276600000005</v>
      </c>
      <c r="I255" s="853">
        <f>I256+I262</f>
        <v>36018.875</v>
      </c>
      <c r="J255" s="400">
        <f>J256+J262</f>
        <v>34504.17</v>
      </c>
      <c r="K255" s="1858"/>
      <c r="L255" s="1858"/>
      <c r="M255" s="1858"/>
      <c r="N255" s="1228">
        <f>N259+N261+N288+N293</f>
        <v>34323.64</v>
      </c>
      <c r="O255" s="1858"/>
      <c r="P255" s="1858"/>
      <c r="Q255" s="1858"/>
      <c r="R255" s="1858"/>
      <c r="S255" s="1858"/>
      <c r="T255" s="1858"/>
      <c r="U255" s="1684">
        <f>U259+U261+U288+U293</f>
        <v>36088.380000000005</v>
      </c>
    </row>
    <row r="256" spans="1:21" ht="24" customHeight="1" x14ac:dyDescent="0.25">
      <c r="A256" s="1179"/>
      <c r="B256" s="1243" t="s">
        <v>931</v>
      </c>
      <c r="C256" s="409"/>
      <c r="D256" s="409" t="s">
        <v>463</v>
      </c>
      <c r="E256" s="409" t="s">
        <v>495</v>
      </c>
      <c r="F256" s="409" t="s">
        <v>189</v>
      </c>
      <c r="G256" s="1662"/>
      <c r="H256" s="1682">
        <f>H257</f>
        <v>35697.735000000001</v>
      </c>
      <c r="I256" s="529">
        <f>I257</f>
        <v>32518.875</v>
      </c>
      <c r="J256" s="270">
        <f>J257</f>
        <v>31004.17</v>
      </c>
      <c r="K256" s="1862">
        <f>K259+K261+K288+K293+K310</f>
        <v>32228.5</v>
      </c>
      <c r="L256" s="1858"/>
      <c r="M256" s="1858"/>
      <c r="N256" s="1200">
        <f>N257</f>
        <v>33058.639999999999</v>
      </c>
      <c r="O256" s="1858"/>
      <c r="P256" s="1858"/>
      <c r="Q256" s="1858"/>
      <c r="R256" s="1858"/>
      <c r="S256" s="1858"/>
      <c r="T256" s="1858"/>
      <c r="U256" s="1682">
        <f>U257</f>
        <v>34696.880000000005</v>
      </c>
    </row>
    <row r="257" spans="1:21" ht="31.5" x14ac:dyDescent="0.25">
      <c r="A257" s="842"/>
      <c r="B257" s="1197" t="s">
        <v>188</v>
      </c>
      <c r="C257" s="408"/>
      <c r="D257" s="409" t="s">
        <v>463</v>
      </c>
      <c r="E257" s="409" t="s">
        <v>495</v>
      </c>
      <c r="F257" s="409" t="s">
        <v>187</v>
      </c>
      <c r="G257" s="1661"/>
      <c r="H257" s="1682">
        <f>H258+H260</f>
        <v>35697.735000000001</v>
      </c>
      <c r="I257" s="529">
        <f>I258+I260</f>
        <v>32518.875</v>
      </c>
      <c r="J257" s="270">
        <f>J258+J260</f>
        <v>31004.17</v>
      </c>
      <c r="K257" s="1858"/>
      <c r="L257" s="1858"/>
      <c r="M257" s="1858"/>
      <c r="N257" s="1200">
        <f>N258+N260</f>
        <v>33058.639999999999</v>
      </c>
      <c r="O257" s="1858"/>
      <c r="P257" s="1858"/>
      <c r="Q257" s="1858"/>
      <c r="R257" s="1858"/>
      <c r="S257" s="1858"/>
      <c r="T257" s="1858"/>
      <c r="U257" s="1682">
        <f>U258+U260</f>
        <v>34696.880000000005</v>
      </c>
    </row>
    <row r="258" spans="1:21" ht="28.5" customHeight="1" x14ac:dyDescent="0.25">
      <c r="A258" s="1179"/>
      <c r="B258" s="1205" t="s">
        <v>186</v>
      </c>
      <c r="C258" s="1217"/>
      <c r="D258" s="1217" t="s">
        <v>463</v>
      </c>
      <c r="E258" s="1217" t="s">
        <v>495</v>
      </c>
      <c r="F258" s="1217" t="s">
        <v>185</v>
      </c>
      <c r="G258" s="1664"/>
      <c r="H258" s="1682">
        <f>H259</f>
        <v>3944.683</v>
      </c>
      <c r="I258" s="529">
        <f>I259</f>
        <v>10043.379999999999</v>
      </c>
      <c r="J258" s="270">
        <f>J259</f>
        <v>6288.7259999999997</v>
      </c>
      <c r="K258" s="1858"/>
      <c r="L258" s="1858"/>
      <c r="M258" s="1858"/>
      <c r="N258" s="1200">
        <f>N259</f>
        <v>2500</v>
      </c>
      <c r="O258" s="1858"/>
      <c r="P258" s="1858"/>
      <c r="Q258" s="1858"/>
      <c r="R258" s="1858"/>
      <c r="S258" s="1858"/>
      <c r="T258" s="1858"/>
      <c r="U258" s="1682">
        <f>U259</f>
        <v>2800</v>
      </c>
    </row>
    <row r="259" spans="1:21" ht="21" x14ac:dyDescent="0.25">
      <c r="A259" s="1179"/>
      <c r="B259" s="1182" t="s">
        <v>454</v>
      </c>
      <c r="C259" s="409"/>
      <c r="D259" s="1217" t="s">
        <v>463</v>
      </c>
      <c r="E259" s="1217" t="s">
        <v>495</v>
      </c>
      <c r="F259" s="1217" t="s">
        <v>185</v>
      </c>
      <c r="G259" s="1662" t="s">
        <v>1</v>
      </c>
      <c r="H259" s="1682">
        <f>2300+750+600+14.767+252.659+5+22.257</f>
        <v>3944.683</v>
      </c>
      <c r="I259" s="529">
        <v>10043.379999999999</v>
      </c>
      <c r="J259" s="269">
        <v>6288.7259999999997</v>
      </c>
      <c r="K259" s="1858">
        <v>2300</v>
      </c>
      <c r="L259" s="1858"/>
      <c r="M259" s="1858"/>
      <c r="N259" s="1200">
        <v>2500</v>
      </c>
      <c r="O259" s="1858"/>
      <c r="P259" s="1858"/>
      <c r="Q259" s="1858"/>
      <c r="R259" s="1858"/>
      <c r="S259" s="1858"/>
      <c r="T259" s="1858"/>
      <c r="U259" s="1682">
        <v>2800</v>
      </c>
    </row>
    <row r="260" spans="1:21" ht="25.5" customHeight="1" x14ac:dyDescent="0.25">
      <c r="A260" s="1179"/>
      <c r="B260" s="1205" t="s">
        <v>184</v>
      </c>
      <c r="C260" s="409"/>
      <c r="D260" s="1217" t="s">
        <v>463</v>
      </c>
      <c r="E260" s="1217" t="s">
        <v>495</v>
      </c>
      <c r="F260" s="1217" t="s">
        <v>183</v>
      </c>
      <c r="G260" s="1662"/>
      <c r="H260" s="1682">
        <f>H261+H279</f>
        <v>31753.052</v>
      </c>
      <c r="I260" s="529">
        <f>I261</f>
        <v>22475.494999999999</v>
      </c>
      <c r="J260" s="269">
        <f>J261</f>
        <v>24715.444</v>
      </c>
      <c r="K260" s="1858"/>
      <c r="L260" s="1858"/>
      <c r="M260" s="1858"/>
      <c r="N260" s="1200">
        <f>N261+N279</f>
        <v>30558.639999999999</v>
      </c>
      <c r="O260" s="1858"/>
      <c r="P260" s="1858"/>
      <c r="Q260" s="1858"/>
      <c r="R260" s="1858"/>
      <c r="S260" s="1858"/>
      <c r="T260" s="1858"/>
      <c r="U260" s="1682">
        <f>U261+U279</f>
        <v>31896.880000000001</v>
      </c>
    </row>
    <row r="261" spans="1:21" ht="21.75" customHeight="1" x14ac:dyDescent="0.25">
      <c r="A261" s="1179"/>
      <c r="B261" s="1182" t="s">
        <v>454</v>
      </c>
      <c r="C261" s="409"/>
      <c r="D261" s="1217" t="s">
        <v>463</v>
      </c>
      <c r="E261" s="1217" t="s">
        <v>495</v>
      </c>
      <c r="F261" s="1217" t="s">
        <v>183</v>
      </c>
      <c r="G261" s="1662" t="s">
        <v>1</v>
      </c>
      <c r="H261" s="1682">
        <f>29128.5+999.1+74.074+506.674+1044.704</f>
        <v>31753.052</v>
      </c>
      <c r="I261" s="529">
        <v>22475.494999999999</v>
      </c>
      <c r="J261" s="269">
        <v>24715.444</v>
      </c>
      <c r="K261" s="1859">
        <f>21590+6438.5+800+300</f>
        <v>29128.5</v>
      </c>
      <c r="L261" s="1858"/>
      <c r="M261" s="1858"/>
      <c r="N261" s="1200">
        <v>30558.639999999999</v>
      </c>
      <c r="O261" s="1858"/>
      <c r="P261" s="1858"/>
      <c r="Q261" s="1858"/>
      <c r="R261" s="1858"/>
      <c r="S261" s="1858"/>
      <c r="T261" s="1858"/>
      <c r="U261" s="1682">
        <v>31896.880000000001</v>
      </c>
    </row>
    <row r="262" spans="1:21" ht="31.5" hidden="1" x14ac:dyDescent="0.25">
      <c r="A262" s="842"/>
      <c r="B262" s="1244" t="s">
        <v>176</v>
      </c>
      <c r="C262" s="408"/>
      <c r="D262" s="408" t="s">
        <v>463</v>
      </c>
      <c r="E262" s="408" t="s">
        <v>495</v>
      </c>
      <c r="F262" s="408" t="s">
        <v>175</v>
      </c>
      <c r="G262" s="1661"/>
      <c r="H262" s="1683">
        <f>H263+H267</f>
        <v>0</v>
      </c>
      <c r="I262" s="841">
        <f>I263+I267</f>
        <v>3500</v>
      </c>
      <c r="J262" s="276">
        <f>J263+J267</f>
        <v>3500</v>
      </c>
      <c r="K262" s="1858"/>
      <c r="L262" s="1858"/>
      <c r="M262" s="1858"/>
      <c r="N262" s="1208">
        <f>N263+N267</f>
        <v>0</v>
      </c>
      <c r="O262" s="1858"/>
      <c r="P262" s="1858"/>
      <c r="Q262" s="1858"/>
      <c r="R262" s="1858"/>
      <c r="S262" s="1858"/>
      <c r="T262" s="1858"/>
      <c r="U262" s="1683">
        <f>U263+U267</f>
        <v>0</v>
      </c>
    </row>
    <row r="263" spans="1:21" ht="31.5" hidden="1" x14ac:dyDescent="0.25">
      <c r="A263" s="1245"/>
      <c r="B263" s="1197" t="s">
        <v>174</v>
      </c>
      <c r="C263" s="1217"/>
      <c r="D263" s="1217" t="s">
        <v>463</v>
      </c>
      <c r="E263" s="1217" t="s">
        <v>495</v>
      </c>
      <c r="F263" s="1217" t="s">
        <v>173</v>
      </c>
      <c r="G263" s="1664"/>
      <c r="H263" s="1682">
        <f>H265</f>
        <v>0</v>
      </c>
      <c r="I263" s="529">
        <f t="shared" ref="H263:J265" si="36">I264</f>
        <v>3500</v>
      </c>
      <c r="J263" s="269">
        <f t="shared" si="36"/>
        <v>3500</v>
      </c>
      <c r="K263" s="1858"/>
      <c r="L263" s="1858"/>
      <c r="M263" s="1858"/>
      <c r="N263" s="1200">
        <f>N265</f>
        <v>0</v>
      </c>
      <c r="O263" s="1858"/>
      <c r="P263" s="1858"/>
      <c r="Q263" s="1858"/>
      <c r="R263" s="1858"/>
      <c r="S263" s="1858"/>
      <c r="T263" s="1858"/>
      <c r="U263" s="1682">
        <f>U265</f>
        <v>0</v>
      </c>
    </row>
    <row r="264" spans="1:21" hidden="1" x14ac:dyDescent="0.25">
      <c r="A264" s="842"/>
      <c r="B264" s="1219" t="s">
        <v>520</v>
      </c>
      <c r="C264" s="408"/>
      <c r="D264" s="409" t="s">
        <v>463</v>
      </c>
      <c r="E264" s="409" t="s">
        <v>495</v>
      </c>
      <c r="F264" s="1217" t="s">
        <v>173</v>
      </c>
      <c r="G264" s="1661"/>
      <c r="H264" s="1682">
        <f t="shared" si="36"/>
        <v>0</v>
      </c>
      <c r="I264" s="529">
        <f t="shared" si="36"/>
        <v>3500</v>
      </c>
      <c r="J264" s="269">
        <f t="shared" si="36"/>
        <v>3500</v>
      </c>
      <c r="K264" s="1858"/>
      <c r="L264" s="1858"/>
      <c r="M264" s="1858"/>
      <c r="N264" s="1200">
        <f t="shared" ref="N264:N265" si="37">N265</f>
        <v>0</v>
      </c>
      <c r="O264" s="1858"/>
      <c r="P264" s="1858"/>
      <c r="Q264" s="1858"/>
      <c r="R264" s="1858"/>
      <c r="S264" s="1858"/>
      <c r="T264" s="1858"/>
      <c r="U264" s="1682">
        <f t="shared" ref="U264:U265" si="38">U265</f>
        <v>0</v>
      </c>
    </row>
    <row r="265" spans="1:21" hidden="1" x14ac:dyDescent="0.25">
      <c r="A265" s="1245"/>
      <c r="B265" s="1246" t="s">
        <v>172</v>
      </c>
      <c r="C265" s="1217"/>
      <c r="D265" s="1217" t="s">
        <v>463</v>
      </c>
      <c r="E265" s="1217" t="s">
        <v>495</v>
      </c>
      <c r="F265" s="1217" t="s">
        <v>159</v>
      </c>
      <c r="G265" s="1664"/>
      <c r="H265" s="1682">
        <f t="shared" si="36"/>
        <v>0</v>
      </c>
      <c r="I265" s="529">
        <f t="shared" si="36"/>
        <v>3500</v>
      </c>
      <c r="J265" s="269">
        <f t="shared" si="36"/>
        <v>3500</v>
      </c>
      <c r="K265" s="1858"/>
      <c r="L265" s="1858"/>
      <c r="M265" s="1858"/>
      <c r="N265" s="1200">
        <f t="shared" si="37"/>
        <v>0</v>
      </c>
      <c r="O265" s="1858"/>
      <c r="P265" s="1858"/>
      <c r="Q265" s="1858"/>
      <c r="R265" s="1858"/>
      <c r="S265" s="1858"/>
      <c r="T265" s="1858"/>
      <c r="U265" s="1682">
        <f t="shared" si="38"/>
        <v>0</v>
      </c>
    </row>
    <row r="266" spans="1:21" ht="21" hidden="1" x14ac:dyDescent="0.25">
      <c r="A266" s="1229"/>
      <c r="B266" s="1182" t="s">
        <v>454</v>
      </c>
      <c r="C266" s="409"/>
      <c r="D266" s="1217" t="s">
        <v>463</v>
      </c>
      <c r="E266" s="1217" t="s">
        <v>495</v>
      </c>
      <c r="F266" s="1217" t="s">
        <v>159</v>
      </c>
      <c r="G266" s="1662" t="s">
        <v>1</v>
      </c>
      <c r="H266" s="1682">
        <v>0</v>
      </c>
      <c r="I266" s="529">
        <v>3500</v>
      </c>
      <c r="J266" s="269">
        <v>3500</v>
      </c>
      <c r="K266" s="1858"/>
      <c r="L266" s="1858"/>
      <c r="M266" s="1858"/>
      <c r="N266" s="1200">
        <v>0</v>
      </c>
      <c r="O266" s="1858"/>
      <c r="P266" s="1858"/>
      <c r="Q266" s="1858"/>
      <c r="R266" s="1858"/>
      <c r="S266" s="1858"/>
      <c r="T266" s="1858"/>
      <c r="U266" s="1682">
        <v>0</v>
      </c>
    </row>
    <row r="267" spans="1:21" ht="21" hidden="1" x14ac:dyDescent="0.25">
      <c r="A267" s="1240"/>
      <c r="B267" s="1219" t="s">
        <v>519</v>
      </c>
      <c r="C267" s="1217"/>
      <c r="D267" s="1217" t="s">
        <v>463</v>
      </c>
      <c r="E267" s="1217" t="s">
        <v>495</v>
      </c>
      <c r="F267" s="1217" t="s">
        <v>518</v>
      </c>
      <c r="G267" s="1664"/>
      <c r="H267" s="1682">
        <f>H268+H273</f>
        <v>0</v>
      </c>
      <c r="I267" s="529">
        <f>I268+I273</f>
        <v>0</v>
      </c>
      <c r="J267" s="269">
        <f>J268+J273</f>
        <v>0</v>
      </c>
      <c r="K267" s="1858"/>
      <c r="L267" s="1858"/>
      <c r="M267" s="1858"/>
      <c r="N267" s="1200">
        <f>N268+N273</f>
        <v>0</v>
      </c>
      <c r="O267" s="1858"/>
      <c r="P267" s="1858"/>
      <c r="Q267" s="1858"/>
      <c r="R267" s="1858"/>
      <c r="S267" s="1858"/>
      <c r="T267" s="1858"/>
      <c r="U267" s="1682">
        <f>U268+U273</f>
        <v>0</v>
      </c>
    </row>
    <row r="268" spans="1:21" ht="31.5" hidden="1" x14ac:dyDescent="0.25">
      <c r="A268" s="1240"/>
      <c r="B268" s="1219" t="s">
        <v>517</v>
      </c>
      <c r="C268" s="1217"/>
      <c r="D268" s="1217" t="s">
        <v>463</v>
      </c>
      <c r="E268" s="1217" t="s">
        <v>495</v>
      </c>
      <c r="F268" s="1217" t="s">
        <v>516</v>
      </c>
      <c r="G268" s="1664"/>
      <c r="H268" s="1682">
        <f>H269+H271</f>
        <v>0</v>
      </c>
      <c r="I268" s="529">
        <f>I269+I271</f>
        <v>0</v>
      </c>
      <c r="J268" s="269">
        <f>J269+J271</f>
        <v>0</v>
      </c>
      <c r="K268" s="1858"/>
      <c r="L268" s="1858"/>
      <c r="M268" s="1858"/>
      <c r="N268" s="1200">
        <f>N269+N271</f>
        <v>0</v>
      </c>
      <c r="O268" s="1858"/>
      <c r="P268" s="1858"/>
      <c r="Q268" s="1858"/>
      <c r="R268" s="1858"/>
      <c r="S268" s="1858"/>
      <c r="T268" s="1858"/>
      <c r="U268" s="1682">
        <f>U269+U271</f>
        <v>0</v>
      </c>
    </row>
    <row r="269" spans="1:21" hidden="1" x14ac:dyDescent="0.25">
      <c r="A269" s="1229"/>
      <c r="B269" s="753" t="s">
        <v>515</v>
      </c>
      <c r="C269" s="1217"/>
      <c r="D269" s="1217" t="s">
        <v>463</v>
      </c>
      <c r="E269" s="1217" t="s">
        <v>495</v>
      </c>
      <c r="F269" s="1217" t="s">
        <v>514</v>
      </c>
      <c r="G269" s="1664"/>
      <c r="H269" s="1682">
        <f>H270</f>
        <v>0</v>
      </c>
      <c r="I269" s="529">
        <f>I270</f>
        <v>0</v>
      </c>
      <c r="J269" s="269">
        <f>J270</f>
        <v>0</v>
      </c>
      <c r="K269" s="1858"/>
      <c r="L269" s="1858"/>
      <c r="M269" s="1858"/>
      <c r="N269" s="1200">
        <f>N270</f>
        <v>0</v>
      </c>
      <c r="O269" s="1858"/>
      <c r="P269" s="1858"/>
      <c r="Q269" s="1858"/>
      <c r="R269" s="1858"/>
      <c r="S269" s="1858"/>
      <c r="T269" s="1858"/>
      <c r="U269" s="1682">
        <f>U270</f>
        <v>0</v>
      </c>
    </row>
    <row r="270" spans="1:21" ht="21" hidden="1" x14ac:dyDescent="0.25">
      <c r="A270" s="1229"/>
      <c r="B270" s="1182" t="s">
        <v>454</v>
      </c>
      <c r="C270" s="409"/>
      <c r="D270" s="1217" t="s">
        <v>463</v>
      </c>
      <c r="E270" s="1217" t="s">
        <v>495</v>
      </c>
      <c r="F270" s="1217" t="s">
        <v>514</v>
      </c>
      <c r="G270" s="1662" t="s">
        <v>1</v>
      </c>
      <c r="H270" s="1682"/>
      <c r="I270" s="529"/>
      <c r="J270" s="269"/>
      <c r="K270" s="1858"/>
      <c r="L270" s="1858"/>
      <c r="M270" s="1858"/>
      <c r="N270" s="1200"/>
      <c r="O270" s="1858"/>
      <c r="P270" s="1858"/>
      <c r="Q270" s="1858"/>
      <c r="R270" s="1858"/>
      <c r="S270" s="1858"/>
      <c r="T270" s="1858"/>
      <c r="U270" s="1682"/>
    </row>
    <row r="271" spans="1:21" hidden="1" x14ac:dyDescent="0.25">
      <c r="A271" s="1229"/>
      <c r="B271" s="753" t="s">
        <v>513</v>
      </c>
      <c r="C271" s="1217"/>
      <c r="D271" s="1217" t="s">
        <v>463</v>
      </c>
      <c r="E271" s="1217" t="s">
        <v>495</v>
      </c>
      <c r="F271" s="1217" t="s">
        <v>512</v>
      </c>
      <c r="G271" s="1664"/>
      <c r="H271" s="1682">
        <f>H272</f>
        <v>0</v>
      </c>
      <c r="I271" s="529">
        <f>I272</f>
        <v>0</v>
      </c>
      <c r="J271" s="269">
        <f>J272</f>
        <v>0</v>
      </c>
      <c r="K271" s="1858"/>
      <c r="L271" s="1858"/>
      <c r="M271" s="1858"/>
      <c r="N271" s="1200">
        <f>N272</f>
        <v>0</v>
      </c>
      <c r="O271" s="1858"/>
      <c r="P271" s="1858"/>
      <c r="Q271" s="1858"/>
      <c r="R271" s="1858"/>
      <c r="S271" s="1858"/>
      <c r="T271" s="1858"/>
      <c r="U271" s="1682">
        <f>U272</f>
        <v>0</v>
      </c>
    </row>
    <row r="272" spans="1:21" ht="21" hidden="1" x14ac:dyDescent="0.25">
      <c r="A272" s="1229"/>
      <c r="B272" s="1182" t="s">
        <v>454</v>
      </c>
      <c r="C272" s="409"/>
      <c r="D272" s="1217" t="s">
        <v>463</v>
      </c>
      <c r="E272" s="1217" t="s">
        <v>495</v>
      </c>
      <c r="F272" s="1217" t="s">
        <v>512</v>
      </c>
      <c r="G272" s="1662" t="s">
        <v>1</v>
      </c>
      <c r="H272" s="1682"/>
      <c r="I272" s="529"/>
      <c r="J272" s="269"/>
      <c r="K272" s="1858"/>
      <c r="L272" s="1858"/>
      <c r="M272" s="1858"/>
      <c r="N272" s="1200"/>
      <c r="O272" s="1858"/>
      <c r="P272" s="1858"/>
      <c r="Q272" s="1858"/>
      <c r="R272" s="1858"/>
      <c r="S272" s="1858"/>
      <c r="T272" s="1858"/>
      <c r="U272" s="1682"/>
    </row>
    <row r="273" spans="1:21" ht="21" hidden="1" x14ac:dyDescent="0.25">
      <c r="A273" s="1179"/>
      <c r="B273" s="1247" t="s">
        <v>511</v>
      </c>
      <c r="C273" s="1227"/>
      <c r="D273" s="1248" t="s">
        <v>463</v>
      </c>
      <c r="E273" s="1248" t="s">
        <v>495</v>
      </c>
      <c r="F273" s="1248" t="s">
        <v>510</v>
      </c>
      <c r="G273" s="1666"/>
      <c r="H273" s="1686">
        <f>H274+H278</f>
        <v>0</v>
      </c>
      <c r="I273" s="854">
        <f>I274+I278</f>
        <v>0</v>
      </c>
      <c r="J273" s="406">
        <f>J274+J278</f>
        <v>0</v>
      </c>
      <c r="K273" s="1858"/>
      <c r="L273" s="1858"/>
      <c r="M273" s="1858"/>
      <c r="N273" s="1249">
        <f>N274+N278</f>
        <v>0</v>
      </c>
      <c r="O273" s="1858"/>
      <c r="P273" s="1858"/>
      <c r="Q273" s="1858"/>
      <c r="R273" s="1858"/>
      <c r="S273" s="1858"/>
      <c r="T273" s="1858"/>
      <c r="U273" s="1686">
        <f>U274+U278</f>
        <v>0</v>
      </c>
    </row>
    <row r="274" spans="1:21" hidden="1" x14ac:dyDescent="0.25">
      <c r="A274" s="842"/>
      <c r="B274" s="1224" t="s">
        <v>351</v>
      </c>
      <c r="C274" s="1217"/>
      <c r="D274" s="1217" t="s">
        <v>463</v>
      </c>
      <c r="E274" s="1217" t="s">
        <v>495</v>
      </c>
      <c r="F274" s="1217" t="s">
        <v>508</v>
      </c>
      <c r="G274" s="1664"/>
      <c r="H274" s="1682">
        <f>H275+H276+H277</f>
        <v>0</v>
      </c>
      <c r="I274" s="529">
        <f>I275+I276+I277</f>
        <v>0</v>
      </c>
      <c r="J274" s="269">
        <f>J275+J276+J277</f>
        <v>0</v>
      </c>
      <c r="K274" s="1858"/>
      <c r="L274" s="1858"/>
      <c r="M274" s="1858"/>
      <c r="N274" s="1200">
        <f>N275+N276+N277</f>
        <v>0</v>
      </c>
      <c r="O274" s="1858"/>
      <c r="P274" s="1858"/>
      <c r="Q274" s="1858"/>
      <c r="R274" s="1858"/>
      <c r="S274" s="1858"/>
      <c r="T274" s="1858"/>
      <c r="U274" s="1682">
        <f>U275+U276+U277</f>
        <v>0</v>
      </c>
    </row>
    <row r="275" spans="1:21" hidden="1" x14ac:dyDescent="0.25">
      <c r="A275" s="1179"/>
      <c r="B275" s="1182" t="s">
        <v>458</v>
      </c>
      <c r="C275" s="409"/>
      <c r="D275" s="1217" t="s">
        <v>463</v>
      </c>
      <c r="E275" s="1217" t="s">
        <v>495</v>
      </c>
      <c r="F275" s="1217" t="s">
        <v>508</v>
      </c>
      <c r="G275" s="1662" t="s">
        <v>255</v>
      </c>
      <c r="H275" s="1682"/>
      <c r="I275" s="529"/>
      <c r="J275" s="269"/>
      <c r="K275" s="1858"/>
      <c r="L275" s="1858"/>
      <c r="M275" s="1858"/>
      <c r="N275" s="1200"/>
      <c r="O275" s="1858"/>
      <c r="P275" s="1858"/>
      <c r="Q275" s="1858"/>
      <c r="R275" s="1858"/>
      <c r="S275" s="1858"/>
      <c r="T275" s="1858"/>
      <c r="U275" s="1682"/>
    </row>
    <row r="276" spans="1:21" ht="21" hidden="1" x14ac:dyDescent="0.25">
      <c r="A276" s="1179"/>
      <c r="B276" s="1182" t="s">
        <v>454</v>
      </c>
      <c r="C276" s="409"/>
      <c r="D276" s="1217" t="s">
        <v>463</v>
      </c>
      <c r="E276" s="1217" t="s">
        <v>495</v>
      </c>
      <c r="F276" s="1217" t="s">
        <v>508</v>
      </c>
      <c r="G276" s="1662" t="s">
        <v>1</v>
      </c>
      <c r="H276" s="1682"/>
      <c r="I276" s="529"/>
      <c r="J276" s="269"/>
      <c r="K276" s="1858"/>
      <c r="L276" s="1858"/>
      <c r="M276" s="1858"/>
      <c r="N276" s="1200"/>
      <c r="O276" s="1858"/>
      <c r="P276" s="1858"/>
      <c r="Q276" s="1858"/>
      <c r="R276" s="1858"/>
      <c r="S276" s="1858"/>
      <c r="T276" s="1858"/>
      <c r="U276" s="1682"/>
    </row>
    <row r="277" spans="1:21" hidden="1" x14ac:dyDescent="0.25">
      <c r="A277" s="1179"/>
      <c r="B277" s="1182" t="s">
        <v>457</v>
      </c>
      <c r="C277" s="409"/>
      <c r="D277" s="1217" t="s">
        <v>463</v>
      </c>
      <c r="E277" s="1217" t="s">
        <v>495</v>
      </c>
      <c r="F277" s="1217" t="s">
        <v>508</v>
      </c>
      <c r="G277" s="1662" t="s">
        <v>91</v>
      </c>
      <c r="H277" s="1682"/>
      <c r="I277" s="529"/>
      <c r="J277" s="269"/>
      <c r="K277" s="1858"/>
      <c r="L277" s="1858"/>
      <c r="M277" s="1858"/>
      <c r="N277" s="1200"/>
      <c r="O277" s="1858"/>
      <c r="P277" s="1858"/>
      <c r="Q277" s="1858"/>
      <c r="R277" s="1858"/>
      <c r="S277" s="1858"/>
      <c r="T277" s="1858"/>
      <c r="U277" s="1682"/>
    </row>
    <row r="278" spans="1:21" ht="15" hidden="1" customHeight="1" x14ac:dyDescent="0.25">
      <c r="A278" s="842"/>
      <c r="B278" s="1180"/>
      <c r="C278" s="1217"/>
      <c r="D278" s="1217" t="s">
        <v>463</v>
      </c>
      <c r="E278" s="1217" t="s">
        <v>495</v>
      </c>
      <c r="F278" s="1217" t="s">
        <v>183</v>
      </c>
      <c r="G278" s="1664"/>
      <c r="H278" s="1682">
        <f>H279</f>
        <v>0</v>
      </c>
      <c r="I278" s="529">
        <f>I279</f>
        <v>0</v>
      </c>
      <c r="J278" s="269">
        <f>J279</f>
        <v>0</v>
      </c>
      <c r="K278" s="1858"/>
      <c r="L278" s="1858"/>
      <c r="M278" s="1858"/>
      <c r="N278" s="1200">
        <f>N279</f>
        <v>0</v>
      </c>
      <c r="O278" s="1858"/>
      <c r="P278" s="1858"/>
      <c r="Q278" s="1858"/>
      <c r="R278" s="1858"/>
      <c r="S278" s="1858"/>
      <c r="T278" s="1858"/>
      <c r="U278" s="1682">
        <f>U279</f>
        <v>0</v>
      </c>
    </row>
    <row r="279" spans="1:21" ht="30.75" hidden="1" customHeight="1" thickBot="1" x14ac:dyDescent="0.3">
      <c r="A279" s="1179"/>
      <c r="B279" s="1191" t="s">
        <v>916</v>
      </c>
      <c r="C279" s="1193"/>
      <c r="D279" s="1531" t="s">
        <v>463</v>
      </c>
      <c r="E279" s="1531" t="s">
        <v>495</v>
      </c>
      <c r="F279" s="1531" t="s">
        <v>183</v>
      </c>
      <c r="G279" s="1663" t="s">
        <v>521</v>
      </c>
      <c r="H279" s="1682">
        <f>722.93+5324.558+935-6982.488</f>
        <v>0</v>
      </c>
      <c r="I279" s="529"/>
      <c r="J279" s="269"/>
      <c r="K279" s="1858"/>
      <c r="L279" s="1858"/>
      <c r="M279" s="1858"/>
      <c r="N279" s="1200">
        <f>722.93+5324.558+935-6982.488</f>
        <v>0</v>
      </c>
      <c r="O279" s="1858"/>
      <c r="P279" s="1858"/>
      <c r="Q279" s="1858"/>
      <c r="R279" s="1858"/>
      <c r="S279" s="1858"/>
      <c r="T279" s="1858"/>
      <c r="U279" s="1682">
        <f>722.93+5324.558+935-6982.488</f>
        <v>0</v>
      </c>
    </row>
    <row r="280" spans="1:21" ht="30.75" hidden="1" customHeight="1" x14ac:dyDescent="0.25">
      <c r="A280" s="732"/>
      <c r="B280" s="1869" t="s">
        <v>1013</v>
      </c>
      <c r="C280" s="1193"/>
      <c r="D280" s="1531" t="s">
        <v>463</v>
      </c>
      <c r="E280" s="1531" t="s">
        <v>495</v>
      </c>
      <c r="F280" s="409" t="s">
        <v>1014</v>
      </c>
      <c r="G280" s="1663"/>
      <c r="H280" s="1682">
        <f>H281</f>
        <v>0</v>
      </c>
      <c r="I280" s="529"/>
      <c r="J280" s="269"/>
      <c r="K280" s="1858"/>
      <c r="L280" s="1858"/>
      <c r="M280" s="1858"/>
      <c r="N280" s="1530"/>
      <c r="O280" s="1858"/>
      <c r="P280" s="1858"/>
      <c r="Q280" s="1858"/>
      <c r="R280" s="1858"/>
      <c r="S280" s="1858"/>
      <c r="T280" s="1858"/>
      <c r="U280" s="1682"/>
    </row>
    <row r="281" spans="1:21" ht="30.75" hidden="1" customHeight="1" x14ac:dyDescent="0.25">
      <c r="A281" s="732"/>
      <c r="B281" s="1870" t="s">
        <v>1015</v>
      </c>
      <c r="C281" s="1193"/>
      <c r="D281" s="1531" t="s">
        <v>463</v>
      </c>
      <c r="E281" s="1531" t="s">
        <v>495</v>
      </c>
      <c r="F281" s="1534" t="s">
        <v>1016</v>
      </c>
      <c r="G281" s="1663"/>
      <c r="H281" s="1682">
        <f>H282</f>
        <v>0</v>
      </c>
      <c r="I281" s="529"/>
      <c r="J281" s="269"/>
      <c r="K281" s="1858"/>
      <c r="L281" s="1858"/>
      <c r="M281" s="1858"/>
      <c r="N281" s="1530"/>
      <c r="O281" s="1858"/>
      <c r="P281" s="1858"/>
      <c r="Q281" s="1858"/>
      <c r="R281" s="1858"/>
      <c r="S281" s="1858"/>
      <c r="T281" s="1858"/>
      <c r="U281" s="1682"/>
    </row>
    <row r="282" spans="1:21" ht="30.75" hidden="1" customHeight="1" x14ac:dyDescent="0.25">
      <c r="A282" s="732"/>
      <c r="B282" s="1871" t="s">
        <v>1017</v>
      </c>
      <c r="C282" s="1193"/>
      <c r="D282" s="1531" t="s">
        <v>463</v>
      </c>
      <c r="E282" s="1531" t="s">
        <v>495</v>
      </c>
      <c r="F282" s="409" t="s">
        <v>1018</v>
      </c>
      <c r="G282" s="1663"/>
      <c r="H282" s="1682">
        <f>H283</f>
        <v>0</v>
      </c>
      <c r="I282" s="529"/>
      <c r="J282" s="269"/>
      <c r="K282" s="1858"/>
      <c r="L282" s="1858"/>
      <c r="M282" s="1858"/>
      <c r="N282" s="1530"/>
      <c r="O282" s="1858"/>
      <c r="P282" s="1858"/>
      <c r="Q282" s="1858"/>
      <c r="R282" s="1858"/>
      <c r="S282" s="1858"/>
      <c r="T282" s="1858"/>
      <c r="U282" s="1682"/>
    </row>
    <row r="283" spans="1:21" ht="30.75" hidden="1" customHeight="1" x14ac:dyDescent="0.25">
      <c r="A283" s="732"/>
      <c r="B283" s="1182" t="s">
        <v>454</v>
      </c>
      <c r="C283" s="1193"/>
      <c r="D283" s="1531" t="s">
        <v>463</v>
      </c>
      <c r="E283" s="1531" t="s">
        <v>495</v>
      </c>
      <c r="F283" s="409" t="s">
        <v>1018</v>
      </c>
      <c r="G283" s="1663" t="s">
        <v>1</v>
      </c>
      <c r="H283" s="1682"/>
      <c r="I283" s="529"/>
      <c r="J283" s="269"/>
      <c r="K283" s="1858"/>
      <c r="L283" s="1858"/>
      <c r="M283" s="1858"/>
      <c r="N283" s="1530"/>
      <c r="O283" s="1858"/>
      <c r="P283" s="1858"/>
      <c r="Q283" s="1858"/>
      <c r="R283" s="1858"/>
      <c r="S283" s="1858"/>
      <c r="T283" s="1858"/>
      <c r="U283" s="1682"/>
    </row>
    <row r="284" spans="1:21" ht="37" customHeight="1" x14ac:dyDescent="0.25">
      <c r="A284" s="732"/>
      <c r="B284" s="1872" t="s">
        <v>949</v>
      </c>
      <c r="C284" s="409"/>
      <c r="D284" s="1248" t="s">
        <v>463</v>
      </c>
      <c r="E284" s="1248" t="s">
        <v>495</v>
      </c>
      <c r="F284" s="409" t="s">
        <v>952</v>
      </c>
      <c r="G284" s="1667"/>
      <c r="H284" s="1682">
        <f>H288+H290</f>
        <v>7850</v>
      </c>
      <c r="I284" s="529"/>
      <c r="J284" s="269"/>
      <c r="K284" s="1858"/>
      <c r="L284" s="1858"/>
      <c r="M284" s="1858"/>
      <c r="N284" s="1530">
        <f>N288+N290</f>
        <v>1265</v>
      </c>
      <c r="O284" s="1858"/>
      <c r="P284" s="1858"/>
      <c r="Q284" s="1858"/>
      <c r="R284" s="1858"/>
      <c r="S284" s="1858"/>
      <c r="T284" s="1858"/>
      <c r="U284" s="1682">
        <f>U288+U290</f>
        <v>1391.5</v>
      </c>
    </row>
    <row r="285" spans="1:21" ht="30.75" hidden="1" customHeight="1" x14ac:dyDescent="0.25">
      <c r="A285" s="732"/>
      <c r="B285" s="1873" t="s">
        <v>947</v>
      </c>
      <c r="C285" s="409"/>
      <c r="D285" s="409" t="s">
        <v>463</v>
      </c>
      <c r="E285" s="409" t="s">
        <v>495</v>
      </c>
      <c r="F285" s="409" t="s">
        <v>953</v>
      </c>
      <c r="G285" s="1668"/>
      <c r="H285" s="1682">
        <f>H286</f>
        <v>0</v>
      </c>
      <c r="I285" s="529"/>
      <c r="J285" s="269"/>
      <c r="K285" s="1858"/>
      <c r="L285" s="1858"/>
      <c r="M285" s="1858"/>
      <c r="N285" s="1530">
        <f>N286</f>
        <v>0</v>
      </c>
      <c r="O285" s="1858"/>
      <c r="P285" s="1858"/>
      <c r="Q285" s="1858"/>
      <c r="R285" s="1858"/>
      <c r="S285" s="1858"/>
      <c r="T285" s="1858"/>
      <c r="U285" s="1682">
        <f>U286</f>
        <v>0</v>
      </c>
    </row>
    <row r="286" spans="1:21" ht="30.75" hidden="1" customHeight="1" x14ac:dyDescent="0.25">
      <c r="A286" s="732"/>
      <c r="B286" s="1874" t="s">
        <v>950</v>
      </c>
      <c r="C286" s="409"/>
      <c r="D286" s="409" t="s">
        <v>463</v>
      </c>
      <c r="E286" s="409" t="s">
        <v>495</v>
      </c>
      <c r="F286" s="1864" t="s">
        <v>954</v>
      </c>
      <c r="G286" s="1875"/>
      <c r="H286" s="1682">
        <f>H288</f>
        <v>0</v>
      </c>
      <c r="I286" s="529"/>
      <c r="J286" s="269"/>
      <c r="K286" s="1858"/>
      <c r="L286" s="1858"/>
      <c r="M286" s="1858"/>
      <c r="N286" s="1530">
        <f>N288</f>
        <v>0</v>
      </c>
      <c r="O286" s="1858"/>
      <c r="P286" s="1858"/>
      <c r="Q286" s="1858"/>
      <c r="R286" s="1858"/>
      <c r="S286" s="1858"/>
      <c r="T286" s="1858"/>
      <c r="U286" s="1682">
        <f>U288</f>
        <v>0</v>
      </c>
    </row>
    <row r="287" spans="1:21" ht="30.75" hidden="1" customHeight="1" x14ac:dyDescent="0.25">
      <c r="A287" s="732"/>
      <c r="B287" s="753" t="s">
        <v>948</v>
      </c>
      <c r="C287" s="409"/>
      <c r="D287" s="1217" t="s">
        <v>463</v>
      </c>
      <c r="E287" s="1217" t="s">
        <v>495</v>
      </c>
      <c r="F287" s="1864" t="s">
        <v>954</v>
      </c>
      <c r="G287" s="1876" t="s">
        <v>955</v>
      </c>
      <c r="H287" s="1682"/>
      <c r="I287" s="529"/>
      <c r="J287" s="269"/>
      <c r="K287" s="1858"/>
      <c r="L287" s="1858"/>
      <c r="M287" s="1858"/>
      <c r="N287" s="1530"/>
      <c r="O287" s="1858"/>
      <c r="P287" s="1858"/>
      <c r="Q287" s="1858"/>
      <c r="R287" s="1858"/>
      <c r="S287" s="1858"/>
      <c r="T287" s="1858"/>
      <c r="U287" s="1682"/>
    </row>
    <row r="288" spans="1:21" ht="30.75" hidden="1" customHeight="1" x14ac:dyDescent="0.25">
      <c r="A288" s="732"/>
      <c r="B288" s="1182" t="s">
        <v>454</v>
      </c>
      <c r="C288" s="409"/>
      <c r="D288" s="1217" t="s">
        <v>463</v>
      </c>
      <c r="E288" s="1217" t="s">
        <v>495</v>
      </c>
      <c r="F288" s="1864" t="s">
        <v>954</v>
      </c>
      <c r="G288" s="1662" t="s">
        <v>1</v>
      </c>
      <c r="H288" s="1682">
        <f>450-450</f>
        <v>0</v>
      </c>
      <c r="I288" s="529"/>
      <c r="J288" s="269"/>
      <c r="K288" s="1858">
        <v>450</v>
      </c>
      <c r="L288" s="1858"/>
      <c r="M288" s="1858"/>
      <c r="N288" s="1530"/>
      <c r="O288" s="1858"/>
      <c r="P288" s="1858"/>
      <c r="Q288" s="1858"/>
      <c r="R288" s="1858"/>
      <c r="S288" s="1858"/>
      <c r="T288" s="1858"/>
      <c r="U288" s="1682"/>
    </row>
    <row r="289" spans="1:21" ht="30.75" hidden="1" customHeight="1" x14ac:dyDescent="0.25">
      <c r="A289" s="732"/>
      <c r="B289" s="1182" t="s">
        <v>34</v>
      </c>
      <c r="C289" s="409"/>
      <c r="D289" s="1217" t="s">
        <v>463</v>
      </c>
      <c r="E289" s="1217" t="s">
        <v>495</v>
      </c>
      <c r="F289" s="1864" t="s">
        <v>954</v>
      </c>
      <c r="G289" s="1662" t="s">
        <v>1</v>
      </c>
      <c r="H289" s="1682"/>
      <c r="I289" s="529"/>
      <c r="J289" s="269"/>
      <c r="K289" s="1858"/>
      <c r="L289" s="1858"/>
      <c r="M289" s="1858"/>
      <c r="N289" s="1530"/>
      <c r="O289" s="1858"/>
      <c r="P289" s="1858"/>
      <c r="Q289" s="1858"/>
      <c r="R289" s="1858"/>
      <c r="S289" s="1858"/>
      <c r="T289" s="1858"/>
      <c r="U289" s="1682"/>
    </row>
    <row r="290" spans="1:21" ht="30.75" customHeight="1" x14ac:dyDescent="0.25">
      <c r="A290" s="732"/>
      <c r="B290" s="1872" t="s">
        <v>1019</v>
      </c>
      <c r="C290" s="409"/>
      <c r="D290" s="1217" t="s">
        <v>463</v>
      </c>
      <c r="E290" s="1217" t="s">
        <v>495</v>
      </c>
      <c r="F290" s="409" t="s">
        <v>1020</v>
      </c>
      <c r="G290" s="1668"/>
      <c r="H290" s="1682">
        <f>H291</f>
        <v>7850</v>
      </c>
      <c r="I290" s="529"/>
      <c r="J290" s="269"/>
      <c r="K290" s="1858"/>
      <c r="L290" s="1858"/>
      <c r="M290" s="1858"/>
      <c r="N290" s="1530">
        <f>N291</f>
        <v>1265</v>
      </c>
      <c r="O290" s="1858"/>
      <c r="P290" s="1858"/>
      <c r="Q290" s="1858"/>
      <c r="R290" s="1858"/>
      <c r="S290" s="1858"/>
      <c r="T290" s="1858"/>
      <c r="U290" s="1682">
        <f>U291</f>
        <v>1391.5</v>
      </c>
    </row>
    <row r="291" spans="1:21" ht="30.75" customHeight="1" x14ac:dyDescent="0.25">
      <c r="A291" s="732"/>
      <c r="B291" s="753" t="s">
        <v>1021</v>
      </c>
      <c r="C291" s="409"/>
      <c r="D291" s="409" t="s">
        <v>463</v>
      </c>
      <c r="E291" s="409" t="s">
        <v>495</v>
      </c>
      <c r="F291" s="1864" t="s">
        <v>1022</v>
      </c>
      <c r="G291" s="1875"/>
      <c r="H291" s="1682">
        <f>H293</f>
        <v>7850</v>
      </c>
      <c r="I291" s="529"/>
      <c r="J291" s="269"/>
      <c r="K291" s="1858"/>
      <c r="L291" s="1858"/>
      <c r="M291" s="1858"/>
      <c r="N291" s="1530">
        <f>N293</f>
        <v>1265</v>
      </c>
      <c r="O291" s="1858"/>
      <c r="P291" s="1858"/>
      <c r="Q291" s="1858"/>
      <c r="R291" s="1858"/>
      <c r="S291" s="1858"/>
      <c r="T291" s="1858"/>
      <c r="U291" s="1682">
        <f>U293</f>
        <v>1391.5</v>
      </c>
    </row>
    <row r="292" spans="1:21" ht="30.75" hidden="1" customHeight="1" x14ac:dyDescent="0.25">
      <c r="A292" s="732"/>
      <c r="B292" s="753" t="s">
        <v>948</v>
      </c>
      <c r="C292" s="409"/>
      <c r="D292" s="1217" t="s">
        <v>463</v>
      </c>
      <c r="E292" s="1217" t="s">
        <v>495</v>
      </c>
      <c r="F292" s="1864" t="s">
        <v>957</v>
      </c>
      <c r="G292" s="1876" t="s">
        <v>955</v>
      </c>
      <c r="H292" s="1682"/>
      <c r="I292" s="529"/>
      <c r="J292" s="269"/>
      <c r="K292" s="1858"/>
      <c r="L292" s="1858"/>
      <c r="M292" s="1858"/>
      <c r="N292" s="1530"/>
      <c r="O292" s="1858"/>
      <c r="P292" s="1858"/>
      <c r="Q292" s="1858"/>
      <c r="R292" s="1858"/>
      <c r="S292" s="1858"/>
      <c r="T292" s="1858"/>
      <c r="U292" s="1682"/>
    </row>
    <row r="293" spans="1:21" ht="30.75" customHeight="1" x14ac:dyDescent="0.25">
      <c r="A293" s="732"/>
      <c r="B293" s="1182" t="s">
        <v>454</v>
      </c>
      <c r="C293" s="409"/>
      <c r="D293" s="409" t="s">
        <v>463</v>
      </c>
      <c r="E293" s="409" t="s">
        <v>495</v>
      </c>
      <c r="F293" s="1864" t="s">
        <v>1022</v>
      </c>
      <c r="G293" s="1662" t="s">
        <v>1</v>
      </c>
      <c r="H293" s="1682">
        <f>350+7500</f>
        <v>7850</v>
      </c>
      <c r="I293" s="529"/>
      <c r="J293" s="269"/>
      <c r="K293" s="1858">
        <v>350</v>
      </c>
      <c r="L293" s="1858"/>
      <c r="M293" s="1858"/>
      <c r="N293" s="1530">
        <f>385+880</f>
        <v>1265</v>
      </c>
      <c r="O293" s="1858"/>
      <c r="P293" s="1858"/>
      <c r="Q293" s="1858"/>
      <c r="R293" s="1858"/>
      <c r="S293" s="1858"/>
      <c r="T293" s="1858"/>
      <c r="U293" s="1682">
        <f>423.5+968</f>
        <v>1391.5</v>
      </c>
    </row>
    <row r="294" spans="1:21" ht="30.75" customHeight="1" x14ac:dyDescent="0.25">
      <c r="A294" s="732"/>
      <c r="B294" s="1872" t="s">
        <v>1013</v>
      </c>
      <c r="C294" s="1193"/>
      <c r="D294" s="1531" t="s">
        <v>463</v>
      </c>
      <c r="E294" s="1531" t="s">
        <v>495</v>
      </c>
      <c r="F294" s="409" t="s">
        <v>1014</v>
      </c>
      <c r="G294" s="1663"/>
      <c r="H294" s="1682">
        <f>H295</f>
        <v>654.13699999999994</v>
      </c>
      <c r="I294" s="529"/>
      <c r="J294" s="269"/>
      <c r="K294" s="1858"/>
      <c r="L294" s="1858"/>
      <c r="M294" s="1858"/>
      <c r="N294" s="1530"/>
      <c r="O294" s="1858"/>
      <c r="P294" s="1858"/>
      <c r="Q294" s="1858"/>
      <c r="R294" s="1858"/>
      <c r="S294" s="1858"/>
      <c r="T294" s="1858"/>
      <c r="U294" s="1682"/>
    </row>
    <row r="295" spans="1:21" ht="30.75" customHeight="1" x14ac:dyDescent="0.25">
      <c r="A295" s="732"/>
      <c r="B295" s="1870" t="s">
        <v>1023</v>
      </c>
      <c r="C295" s="1193"/>
      <c r="D295" s="1531" t="s">
        <v>463</v>
      </c>
      <c r="E295" s="1531" t="s">
        <v>495</v>
      </c>
      <c r="F295" s="409" t="s">
        <v>1016</v>
      </c>
      <c r="G295" s="1663"/>
      <c r="H295" s="1682">
        <f>H296</f>
        <v>654.13699999999994</v>
      </c>
      <c r="I295" s="529"/>
      <c r="J295" s="269"/>
      <c r="K295" s="1858"/>
      <c r="L295" s="1858"/>
      <c r="M295" s="1858"/>
      <c r="N295" s="1530"/>
      <c r="O295" s="1858"/>
      <c r="P295" s="1858"/>
      <c r="Q295" s="1858"/>
      <c r="R295" s="1858"/>
      <c r="S295" s="1858"/>
      <c r="T295" s="1858"/>
      <c r="U295" s="1682"/>
    </row>
    <row r="296" spans="1:21" ht="30.75" customHeight="1" x14ac:dyDescent="0.25">
      <c r="A296" s="732"/>
      <c r="B296" s="1871" t="s">
        <v>1024</v>
      </c>
      <c r="C296" s="1193"/>
      <c r="D296" s="1877" t="s">
        <v>463</v>
      </c>
      <c r="E296" s="1877" t="s">
        <v>495</v>
      </c>
      <c r="F296" s="409" t="s">
        <v>1018</v>
      </c>
      <c r="G296" s="1663"/>
      <c r="H296" s="1682">
        <f>H297</f>
        <v>654.13699999999994</v>
      </c>
      <c r="I296" s="529"/>
      <c r="J296" s="269"/>
      <c r="K296" s="1858"/>
      <c r="L296" s="1858"/>
      <c r="M296" s="1858"/>
      <c r="N296" s="1530"/>
      <c r="O296" s="1858"/>
      <c r="P296" s="1858"/>
      <c r="Q296" s="1858"/>
      <c r="R296" s="1858"/>
      <c r="S296" s="1858"/>
      <c r="T296" s="1858"/>
      <c r="U296" s="1682"/>
    </row>
    <row r="297" spans="1:21" ht="30.75" customHeight="1" x14ac:dyDescent="0.25">
      <c r="A297" s="732"/>
      <c r="B297" s="1182" t="s">
        <v>454</v>
      </c>
      <c r="C297" s="1193"/>
      <c r="D297" s="1531" t="s">
        <v>463</v>
      </c>
      <c r="E297" s="1531" t="s">
        <v>495</v>
      </c>
      <c r="F297" s="409" t="s">
        <v>1018</v>
      </c>
      <c r="G297" s="1663" t="s">
        <v>1</v>
      </c>
      <c r="H297" s="1682">
        <f>32.707+621.43</f>
        <v>654.13699999999994</v>
      </c>
      <c r="I297" s="529"/>
      <c r="J297" s="269"/>
      <c r="K297" s="1858"/>
      <c r="L297" s="1858"/>
      <c r="M297" s="1858"/>
      <c r="N297" s="1530"/>
      <c r="O297" s="1858"/>
      <c r="P297" s="1858"/>
      <c r="Q297" s="1858"/>
      <c r="R297" s="1858"/>
      <c r="S297" s="1858"/>
      <c r="T297" s="1858"/>
      <c r="U297" s="1682"/>
    </row>
    <row r="298" spans="1:21" ht="30.75" customHeight="1" x14ac:dyDescent="0.25">
      <c r="A298" s="732"/>
      <c r="B298" s="1872" t="s">
        <v>1025</v>
      </c>
      <c r="C298" s="409"/>
      <c r="D298" s="1217" t="s">
        <v>463</v>
      </c>
      <c r="E298" s="1217" t="s">
        <v>495</v>
      </c>
      <c r="F298" s="409" t="s">
        <v>1026</v>
      </c>
      <c r="G298" s="409"/>
      <c r="H298" s="1878">
        <f>H300</f>
        <v>2992.7565999999997</v>
      </c>
      <c r="I298" s="529"/>
      <c r="J298" s="269"/>
      <c r="K298" s="1858"/>
      <c r="L298" s="1858"/>
      <c r="M298" s="1858"/>
      <c r="N298" s="1530"/>
      <c r="O298" s="1858"/>
      <c r="P298" s="1858"/>
      <c r="Q298" s="1858"/>
      <c r="R298" s="1858"/>
      <c r="S298" s="1858"/>
      <c r="T298" s="1858"/>
      <c r="U298" s="1682"/>
    </row>
    <row r="299" spans="1:21" ht="27" customHeight="1" x14ac:dyDescent="0.25">
      <c r="A299" s="732"/>
      <c r="B299" s="1879" t="s">
        <v>1027</v>
      </c>
      <c r="C299" s="409"/>
      <c r="D299" s="1217" t="s">
        <v>463</v>
      </c>
      <c r="E299" s="1217" t="s">
        <v>495</v>
      </c>
      <c r="F299" s="409" t="s">
        <v>1028</v>
      </c>
      <c r="G299" s="409"/>
      <c r="H299" s="1878">
        <f>H300</f>
        <v>2992.7565999999997</v>
      </c>
      <c r="I299" s="529"/>
      <c r="J299" s="269"/>
      <c r="K299" s="1858"/>
      <c r="L299" s="1858"/>
      <c r="M299" s="1858"/>
      <c r="N299" s="1530"/>
      <c r="O299" s="1858"/>
      <c r="P299" s="1858"/>
      <c r="Q299" s="1858"/>
      <c r="R299" s="1858"/>
      <c r="S299" s="1858"/>
      <c r="T299" s="1858"/>
      <c r="U299" s="1682"/>
    </row>
    <row r="300" spans="1:21" ht="30.75" customHeight="1" x14ac:dyDescent="0.25">
      <c r="A300" s="732"/>
      <c r="B300" s="1870" t="s">
        <v>1029</v>
      </c>
      <c r="C300" s="409"/>
      <c r="D300" s="1217" t="s">
        <v>463</v>
      </c>
      <c r="E300" s="1217" t="s">
        <v>495</v>
      </c>
      <c r="F300" s="409" t="s">
        <v>1030</v>
      </c>
      <c r="G300" s="409"/>
      <c r="H300" s="1878">
        <f>H301</f>
        <v>2992.7565999999997</v>
      </c>
      <c r="I300" s="529"/>
      <c r="J300" s="269"/>
      <c r="K300" s="1858"/>
      <c r="L300" s="1858"/>
      <c r="M300" s="1858"/>
      <c r="N300" s="1530"/>
      <c r="O300" s="1858"/>
      <c r="P300" s="1858"/>
      <c r="Q300" s="1858"/>
      <c r="R300" s="1858"/>
      <c r="S300" s="1858"/>
      <c r="T300" s="1858"/>
      <c r="U300" s="1682"/>
    </row>
    <row r="301" spans="1:21" ht="30.75" customHeight="1" x14ac:dyDescent="0.25">
      <c r="A301" s="732"/>
      <c r="B301" s="1871" t="s">
        <v>1031</v>
      </c>
      <c r="C301" s="409"/>
      <c r="D301" s="1217" t="s">
        <v>463</v>
      </c>
      <c r="E301" s="1217" t="s">
        <v>495</v>
      </c>
      <c r="F301" s="409" t="s">
        <v>1032</v>
      </c>
      <c r="G301" s="409"/>
      <c r="H301" s="1878">
        <f>H302</f>
        <v>2992.7565999999997</v>
      </c>
      <c r="I301" s="529"/>
      <c r="J301" s="269"/>
      <c r="K301" s="1858"/>
      <c r="L301" s="1858"/>
      <c r="M301" s="1858"/>
      <c r="N301" s="1530"/>
      <c r="O301" s="1858"/>
      <c r="P301" s="1858"/>
      <c r="Q301" s="1858"/>
      <c r="R301" s="1858"/>
      <c r="S301" s="1858"/>
      <c r="T301" s="1858"/>
      <c r="U301" s="1682"/>
    </row>
    <row r="302" spans="1:21" ht="30.75" customHeight="1" x14ac:dyDescent="0.25">
      <c r="A302" s="732"/>
      <c r="B302" s="1182" t="s">
        <v>454</v>
      </c>
      <c r="C302" s="409"/>
      <c r="D302" s="1217" t="s">
        <v>463</v>
      </c>
      <c r="E302" s="1217" t="s">
        <v>495</v>
      </c>
      <c r="F302" s="409" t="s">
        <v>1032</v>
      </c>
      <c r="G302" s="409" t="s">
        <v>1</v>
      </c>
      <c r="H302" s="1878">
        <f>1300+1692.7566</f>
        <v>2992.7565999999997</v>
      </c>
      <c r="I302" s="529"/>
      <c r="J302" s="269"/>
      <c r="K302" s="1858"/>
      <c r="L302" s="1858"/>
      <c r="M302" s="1858"/>
      <c r="N302" s="1530"/>
      <c r="O302" s="1858"/>
      <c r="P302" s="1858"/>
      <c r="Q302" s="1858"/>
      <c r="R302" s="1858"/>
      <c r="S302" s="1858"/>
      <c r="T302" s="1858"/>
      <c r="U302" s="1682"/>
    </row>
    <row r="303" spans="1:21" ht="30.75" customHeight="1" x14ac:dyDescent="0.25">
      <c r="A303" s="732"/>
      <c r="B303" s="1182" t="s">
        <v>499</v>
      </c>
      <c r="C303" s="1880"/>
      <c r="D303" s="1221" t="s">
        <v>463</v>
      </c>
      <c r="E303" s="1221" t="s">
        <v>495</v>
      </c>
      <c r="F303" s="1662" t="s">
        <v>89</v>
      </c>
      <c r="G303" s="1881"/>
      <c r="H303" s="1530">
        <f>H304</f>
        <v>5191.6480000000001</v>
      </c>
      <c r="I303" s="529"/>
      <c r="J303" s="269"/>
      <c r="K303" s="1858"/>
      <c r="L303" s="1858"/>
      <c r="M303" s="1858"/>
      <c r="N303" s="1200"/>
      <c r="O303" s="1858"/>
      <c r="P303" s="1858"/>
      <c r="Q303" s="1858"/>
      <c r="R303" s="1858"/>
      <c r="S303" s="1858"/>
      <c r="T303" s="1858"/>
      <c r="U303" s="1682"/>
    </row>
    <row r="304" spans="1:21" ht="30.75" customHeight="1" x14ac:dyDescent="0.25">
      <c r="A304" s="1179"/>
      <c r="B304" s="1882" t="s">
        <v>109</v>
      </c>
      <c r="C304" s="409"/>
      <c r="D304" s="1217" t="s">
        <v>463</v>
      </c>
      <c r="E304" s="1217" t="s">
        <v>495</v>
      </c>
      <c r="F304" s="409" t="s">
        <v>84</v>
      </c>
      <c r="G304" s="1883"/>
      <c r="H304" s="1682">
        <f>H305</f>
        <v>5191.6480000000001</v>
      </c>
      <c r="I304" s="529"/>
      <c r="J304" s="269"/>
      <c r="K304" s="1858"/>
      <c r="L304" s="1858"/>
      <c r="M304" s="1858"/>
      <c r="N304" s="1200"/>
      <c r="O304" s="1858"/>
      <c r="P304" s="1858"/>
      <c r="Q304" s="1858"/>
      <c r="R304" s="1858"/>
      <c r="S304" s="1858"/>
      <c r="T304" s="1858"/>
      <c r="U304" s="1682"/>
    </row>
    <row r="305" spans="1:21" ht="30.75" customHeight="1" x14ac:dyDescent="0.25">
      <c r="A305" s="1179"/>
      <c r="B305" s="1884" t="s">
        <v>109</v>
      </c>
      <c r="C305" s="409"/>
      <c r="D305" s="1217" t="s">
        <v>463</v>
      </c>
      <c r="E305" s="1217" t="s">
        <v>495</v>
      </c>
      <c r="F305" s="409" t="s">
        <v>82</v>
      </c>
      <c r="G305" s="1885"/>
      <c r="H305" s="1682">
        <f>H308+H307</f>
        <v>5191.6480000000001</v>
      </c>
      <c r="I305" s="529"/>
      <c r="J305" s="269"/>
      <c r="K305" s="1858"/>
      <c r="L305" s="1858"/>
      <c r="M305" s="1858"/>
      <c r="N305" s="1200"/>
      <c r="O305" s="1858"/>
      <c r="P305" s="1858"/>
      <c r="Q305" s="1858"/>
      <c r="R305" s="1858"/>
      <c r="S305" s="1858"/>
      <c r="T305" s="1858"/>
      <c r="U305" s="1682"/>
    </row>
    <row r="306" spans="1:21" ht="30.75" customHeight="1" x14ac:dyDescent="0.25">
      <c r="A306" s="1179"/>
      <c r="B306" s="1884" t="s">
        <v>1033</v>
      </c>
      <c r="C306" s="409"/>
      <c r="D306" s="1217" t="s">
        <v>463</v>
      </c>
      <c r="E306" s="1217" t="s">
        <v>495</v>
      </c>
      <c r="F306" s="409" t="s">
        <v>33</v>
      </c>
      <c r="G306" s="1885"/>
      <c r="H306" s="1682">
        <f>H307</f>
        <v>5091.6480000000001</v>
      </c>
      <c r="I306" s="529"/>
      <c r="J306" s="269"/>
      <c r="K306" s="1858"/>
      <c r="L306" s="1858"/>
      <c r="M306" s="1858"/>
      <c r="N306" s="1200"/>
      <c r="O306" s="1858"/>
      <c r="P306" s="1858"/>
      <c r="Q306" s="1858"/>
      <c r="R306" s="1858"/>
      <c r="S306" s="1858"/>
      <c r="T306" s="1858"/>
      <c r="U306" s="1682"/>
    </row>
    <row r="307" spans="1:21" ht="30.75" customHeight="1" x14ac:dyDescent="0.25">
      <c r="A307" s="1179"/>
      <c r="B307" s="1884" t="s">
        <v>1034</v>
      </c>
      <c r="C307" s="409"/>
      <c r="D307" s="1217" t="s">
        <v>463</v>
      </c>
      <c r="E307" s="1217" t="s">
        <v>495</v>
      </c>
      <c r="F307" s="409" t="s">
        <v>33</v>
      </c>
      <c r="G307" s="1885" t="s">
        <v>521</v>
      </c>
      <c r="H307" s="1682">
        <f>2984.802+2106.846</f>
        <v>5091.6480000000001</v>
      </c>
      <c r="I307" s="529"/>
      <c r="J307" s="269"/>
      <c r="K307" s="1858"/>
      <c r="L307" s="1858"/>
      <c r="M307" s="1858"/>
      <c r="N307" s="1200"/>
      <c r="O307" s="1858"/>
      <c r="P307" s="1858"/>
      <c r="Q307" s="1858"/>
      <c r="R307" s="1858"/>
      <c r="S307" s="1858"/>
      <c r="T307" s="1858"/>
      <c r="U307" s="1682"/>
    </row>
    <row r="308" spans="1:21" ht="30.75" customHeight="1" x14ac:dyDescent="0.25">
      <c r="A308" s="1179"/>
      <c r="B308" s="1884" t="s">
        <v>1035</v>
      </c>
      <c r="C308" s="409"/>
      <c r="D308" s="1217" t="s">
        <v>463</v>
      </c>
      <c r="E308" s="1217" t="s">
        <v>495</v>
      </c>
      <c r="F308" s="409" t="s">
        <v>1036</v>
      </c>
      <c r="G308" s="1885"/>
      <c r="H308" s="1682">
        <f>H309</f>
        <v>100</v>
      </c>
      <c r="I308" s="529"/>
      <c r="J308" s="269"/>
      <c r="K308" s="1858"/>
      <c r="L308" s="1858"/>
      <c r="M308" s="1858"/>
      <c r="N308" s="1200"/>
      <c r="O308" s="1858"/>
      <c r="P308" s="1858"/>
      <c r="Q308" s="1858"/>
      <c r="R308" s="1858"/>
      <c r="S308" s="1858"/>
      <c r="T308" s="1858"/>
      <c r="U308" s="1682"/>
    </row>
    <row r="309" spans="1:21" ht="30.75" customHeight="1" x14ac:dyDescent="0.25">
      <c r="A309" s="1179"/>
      <c r="B309" s="1884" t="s">
        <v>454</v>
      </c>
      <c r="C309" s="409"/>
      <c r="D309" s="1217" t="s">
        <v>463</v>
      </c>
      <c r="E309" s="1217" t="s">
        <v>495</v>
      </c>
      <c r="F309" s="409" t="s">
        <v>1036</v>
      </c>
      <c r="G309" s="1662" t="s">
        <v>1</v>
      </c>
      <c r="H309" s="1682">
        <v>100</v>
      </c>
      <c r="I309" s="529"/>
      <c r="J309" s="269"/>
      <c r="K309" s="1858"/>
      <c r="L309" s="1858"/>
      <c r="M309" s="1858"/>
      <c r="N309" s="1200"/>
      <c r="O309" s="1858"/>
      <c r="P309" s="1858"/>
      <c r="Q309" s="1858"/>
      <c r="R309" s="1858"/>
      <c r="S309" s="1858"/>
      <c r="T309" s="1858"/>
      <c r="U309" s="1682"/>
    </row>
    <row r="310" spans="1:21" x14ac:dyDescent="0.25">
      <c r="A310" s="1179"/>
      <c r="B310" s="1184" t="s">
        <v>348</v>
      </c>
      <c r="C310" s="1177"/>
      <c r="D310" s="408" t="s">
        <v>506</v>
      </c>
      <c r="E310" s="408" t="s">
        <v>459</v>
      </c>
      <c r="F310" s="408"/>
      <c r="G310" s="1661"/>
      <c r="H310" s="1683">
        <f t="shared" ref="H310:J312" si="39">H311</f>
        <v>348</v>
      </c>
      <c r="I310" s="841">
        <f t="shared" si="39"/>
        <v>302</v>
      </c>
      <c r="J310" s="276">
        <f t="shared" si="39"/>
        <v>337</v>
      </c>
      <c r="K310" s="1858"/>
      <c r="L310" s="1858"/>
      <c r="M310" s="1858"/>
      <c r="N310" s="1208">
        <f t="shared" ref="N310:N312" si="40">N311</f>
        <v>362</v>
      </c>
      <c r="O310" s="1858"/>
      <c r="P310" s="1858"/>
      <c r="Q310" s="1858"/>
      <c r="R310" s="1858"/>
      <c r="S310" s="1858"/>
      <c r="T310" s="1858"/>
      <c r="U310" s="1683">
        <f t="shared" ref="U310:U312" si="41">U311</f>
        <v>377</v>
      </c>
    </row>
    <row r="311" spans="1:21" x14ac:dyDescent="0.25">
      <c r="A311" s="842"/>
      <c r="B311" s="1184" t="s">
        <v>964</v>
      </c>
      <c r="C311" s="1177"/>
      <c r="D311" s="408" t="s">
        <v>506</v>
      </c>
      <c r="E311" s="408" t="s">
        <v>506</v>
      </c>
      <c r="F311" s="408"/>
      <c r="G311" s="1661"/>
      <c r="H311" s="1683">
        <f t="shared" si="39"/>
        <v>348</v>
      </c>
      <c r="I311" s="841">
        <f t="shared" si="39"/>
        <v>302</v>
      </c>
      <c r="J311" s="276">
        <f t="shared" si="39"/>
        <v>337</v>
      </c>
      <c r="K311" s="1858"/>
      <c r="L311" s="1858"/>
      <c r="M311" s="1858"/>
      <c r="N311" s="1208">
        <f t="shared" si="40"/>
        <v>362</v>
      </c>
      <c r="O311" s="1858"/>
      <c r="P311" s="1858"/>
      <c r="Q311" s="1858"/>
      <c r="R311" s="1858"/>
      <c r="S311" s="1858"/>
      <c r="T311" s="1858"/>
      <c r="U311" s="1683">
        <f t="shared" si="41"/>
        <v>377</v>
      </c>
    </row>
    <row r="312" spans="1:21" ht="21" x14ac:dyDescent="0.25">
      <c r="A312" s="1179"/>
      <c r="B312" s="1205" t="s">
        <v>932</v>
      </c>
      <c r="C312" s="1180"/>
      <c r="D312" s="409" t="s">
        <v>506</v>
      </c>
      <c r="E312" s="409" t="s">
        <v>506</v>
      </c>
      <c r="F312" s="409" t="s">
        <v>273</v>
      </c>
      <c r="G312" s="1662"/>
      <c r="H312" s="1682">
        <f t="shared" si="39"/>
        <v>348</v>
      </c>
      <c r="I312" s="529">
        <f t="shared" si="39"/>
        <v>302</v>
      </c>
      <c r="J312" s="269">
        <f t="shared" si="39"/>
        <v>337</v>
      </c>
      <c r="K312" s="1858"/>
      <c r="L312" s="1858"/>
      <c r="M312" s="1858"/>
      <c r="N312" s="1200">
        <f t="shared" si="40"/>
        <v>362</v>
      </c>
      <c r="O312" s="1858"/>
      <c r="P312" s="1858"/>
      <c r="Q312" s="1858"/>
      <c r="R312" s="1858"/>
      <c r="S312" s="1858"/>
      <c r="T312" s="1858"/>
      <c r="U312" s="1682">
        <f t="shared" si="41"/>
        <v>377</v>
      </c>
    </row>
    <row r="313" spans="1:21" ht="21" x14ac:dyDescent="0.25">
      <c r="A313" s="1179"/>
      <c r="B313" s="1205" t="s">
        <v>909</v>
      </c>
      <c r="C313" s="1180"/>
      <c r="D313" s="409" t="s">
        <v>506</v>
      </c>
      <c r="E313" s="409" t="s">
        <v>506</v>
      </c>
      <c r="F313" s="409" t="s">
        <v>271</v>
      </c>
      <c r="G313" s="1662"/>
      <c r="H313" s="1682">
        <f>H314+H317</f>
        <v>348</v>
      </c>
      <c r="I313" s="529">
        <f>I314+I317</f>
        <v>302</v>
      </c>
      <c r="J313" s="269">
        <f>J314+J317</f>
        <v>337</v>
      </c>
      <c r="K313" s="1862">
        <v>348</v>
      </c>
      <c r="L313" s="1858"/>
      <c r="M313" s="1858"/>
      <c r="N313" s="1200">
        <f>N314+N317</f>
        <v>362</v>
      </c>
      <c r="O313" s="1858"/>
      <c r="P313" s="1858"/>
      <c r="Q313" s="1858"/>
      <c r="R313" s="1858"/>
      <c r="S313" s="1858"/>
      <c r="T313" s="1858"/>
      <c r="U313" s="1682">
        <f>U314+U317</f>
        <v>377</v>
      </c>
    </row>
    <row r="314" spans="1:21" ht="31.5" hidden="1" x14ac:dyDescent="0.25">
      <c r="A314" s="1179"/>
      <c r="B314" s="1205" t="s">
        <v>270</v>
      </c>
      <c r="C314" s="1180"/>
      <c r="D314" s="409" t="s">
        <v>506</v>
      </c>
      <c r="E314" s="409" t="s">
        <v>506</v>
      </c>
      <c r="F314" s="409" t="s">
        <v>267</v>
      </c>
      <c r="G314" s="1662"/>
      <c r="H314" s="1682">
        <f t="shared" ref="H314:J315" si="42">H315</f>
        <v>0</v>
      </c>
      <c r="I314" s="529">
        <f t="shared" si="42"/>
        <v>0</v>
      </c>
      <c r="J314" s="269">
        <f t="shared" si="42"/>
        <v>0</v>
      </c>
      <c r="K314" s="1858"/>
      <c r="L314" s="1858"/>
      <c r="M314" s="1858"/>
      <c r="N314" s="1200">
        <f t="shared" ref="N314:N315" si="43">N315</f>
        <v>0</v>
      </c>
      <c r="O314" s="1858"/>
      <c r="P314" s="1858"/>
      <c r="Q314" s="1858"/>
      <c r="R314" s="1858"/>
      <c r="S314" s="1858"/>
      <c r="T314" s="1858"/>
      <c r="U314" s="1682">
        <f t="shared" ref="U314:U315" si="44">U315</f>
        <v>0</v>
      </c>
    </row>
    <row r="315" spans="1:21" hidden="1" x14ac:dyDescent="0.25">
      <c r="A315" s="1233"/>
      <c r="B315" s="1250" t="s">
        <v>4</v>
      </c>
      <c r="C315" s="1180"/>
      <c r="D315" s="409" t="s">
        <v>506</v>
      </c>
      <c r="E315" s="409" t="s">
        <v>506</v>
      </c>
      <c r="F315" s="409" t="s">
        <v>507</v>
      </c>
      <c r="G315" s="1662"/>
      <c r="H315" s="1682">
        <f t="shared" si="42"/>
        <v>0</v>
      </c>
      <c r="I315" s="529">
        <f t="shared" si="42"/>
        <v>0</v>
      </c>
      <c r="J315" s="269">
        <f t="shared" si="42"/>
        <v>0</v>
      </c>
      <c r="K315" s="1858"/>
      <c r="L315" s="1858"/>
      <c r="M315" s="1858"/>
      <c r="N315" s="1200">
        <f t="shared" si="43"/>
        <v>0</v>
      </c>
      <c r="O315" s="1858"/>
      <c r="P315" s="1858"/>
      <c r="Q315" s="1858"/>
      <c r="R315" s="1858"/>
      <c r="S315" s="1858"/>
      <c r="T315" s="1858"/>
      <c r="U315" s="1682">
        <f t="shared" si="44"/>
        <v>0</v>
      </c>
    </row>
    <row r="316" spans="1:21" ht="21" hidden="1" x14ac:dyDescent="0.25">
      <c r="A316" s="1233"/>
      <c r="B316" s="1197" t="s">
        <v>268</v>
      </c>
      <c r="C316" s="1183"/>
      <c r="D316" s="409" t="s">
        <v>506</v>
      </c>
      <c r="E316" s="409" t="s">
        <v>506</v>
      </c>
      <c r="F316" s="409" t="s">
        <v>507</v>
      </c>
      <c r="G316" s="1662" t="s">
        <v>1</v>
      </c>
      <c r="H316" s="1682"/>
      <c r="I316" s="529"/>
      <c r="J316" s="269"/>
      <c r="K316" s="1858"/>
      <c r="L316" s="1858"/>
      <c r="M316" s="1858"/>
      <c r="N316" s="1200"/>
      <c r="O316" s="1858"/>
      <c r="P316" s="1858"/>
      <c r="Q316" s="1858"/>
      <c r="R316" s="1858"/>
      <c r="S316" s="1858"/>
      <c r="T316" s="1858"/>
      <c r="U316" s="1682"/>
    </row>
    <row r="317" spans="1:21" ht="21" x14ac:dyDescent="0.25">
      <c r="A317" s="1233"/>
      <c r="B317" s="753" t="s">
        <v>268</v>
      </c>
      <c r="C317" s="1183"/>
      <c r="D317" s="409" t="s">
        <v>506</v>
      </c>
      <c r="E317" s="409" t="s">
        <v>506</v>
      </c>
      <c r="F317" s="409" t="s">
        <v>267</v>
      </c>
      <c r="G317" s="1662"/>
      <c r="H317" s="1682">
        <f>H320+H318</f>
        <v>348</v>
      </c>
      <c r="I317" s="529">
        <f>I320</f>
        <v>302</v>
      </c>
      <c r="J317" s="269">
        <f>J320</f>
        <v>337</v>
      </c>
      <c r="K317" s="1858"/>
      <c r="L317" s="1858"/>
      <c r="M317" s="1858"/>
      <c r="N317" s="1682">
        <f>N320+N318</f>
        <v>362</v>
      </c>
      <c r="O317" s="1858"/>
      <c r="P317" s="1858"/>
      <c r="Q317" s="1858"/>
      <c r="R317" s="1858"/>
      <c r="S317" s="1858"/>
      <c r="T317" s="1858"/>
      <c r="U317" s="1682">
        <f>U320+U318</f>
        <v>377</v>
      </c>
    </row>
    <row r="318" spans="1:21" x14ac:dyDescent="0.25">
      <c r="A318" s="1233"/>
      <c r="B318" s="762" t="s">
        <v>1037</v>
      </c>
      <c r="C318" s="1183"/>
      <c r="D318" s="409" t="s">
        <v>506</v>
      </c>
      <c r="E318" s="409" t="s">
        <v>506</v>
      </c>
      <c r="F318" s="409" t="s">
        <v>507</v>
      </c>
      <c r="G318" s="1662"/>
      <c r="H318" s="1682">
        <f>H319</f>
        <v>98</v>
      </c>
      <c r="I318" s="529"/>
      <c r="J318" s="269"/>
      <c r="K318" s="1858"/>
      <c r="L318" s="1858"/>
      <c r="M318" s="1858"/>
      <c r="N318" s="1200">
        <f>N319</f>
        <v>102</v>
      </c>
      <c r="O318" s="1858"/>
      <c r="P318" s="1858"/>
      <c r="Q318" s="1858"/>
      <c r="R318" s="1858"/>
      <c r="S318" s="1858"/>
      <c r="T318" s="1858"/>
      <c r="U318" s="1682">
        <f>U319</f>
        <v>107</v>
      </c>
    </row>
    <row r="319" spans="1:21" ht="21" x14ac:dyDescent="0.25">
      <c r="A319" s="1233"/>
      <c r="B319" s="1191" t="s">
        <v>454</v>
      </c>
      <c r="C319" s="1183"/>
      <c r="D319" s="409" t="s">
        <v>506</v>
      </c>
      <c r="E319" s="409" t="s">
        <v>506</v>
      </c>
      <c r="F319" s="409" t="s">
        <v>507</v>
      </c>
      <c r="G319" s="1662" t="s">
        <v>1</v>
      </c>
      <c r="H319" s="1682">
        <v>98</v>
      </c>
      <c r="I319" s="529"/>
      <c r="J319" s="269"/>
      <c r="K319" s="1858"/>
      <c r="L319" s="1858"/>
      <c r="M319" s="1858"/>
      <c r="N319" s="1200">
        <v>102</v>
      </c>
      <c r="O319" s="1858"/>
      <c r="P319" s="1858"/>
      <c r="Q319" s="1858"/>
      <c r="R319" s="1858"/>
      <c r="S319" s="1858"/>
      <c r="T319" s="1858"/>
      <c r="U319" s="1682">
        <v>107</v>
      </c>
    </row>
    <row r="320" spans="1:21" x14ac:dyDescent="0.25">
      <c r="A320" s="1179"/>
      <c r="B320" s="1205" t="s">
        <v>266</v>
      </c>
      <c r="C320" s="1180"/>
      <c r="D320" s="409" t="s">
        <v>506</v>
      </c>
      <c r="E320" s="409" t="s">
        <v>506</v>
      </c>
      <c r="F320" s="409" t="s">
        <v>263</v>
      </c>
      <c r="G320" s="1662"/>
      <c r="H320" s="1682">
        <f t="shared" ref="H320:J320" si="45">H321</f>
        <v>250</v>
      </c>
      <c r="I320" s="529">
        <f t="shared" si="45"/>
        <v>302</v>
      </c>
      <c r="J320" s="269">
        <f t="shared" si="45"/>
        <v>337</v>
      </c>
      <c r="K320" s="1858"/>
      <c r="L320" s="1858"/>
      <c r="M320" s="1858"/>
      <c r="N320" s="1200">
        <f t="shared" ref="N320" si="46">N321</f>
        <v>260</v>
      </c>
      <c r="O320" s="1858"/>
      <c r="P320" s="1858"/>
      <c r="Q320" s="1858"/>
      <c r="R320" s="1858"/>
      <c r="S320" s="1858"/>
      <c r="T320" s="1858"/>
      <c r="U320" s="1682">
        <f t="shared" ref="U320" si="47">U321</f>
        <v>270</v>
      </c>
    </row>
    <row r="321" spans="1:25" ht="21" x14ac:dyDescent="0.25">
      <c r="A321" s="1179"/>
      <c r="B321" s="1191" t="s">
        <v>454</v>
      </c>
      <c r="C321" s="1183"/>
      <c r="D321" s="409" t="s">
        <v>506</v>
      </c>
      <c r="E321" s="409" t="s">
        <v>506</v>
      </c>
      <c r="F321" s="409" t="s">
        <v>263</v>
      </c>
      <c r="G321" s="1662" t="s">
        <v>1</v>
      </c>
      <c r="H321" s="1682">
        <f>348-98</f>
        <v>250</v>
      </c>
      <c r="I321" s="529">
        <v>302</v>
      </c>
      <c r="J321" s="269">
        <v>337</v>
      </c>
      <c r="K321" s="1858">
        <v>348</v>
      </c>
      <c r="L321" s="1858"/>
      <c r="M321" s="1858"/>
      <c r="N321" s="1200">
        <f>362-102</f>
        <v>260</v>
      </c>
      <c r="O321" s="1858"/>
      <c r="P321" s="1858"/>
      <c r="Q321" s="1858"/>
      <c r="R321" s="1858"/>
      <c r="S321" s="1858"/>
      <c r="T321" s="1858"/>
      <c r="U321" s="1682">
        <f>377-107</f>
        <v>270</v>
      </c>
    </row>
    <row r="322" spans="1:25" s="760" customFormat="1" ht="13" x14ac:dyDescent="0.3">
      <c r="A322" s="842"/>
      <c r="B322" s="1251" t="s">
        <v>460</v>
      </c>
      <c r="C322" s="408"/>
      <c r="D322" s="1221" t="s">
        <v>453</v>
      </c>
      <c r="E322" s="1221" t="s">
        <v>459</v>
      </c>
      <c r="F322" s="408"/>
      <c r="G322" s="1661"/>
      <c r="H322" s="1683">
        <f>H323+H338</f>
        <v>16962.599000000002</v>
      </c>
      <c r="I322" s="841"/>
      <c r="J322" s="276"/>
      <c r="K322" s="1860"/>
      <c r="L322" s="1860"/>
      <c r="M322" s="1860"/>
      <c r="N322" s="1208">
        <f>N323+N338</f>
        <v>15191.339999999998</v>
      </c>
      <c r="O322" s="1860"/>
      <c r="P322" s="1860"/>
      <c r="Q322" s="1860"/>
      <c r="R322" s="1860"/>
      <c r="S322" s="1860"/>
      <c r="T322" s="1860"/>
      <c r="U322" s="1683">
        <f>U323+U338</f>
        <v>15769.57</v>
      </c>
    </row>
    <row r="323" spans="1:25" x14ac:dyDescent="0.25">
      <c r="A323" s="1179"/>
      <c r="B323" s="1173" t="s">
        <v>87</v>
      </c>
      <c r="C323" s="1177"/>
      <c r="D323" s="408" t="s">
        <v>453</v>
      </c>
      <c r="E323" s="408" t="s">
        <v>456</v>
      </c>
      <c r="F323" s="408"/>
      <c r="G323" s="1661"/>
      <c r="H323" s="1683">
        <f>H324+H331</f>
        <v>13348.895</v>
      </c>
      <c r="I323" s="841">
        <f>I324+I332</f>
        <v>0</v>
      </c>
      <c r="J323" s="276">
        <f>J324+J332</f>
        <v>0</v>
      </c>
      <c r="K323" s="1858"/>
      <c r="L323" s="1858"/>
      <c r="M323" s="1858"/>
      <c r="N323" s="1208">
        <f>N324+N331</f>
        <v>12173.939999999999</v>
      </c>
      <c r="O323" s="1858"/>
      <c r="P323" s="1858"/>
      <c r="Q323" s="1858"/>
      <c r="R323" s="1858"/>
      <c r="S323" s="1858"/>
      <c r="T323" s="1858"/>
      <c r="U323" s="1683">
        <f>U324+U331</f>
        <v>12431.57</v>
      </c>
    </row>
    <row r="324" spans="1:25" ht="24.75" customHeight="1" x14ac:dyDescent="0.25">
      <c r="A324" s="1179"/>
      <c r="B324" s="753" t="s">
        <v>932</v>
      </c>
      <c r="C324" s="1177"/>
      <c r="D324" s="409" t="s">
        <v>453</v>
      </c>
      <c r="E324" s="409" t="s">
        <v>456</v>
      </c>
      <c r="F324" s="409" t="s">
        <v>273</v>
      </c>
      <c r="G324" s="1661"/>
      <c r="H324" s="1683">
        <f>H325</f>
        <v>13348.895</v>
      </c>
      <c r="I324" s="841">
        <f t="shared" ref="I324:J327" si="48">I325</f>
        <v>0</v>
      </c>
      <c r="J324" s="276">
        <f t="shared" si="48"/>
        <v>0</v>
      </c>
      <c r="K324" s="1862">
        <f>K328+K329+K330+K335+K343+K337</f>
        <v>14898.362999999999</v>
      </c>
      <c r="L324" s="1858"/>
      <c r="M324" s="1858"/>
      <c r="N324" s="1208">
        <f>N325</f>
        <v>12173.939999999999</v>
      </c>
      <c r="O324" s="1858"/>
      <c r="P324" s="1858"/>
      <c r="Q324" s="1858"/>
      <c r="R324" s="1858"/>
      <c r="S324" s="1858"/>
      <c r="T324" s="1858"/>
      <c r="U324" s="1683">
        <f>U325</f>
        <v>12431.57</v>
      </c>
    </row>
    <row r="325" spans="1:25" ht="27.75" customHeight="1" x14ac:dyDescent="0.25">
      <c r="A325" s="1179"/>
      <c r="B325" s="1205" t="s">
        <v>911</v>
      </c>
      <c r="C325" s="1180"/>
      <c r="D325" s="409" t="s">
        <v>453</v>
      </c>
      <c r="E325" s="409" t="s">
        <v>456</v>
      </c>
      <c r="F325" s="409" t="s">
        <v>260</v>
      </c>
      <c r="G325" s="1662"/>
      <c r="H325" s="1682">
        <f>H326</f>
        <v>13348.895</v>
      </c>
      <c r="I325" s="529">
        <f t="shared" si="48"/>
        <v>0</v>
      </c>
      <c r="J325" s="269">
        <f t="shared" si="48"/>
        <v>0</v>
      </c>
      <c r="K325" s="1858"/>
      <c r="L325" s="1858"/>
      <c r="M325" s="1858"/>
      <c r="N325" s="1200">
        <f>N326</f>
        <v>12173.939999999999</v>
      </c>
      <c r="O325" s="1858"/>
      <c r="P325" s="1858"/>
      <c r="Q325" s="1858"/>
      <c r="R325" s="1858"/>
      <c r="S325" s="1858"/>
      <c r="T325" s="1858"/>
      <c r="U325" s="1682">
        <f>U326</f>
        <v>12431.57</v>
      </c>
    </row>
    <row r="326" spans="1:25" x14ac:dyDescent="0.25">
      <c r="A326" s="842"/>
      <c r="B326" s="1205" t="s">
        <v>259</v>
      </c>
      <c r="C326" s="1180"/>
      <c r="D326" s="409" t="s">
        <v>453</v>
      </c>
      <c r="E326" s="409" t="s">
        <v>456</v>
      </c>
      <c r="F326" s="409" t="s">
        <v>258</v>
      </c>
      <c r="G326" s="1662"/>
      <c r="H326" s="1687">
        <f>H328+H329+H330+H337</f>
        <v>13348.895</v>
      </c>
      <c r="I326" s="1655">
        <f t="shared" si="48"/>
        <v>0</v>
      </c>
      <c r="J326" s="1656">
        <f t="shared" si="48"/>
        <v>0</v>
      </c>
      <c r="K326" s="1886"/>
      <c r="L326" s="1886"/>
      <c r="M326" s="1886"/>
      <c r="N326" s="1654">
        <f>N328+N329+N330+N337</f>
        <v>12173.939999999999</v>
      </c>
      <c r="O326" s="1886"/>
      <c r="P326" s="1886"/>
      <c r="Q326" s="1886"/>
      <c r="R326" s="1886"/>
      <c r="S326" s="1886"/>
      <c r="T326" s="1886"/>
      <c r="U326" s="1687">
        <f>U328+U329+U330+U337</f>
        <v>12431.57</v>
      </c>
    </row>
    <row r="327" spans="1:25" x14ac:dyDescent="0.25">
      <c r="A327" s="842"/>
      <c r="B327" s="1197" t="s">
        <v>351</v>
      </c>
      <c r="C327" s="1180"/>
      <c r="D327" s="409" t="s">
        <v>453</v>
      </c>
      <c r="E327" s="409" t="s">
        <v>456</v>
      </c>
      <c r="F327" s="409" t="s">
        <v>254</v>
      </c>
      <c r="G327" s="1662"/>
      <c r="H327" s="1687">
        <f>H328+H329+H330</f>
        <v>10682.695</v>
      </c>
      <c r="I327" s="1655">
        <f t="shared" si="48"/>
        <v>0</v>
      </c>
      <c r="J327" s="1656">
        <f t="shared" si="48"/>
        <v>0</v>
      </c>
      <c r="K327" s="1886"/>
      <c r="L327" s="1886"/>
      <c r="M327" s="1886"/>
      <c r="N327" s="1654">
        <f>N328+N329+N330</f>
        <v>9507.74</v>
      </c>
      <c r="O327" s="1886"/>
      <c r="P327" s="1886"/>
      <c r="Q327" s="1886"/>
      <c r="R327" s="1886"/>
      <c r="S327" s="1886"/>
      <c r="T327" s="1886"/>
      <c r="U327" s="1687">
        <f>U328+U329+U330</f>
        <v>9765.3700000000008</v>
      </c>
    </row>
    <row r="328" spans="1:25" x14ac:dyDescent="0.25">
      <c r="A328" s="842"/>
      <c r="B328" s="753" t="s">
        <v>840</v>
      </c>
      <c r="C328" s="1180"/>
      <c r="D328" s="409" t="s">
        <v>453</v>
      </c>
      <c r="E328" s="409" t="s">
        <v>456</v>
      </c>
      <c r="F328" s="409" t="s">
        <v>254</v>
      </c>
      <c r="G328" s="1662" t="s">
        <v>255</v>
      </c>
      <c r="H328" s="1682">
        <f>7092.058+391.636+310</f>
        <v>7793.6940000000004</v>
      </c>
      <c r="I328" s="529">
        <f>I329+I330+I331</f>
        <v>0</v>
      </c>
      <c r="J328" s="269">
        <f>J329+J330+J331</f>
        <v>0</v>
      </c>
      <c r="K328" s="1858">
        <v>7092.058</v>
      </c>
      <c r="L328" s="1858"/>
      <c r="M328" s="1858"/>
      <c r="N328" s="1200">
        <v>7375.74</v>
      </c>
      <c r="O328" s="1858"/>
      <c r="P328" s="1858"/>
      <c r="Q328" s="1858"/>
      <c r="R328" s="1858"/>
      <c r="S328" s="1858"/>
      <c r="T328" s="1858"/>
      <c r="U328" s="1682">
        <v>7670.77</v>
      </c>
    </row>
    <row r="329" spans="1:25" ht="21" x14ac:dyDescent="0.25">
      <c r="A329" s="1179"/>
      <c r="B329" s="1182" t="s">
        <v>454</v>
      </c>
      <c r="C329" s="1183"/>
      <c r="D329" s="409" t="s">
        <v>453</v>
      </c>
      <c r="E329" s="409" t="s">
        <v>456</v>
      </c>
      <c r="F329" s="409" t="s">
        <v>254</v>
      </c>
      <c r="G329" s="1662" t="s">
        <v>1</v>
      </c>
      <c r="H329" s="1682">
        <f>2809.001+70</f>
        <v>2879.0010000000002</v>
      </c>
      <c r="I329" s="529"/>
      <c r="J329" s="269"/>
      <c r="K329" s="1859">
        <v>2809.0010000000002</v>
      </c>
      <c r="L329" s="1858"/>
      <c r="M329" s="1858"/>
      <c r="N329" s="1200">
        <v>2122</v>
      </c>
      <c r="O329" s="1858"/>
      <c r="P329" s="1858"/>
      <c r="Q329" s="1858"/>
      <c r="R329" s="1858"/>
      <c r="S329" s="1858"/>
      <c r="T329" s="1858"/>
      <c r="U329" s="1682">
        <v>2084.6</v>
      </c>
    </row>
    <row r="330" spans="1:25" x14ac:dyDescent="0.25">
      <c r="A330" s="1179"/>
      <c r="B330" s="1182" t="s">
        <v>457</v>
      </c>
      <c r="C330" s="1183"/>
      <c r="D330" s="409" t="s">
        <v>453</v>
      </c>
      <c r="E330" s="409" t="s">
        <v>456</v>
      </c>
      <c r="F330" s="409" t="s">
        <v>254</v>
      </c>
      <c r="G330" s="1662" t="s">
        <v>91</v>
      </c>
      <c r="H330" s="1682">
        <v>10</v>
      </c>
      <c r="I330" s="529"/>
      <c r="J330" s="269"/>
      <c r="K330" s="1858">
        <v>10</v>
      </c>
      <c r="L330" s="1858"/>
      <c r="M330" s="1858"/>
      <c r="N330" s="1200">
        <v>10</v>
      </c>
      <c r="O330" s="1858"/>
      <c r="P330" s="1858"/>
      <c r="Q330" s="1858"/>
      <c r="R330" s="1858"/>
      <c r="S330" s="1858"/>
      <c r="T330" s="1858"/>
      <c r="U330" s="1682">
        <v>10</v>
      </c>
    </row>
    <row r="331" spans="1:25" s="760" customFormat="1" ht="21" hidden="1" x14ac:dyDescent="0.3">
      <c r="A331" s="842"/>
      <c r="B331" s="1242" t="s">
        <v>499</v>
      </c>
      <c r="C331" s="1207"/>
      <c r="D331" s="408" t="s">
        <v>453</v>
      </c>
      <c r="E331" s="408" t="s">
        <v>456</v>
      </c>
      <c r="F331" s="408" t="s">
        <v>273</v>
      </c>
      <c r="G331" s="1661"/>
      <c r="H331" s="1683">
        <f>H332</f>
        <v>0</v>
      </c>
      <c r="I331" s="841"/>
      <c r="J331" s="276"/>
      <c r="K331" s="1858"/>
      <c r="L331" s="1860"/>
      <c r="M331" s="1860"/>
      <c r="N331" s="1208">
        <f>N332</f>
        <v>0</v>
      </c>
      <c r="O331" s="1860"/>
      <c r="P331" s="1860"/>
      <c r="Q331" s="1860"/>
      <c r="R331" s="1860"/>
      <c r="S331" s="1860"/>
      <c r="T331" s="1860"/>
      <c r="U331" s="1683">
        <f>U332</f>
        <v>0</v>
      </c>
    </row>
    <row r="332" spans="1:25" hidden="1" x14ac:dyDescent="0.25">
      <c r="A332" s="1179"/>
      <c r="B332" s="753" t="s">
        <v>109</v>
      </c>
      <c r="C332" s="1180"/>
      <c r="D332" s="409" t="s">
        <v>453</v>
      </c>
      <c r="E332" s="409" t="s">
        <v>456</v>
      </c>
      <c r="F332" s="409" t="s">
        <v>260</v>
      </c>
      <c r="G332" s="1662"/>
      <c r="H332" s="1682">
        <f>H333</f>
        <v>0</v>
      </c>
      <c r="I332" s="529">
        <f>I333</f>
        <v>0</v>
      </c>
      <c r="J332" s="269">
        <f>J333</f>
        <v>0</v>
      </c>
      <c r="K332" s="1858"/>
      <c r="L332" s="1858"/>
      <c r="M332" s="1858"/>
      <c r="N332" s="1200">
        <f>N333</f>
        <v>0</v>
      </c>
      <c r="O332" s="1858"/>
      <c r="P332" s="1858"/>
      <c r="Q332" s="1858"/>
      <c r="R332" s="1858"/>
      <c r="S332" s="1858"/>
      <c r="T332" s="1858"/>
      <c r="U332" s="1682">
        <f>U333</f>
        <v>0</v>
      </c>
    </row>
    <row r="333" spans="1:25" hidden="1" x14ac:dyDescent="0.25">
      <c r="A333" s="1179"/>
      <c r="B333" s="1205" t="s">
        <v>109</v>
      </c>
      <c r="C333" s="1180"/>
      <c r="D333" s="409" t="s">
        <v>453</v>
      </c>
      <c r="E333" s="409" t="s">
        <v>456</v>
      </c>
      <c r="F333" s="409" t="s">
        <v>258</v>
      </c>
      <c r="G333" s="1662"/>
      <c r="H333" s="1682"/>
      <c r="I333" s="529"/>
      <c r="J333" s="269"/>
      <c r="K333" s="1858"/>
      <c r="L333" s="1858"/>
      <c r="M333" s="1858"/>
      <c r="N333" s="1200"/>
      <c r="O333" s="1858"/>
      <c r="P333" s="1858"/>
      <c r="Q333" s="1858"/>
      <c r="R333" s="1858"/>
      <c r="S333" s="1858"/>
      <c r="T333" s="1858"/>
      <c r="U333" s="1682"/>
    </row>
    <row r="334" spans="1:25" hidden="1" x14ac:dyDescent="0.25">
      <c r="A334" s="1179"/>
      <c r="B334" s="1205" t="s">
        <v>830</v>
      </c>
      <c r="C334" s="1180"/>
      <c r="D334" s="409" t="s">
        <v>453</v>
      </c>
      <c r="E334" s="409" t="s">
        <v>456</v>
      </c>
      <c r="F334" s="409" t="s">
        <v>831</v>
      </c>
      <c r="G334" s="1662"/>
      <c r="H334" s="1682">
        <f>H335</f>
        <v>0</v>
      </c>
      <c r="I334" s="529">
        <f>I335+I340</f>
        <v>0</v>
      </c>
      <c r="J334" s="269">
        <f>J335+J340</f>
        <v>0</v>
      </c>
      <c r="K334" s="1858"/>
      <c r="L334" s="1858"/>
      <c r="M334" s="1858"/>
      <c r="N334" s="1200">
        <f>N335</f>
        <v>0</v>
      </c>
      <c r="O334" s="1858"/>
      <c r="P334" s="1858"/>
      <c r="Q334" s="1858"/>
      <c r="R334" s="1858"/>
      <c r="S334" s="1858"/>
      <c r="T334" s="1858"/>
      <c r="U334" s="1682">
        <f>U335</f>
        <v>0</v>
      </c>
    </row>
    <row r="335" spans="1:25" hidden="1" x14ac:dyDescent="0.25">
      <c r="A335" s="1179"/>
      <c r="B335" s="1197" t="s">
        <v>841</v>
      </c>
      <c r="C335" s="1180"/>
      <c r="D335" s="409" t="s">
        <v>453</v>
      </c>
      <c r="E335" s="409" t="s">
        <v>456</v>
      </c>
      <c r="F335" s="409" t="s">
        <v>831</v>
      </c>
      <c r="G335" s="1662" t="s">
        <v>255</v>
      </c>
      <c r="H335" s="1682"/>
      <c r="I335" s="529">
        <f>I338</f>
        <v>0</v>
      </c>
      <c r="J335" s="269">
        <f>J338</f>
        <v>0</v>
      </c>
      <c r="K335" s="1858">
        <v>976.8</v>
      </c>
      <c r="L335" s="1858"/>
      <c r="M335" s="1858"/>
      <c r="N335" s="1200"/>
      <c r="O335" s="1858"/>
      <c r="P335" s="1858"/>
      <c r="Q335" s="1858"/>
      <c r="R335" s="1858"/>
      <c r="S335" s="1858"/>
      <c r="T335" s="1858"/>
      <c r="U335" s="1682"/>
    </row>
    <row r="336" spans="1:25" x14ac:dyDescent="0.25">
      <c r="A336" s="1179"/>
      <c r="B336" s="1205" t="s">
        <v>830</v>
      </c>
      <c r="C336" s="1180"/>
      <c r="D336" s="409" t="s">
        <v>453</v>
      </c>
      <c r="E336" s="409" t="s">
        <v>456</v>
      </c>
      <c r="F336" s="409" t="s">
        <v>970</v>
      </c>
      <c r="G336" s="1662"/>
      <c r="H336" s="1682">
        <f>H337</f>
        <v>2666.2</v>
      </c>
      <c r="I336" s="529"/>
      <c r="J336" s="269"/>
      <c r="K336" s="1858"/>
      <c r="L336" s="1858"/>
      <c r="M336" s="1858"/>
      <c r="N336" s="1200">
        <f>N337</f>
        <v>2666.2</v>
      </c>
      <c r="O336" s="1858"/>
      <c r="P336" s="1858"/>
      <c r="Q336" s="1858"/>
      <c r="R336" s="1858"/>
      <c r="S336" s="1858"/>
      <c r="T336" s="1858"/>
      <c r="U336" s="1682">
        <f>U337</f>
        <v>2666.2</v>
      </c>
      <c r="V336" s="1861">
        <v>2666.2</v>
      </c>
      <c r="W336" s="1861">
        <v>2666.2</v>
      </c>
      <c r="X336" s="1861">
        <v>2666.2</v>
      </c>
      <c r="Y336" s="239" t="s">
        <v>444</v>
      </c>
    </row>
    <row r="337" spans="1:24" x14ac:dyDescent="0.25">
      <c r="A337" s="1179"/>
      <c r="B337" s="1197" t="s">
        <v>841</v>
      </c>
      <c r="C337" s="1180"/>
      <c r="D337" s="409" t="s">
        <v>453</v>
      </c>
      <c r="E337" s="409" t="s">
        <v>456</v>
      </c>
      <c r="F337" s="409" t="s">
        <v>970</v>
      </c>
      <c r="G337" s="1662" t="s">
        <v>255</v>
      </c>
      <c r="H337" s="1682">
        <f>1333.1+1333.1</f>
        <v>2666.2</v>
      </c>
      <c r="I337" s="529"/>
      <c r="J337" s="269"/>
      <c r="K337" s="1858">
        <v>976.8</v>
      </c>
      <c r="L337" s="1858"/>
      <c r="M337" s="1858"/>
      <c r="N337" s="1682">
        <f>1333.1+1333.1</f>
        <v>2666.2</v>
      </c>
      <c r="O337" s="1858"/>
      <c r="P337" s="1858"/>
      <c r="Q337" s="1858"/>
      <c r="R337" s="1858"/>
      <c r="S337" s="1858"/>
      <c r="T337" s="1858"/>
      <c r="U337" s="1682">
        <f>1333.1+1333.1</f>
        <v>2666.2</v>
      </c>
      <c r="V337" s="1861">
        <v>2666.2</v>
      </c>
      <c r="W337" s="1861">
        <v>2666.2</v>
      </c>
      <c r="X337" s="1861">
        <v>2666.2</v>
      </c>
    </row>
    <row r="338" spans="1:24" s="760" customFormat="1" ht="13" x14ac:dyDescent="0.3">
      <c r="A338" s="842"/>
      <c r="B338" s="1252" t="s">
        <v>244</v>
      </c>
      <c r="C338" s="1177"/>
      <c r="D338" s="408" t="s">
        <v>453</v>
      </c>
      <c r="E338" s="408" t="s">
        <v>452</v>
      </c>
      <c r="F338" s="408"/>
      <c r="G338" s="1661"/>
      <c r="H338" s="1683">
        <f>H339</f>
        <v>3613.7040000000002</v>
      </c>
      <c r="I338" s="841">
        <f>I339</f>
        <v>0</v>
      </c>
      <c r="J338" s="276">
        <f>J339</f>
        <v>0</v>
      </c>
      <c r="K338" s="1860"/>
      <c r="L338" s="1860"/>
      <c r="M338" s="1860"/>
      <c r="N338" s="1208">
        <f>N339</f>
        <v>3017.4</v>
      </c>
      <c r="O338" s="1860"/>
      <c r="P338" s="1860"/>
      <c r="Q338" s="1860"/>
      <c r="R338" s="1860"/>
      <c r="S338" s="1860"/>
      <c r="T338" s="1860"/>
      <c r="U338" s="1683">
        <f>U339</f>
        <v>3338</v>
      </c>
    </row>
    <row r="339" spans="1:24" ht="21" x14ac:dyDescent="0.25">
      <c r="A339" s="1179"/>
      <c r="B339" s="1242" t="s">
        <v>933</v>
      </c>
      <c r="C339" s="1183"/>
      <c r="D339" s="409" t="s">
        <v>453</v>
      </c>
      <c r="E339" s="409" t="s">
        <v>452</v>
      </c>
      <c r="F339" s="409" t="s">
        <v>273</v>
      </c>
      <c r="G339" s="1662"/>
      <c r="H339" s="1682">
        <f>H340</f>
        <v>3613.7040000000002</v>
      </c>
      <c r="I339" s="529"/>
      <c r="J339" s="269"/>
      <c r="K339" s="1858"/>
      <c r="L339" s="1858"/>
      <c r="M339" s="1858"/>
      <c r="N339" s="1200">
        <f>N340</f>
        <v>3017.4</v>
      </c>
      <c r="O339" s="1858"/>
      <c r="P339" s="1858"/>
      <c r="Q339" s="1858"/>
      <c r="R339" s="1858"/>
      <c r="S339" s="1858"/>
      <c r="T339" s="1858"/>
      <c r="U339" s="1682">
        <f>U340</f>
        <v>3338</v>
      </c>
    </row>
    <row r="340" spans="1:24" x14ac:dyDescent="0.25">
      <c r="A340" s="1179"/>
      <c r="B340" s="753" t="s">
        <v>836</v>
      </c>
      <c r="C340" s="1183"/>
      <c r="D340" s="409" t="s">
        <v>453</v>
      </c>
      <c r="E340" s="409" t="s">
        <v>452</v>
      </c>
      <c r="F340" s="409" t="s">
        <v>251</v>
      </c>
      <c r="G340" s="1662"/>
      <c r="H340" s="1682">
        <f>H341</f>
        <v>3613.7040000000002</v>
      </c>
      <c r="I340" s="529">
        <f>I341+I343</f>
        <v>0</v>
      </c>
      <c r="J340" s="269">
        <f>J341+J343</f>
        <v>0</v>
      </c>
      <c r="K340" s="1858"/>
      <c r="L340" s="1858"/>
      <c r="M340" s="1858"/>
      <c r="N340" s="1200">
        <f>N341</f>
        <v>3017.4</v>
      </c>
      <c r="O340" s="1858"/>
      <c r="P340" s="1858"/>
      <c r="Q340" s="1858"/>
      <c r="R340" s="1858"/>
      <c r="S340" s="1858"/>
      <c r="T340" s="1858"/>
      <c r="U340" s="1682">
        <f>U341</f>
        <v>3338</v>
      </c>
    </row>
    <row r="341" spans="1:24" x14ac:dyDescent="0.25">
      <c r="A341" s="1179"/>
      <c r="B341" s="753" t="s">
        <v>250</v>
      </c>
      <c r="C341" s="1180"/>
      <c r="D341" s="409" t="s">
        <v>453</v>
      </c>
      <c r="E341" s="409" t="s">
        <v>452</v>
      </c>
      <c r="F341" s="409" t="s">
        <v>249</v>
      </c>
      <c r="G341" s="1662"/>
      <c r="H341" s="1682">
        <f>H342</f>
        <v>3613.7040000000002</v>
      </c>
      <c r="I341" s="529">
        <f>I342</f>
        <v>0</v>
      </c>
      <c r="J341" s="269">
        <f>J342</f>
        <v>0</v>
      </c>
      <c r="K341" s="1858"/>
      <c r="L341" s="1858"/>
      <c r="M341" s="1858"/>
      <c r="N341" s="1200">
        <f>N342</f>
        <v>3017.4</v>
      </c>
      <c r="O341" s="1858"/>
      <c r="P341" s="1858"/>
      <c r="Q341" s="1858"/>
      <c r="R341" s="1858"/>
      <c r="S341" s="1858"/>
      <c r="T341" s="1858"/>
      <c r="U341" s="1682">
        <f>U342</f>
        <v>3338</v>
      </c>
    </row>
    <row r="342" spans="1:24" x14ac:dyDescent="0.25">
      <c r="A342" s="1179"/>
      <c r="B342" s="1242" t="s">
        <v>248</v>
      </c>
      <c r="C342" s="1183"/>
      <c r="D342" s="409" t="s">
        <v>453</v>
      </c>
      <c r="E342" s="409" t="s">
        <v>452</v>
      </c>
      <c r="F342" s="409" t="s">
        <v>243</v>
      </c>
      <c r="G342" s="1662"/>
      <c r="H342" s="1682">
        <f>H343</f>
        <v>3613.7040000000002</v>
      </c>
      <c r="I342" s="529">
        <v>0</v>
      </c>
      <c r="J342" s="269">
        <v>0</v>
      </c>
      <c r="K342" s="1858"/>
      <c r="L342" s="1858"/>
      <c r="M342" s="1858"/>
      <c r="N342" s="1200">
        <f>N343</f>
        <v>3017.4</v>
      </c>
      <c r="O342" s="1858"/>
      <c r="P342" s="1858"/>
      <c r="Q342" s="1858"/>
      <c r="R342" s="1858"/>
      <c r="S342" s="1858"/>
      <c r="T342" s="1858"/>
      <c r="U342" s="1682">
        <f>U343</f>
        <v>3338</v>
      </c>
    </row>
    <row r="343" spans="1:24" x14ac:dyDescent="0.25">
      <c r="A343" s="1179"/>
      <c r="B343" s="753" t="s">
        <v>454</v>
      </c>
      <c r="C343" s="1180"/>
      <c r="D343" s="409" t="s">
        <v>453</v>
      </c>
      <c r="E343" s="409" t="s">
        <v>452</v>
      </c>
      <c r="F343" s="409" t="s">
        <v>243</v>
      </c>
      <c r="G343" s="1662" t="s">
        <v>1</v>
      </c>
      <c r="H343" s="1682">
        <f>3033.704+500+80</f>
        <v>3613.7040000000002</v>
      </c>
      <c r="I343" s="529">
        <f>I344</f>
        <v>0</v>
      </c>
      <c r="J343" s="269">
        <f>J344</f>
        <v>0</v>
      </c>
      <c r="K343" s="1858">
        <f>4010.504-976.8</f>
        <v>3033.7039999999997</v>
      </c>
      <c r="L343" s="1858"/>
      <c r="M343" s="1858"/>
      <c r="N343" s="1200">
        <v>3017.4</v>
      </c>
      <c r="O343" s="1858"/>
      <c r="P343" s="1858"/>
      <c r="Q343" s="1858"/>
      <c r="R343" s="1858"/>
      <c r="S343" s="1858"/>
      <c r="T343" s="1858"/>
      <c r="U343" s="1682">
        <v>3338</v>
      </c>
    </row>
    <row r="344" spans="1:24" ht="21" hidden="1" x14ac:dyDescent="0.25">
      <c r="A344" s="1179"/>
      <c r="B344" s="1182" t="s">
        <v>454</v>
      </c>
      <c r="C344" s="1183"/>
      <c r="D344" s="409" t="s">
        <v>453</v>
      </c>
      <c r="E344" s="409" t="s">
        <v>452</v>
      </c>
      <c r="F344" s="409" t="s">
        <v>500</v>
      </c>
      <c r="G344" s="1662" t="s">
        <v>26</v>
      </c>
      <c r="H344" s="1682"/>
      <c r="I344" s="529"/>
      <c r="J344" s="269"/>
      <c r="K344" s="1858"/>
      <c r="L344" s="1858"/>
      <c r="M344" s="1858"/>
      <c r="N344" s="1200"/>
      <c r="O344" s="1858"/>
      <c r="P344" s="1858"/>
      <c r="Q344" s="1858"/>
      <c r="R344" s="1858"/>
      <c r="S344" s="1858"/>
      <c r="T344" s="1858"/>
      <c r="U344" s="1682"/>
    </row>
    <row r="345" spans="1:24" x14ac:dyDescent="0.25">
      <c r="A345" s="1179"/>
      <c r="B345" s="1184" t="s">
        <v>334</v>
      </c>
      <c r="C345" s="1177"/>
      <c r="D345" s="408" t="s">
        <v>496</v>
      </c>
      <c r="E345" s="408" t="s">
        <v>459</v>
      </c>
      <c r="F345" s="408"/>
      <c r="G345" s="1661"/>
      <c r="H345" s="1683">
        <f>H346+H352</f>
        <v>710.16499999999996</v>
      </c>
      <c r="I345" s="841">
        <f>I346+I352</f>
        <v>1117.1999999999998</v>
      </c>
      <c r="J345" s="277">
        <f>J346+J352</f>
        <v>1195.4000000000001</v>
      </c>
      <c r="K345" s="1858"/>
      <c r="L345" s="1858"/>
      <c r="M345" s="1858"/>
      <c r="N345" s="1208">
        <f>N346+N352</f>
        <v>639.61699999999996</v>
      </c>
      <c r="O345" s="1858"/>
      <c r="P345" s="1858"/>
      <c r="Q345" s="1858"/>
      <c r="R345" s="1858"/>
      <c r="S345" s="1858"/>
      <c r="T345" s="1858"/>
      <c r="U345" s="1683">
        <f>U346+U352</f>
        <v>665.20100000000002</v>
      </c>
    </row>
    <row r="346" spans="1:24" x14ac:dyDescent="0.25">
      <c r="A346" s="1179"/>
      <c r="B346" s="1184" t="s">
        <v>79</v>
      </c>
      <c r="C346" s="1177"/>
      <c r="D346" s="408" t="s">
        <v>496</v>
      </c>
      <c r="E346" s="408" t="s">
        <v>456</v>
      </c>
      <c r="F346" s="408"/>
      <c r="G346" s="1661"/>
      <c r="H346" s="1683">
        <f t="shared" ref="H346:J350" si="49">H347</f>
        <v>710.16499999999996</v>
      </c>
      <c r="I346" s="841">
        <f t="shared" si="49"/>
        <v>531.38</v>
      </c>
      <c r="J346" s="277">
        <f t="shared" si="49"/>
        <v>584.51300000000003</v>
      </c>
      <c r="K346" s="1862">
        <v>615.01599999999996</v>
      </c>
      <c r="L346" s="1858"/>
      <c r="M346" s="1858"/>
      <c r="N346" s="1208">
        <f t="shared" ref="N346:N350" si="50">N347</f>
        <v>639.61699999999996</v>
      </c>
      <c r="O346" s="1858"/>
      <c r="P346" s="1858"/>
      <c r="Q346" s="1858"/>
      <c r="R346" s="1858"/>
      <c r="S346" s="1858"/>
      <c r="T346" s="1858"/>
      <c r="U346" s="1683">
        <f t="shared" ref="U346:U350" si="51">U347</f>
        <v>665.20100000000002</v>
      </c>
    </row>
    <row r="347" spans="1:24" ht="21" x14ac:dyDescent="0.25">
      <c r="A347" s="1179"/>
      <c r="B347" s="753" t="s">
        <v>499</v>
      </c>
      <c r="C347" s="1177"/>
      <c r="D347" s="409" t="s">
        <v>496</v>
      </c>
      <c r="E347" s="409" t="s">
        <v>456</v>
      </c>
      <c r="F347" s="409" t="s">
        <v>89</v>
      </c>
      <c r="G347" s="1661"/>
      <c r="H347" s="1683">
        <f t="shared" si="49"/>
        <v>710.16499999999996</v>
      </c>
      <c r="I347" s="841">
        <f t="shared" si="49"/>
        <v>531.38</v>
      </c>
      <c r="J347" s="277">
        <f t="shared" si="49"/>
        <v>584.51300000000003</v>
      </c>
      <c r="K347" s="1858"/>
      <c r="L347" s="1858"/>
      <c r="M347" s="1858"/>
      <c r="N347" s="1208">
        <f t="shared" si="50"/>
        <v>639.61699999999996</v>
      </c>
      <c r="O347" s="1858"/>
      <c r="P347" s="1858"/>
      <c r="Q347" s="1858"/>
      <c r="R347" s="1858"/>
      <c r="S347" s="1858"/>
      <c r="T347" s="1858"/>
      <c r="U347" s="1683">
        <f t="shared" si="51"/>
        <v>665.20100000000002</v>
      </c>
    </row>
    <row r="348" spans="1:24" x14ac:dyDescent="0.25">
      <c r="A348" s="1179"/>
      <c r="B348" s="753" t="s">
        <v>109</v>
      </c>
      <c r="C348" s="1180"/>
      <c r="D348" s="409" t="s">
        <v>496</v>
      </c>
      <c r="E348" s="409" t="s">
        <v>456</v>
      </c>
      <c r="F348" s="409" t="s">
        <v>84</v>
      </c>
      <c r="G348" s="1662"/>
      <c r="H348" s="1682">
        <f t="shared" si="49"/>
        <v>710.16499999999996</v>
      </c>
      <c r="I348" s="529">
        <f t="shared" si="49"/>
        <v>531.38</v>
      </c>
      <c r="J348" s="270">
        <f t="shared" si="49"/>
        <v>584.51300000000003</v>
      </c>
      <c r="K348" s="1858"/>
      <c r="L348" s="1858"/>
      <c r="M348" s="1858"/>
      <c r="N348" s="1200">
        <f t="shared" si="50"/>
        <v>639.61699999999996</v>
      </c>
      <c r="O348" s="1858"/>
      <c r="P348" s="1858"/>
      <c r="Q348" s="1858"/>
      <c r="R348" s="1858"/>
      <c r="S348" s="1858"/>
      <c r="T348" s="1858"/>
      <c r="U348" s="1682">
        <f t="shared" si="51"/>
        <v>665.20100000000002</v>
      </c>
    </row>
    <row r="349" spans="1:24" x14ac:dyDescent="0.25">
      <c r="A349" s="1179"/>
      <c r="B349" s="753" t="s">
        <v>109</v>
      </c>
      <c r="C349" s="1180"/>
      <c r="D349" s="409" t="s">
        <v>496</v>
      </c>
      <c r="E349" s="409" t="s">
        <v>456</v>
      </c>
      <c r="F349" s="409" t="s">
        <v>82</v>
      </c>
      <c r="G349" s="1662"/>
      <c r="H349" s="1682">
        <f t="shared" si="49"/>
        <v>710.16499999999996</v>
      </c>
      <c r="I349" s="529">
        <f t="shared" si="49"/>
        <v>531.38</v>
      </c>
      <c r="J349" s="270">
        <f t="shared" si="49"/>
        <v>584.51300000000003</v>
      </c>
      <c r="K349" s="1858"/>
      <c r="L349" s="1858"/>
      <c r="M349" s="1858"/>
      <c r="N349" s="1200">
        <f t="shared" si="50"/>
        <v>639.61699999999996</v>
      </c>
      <c r="O349" s="1858"/>
      <c r="P349" s="1858"/>
      <c r="Q349" s="1858"/>
      <c r="R349" s="1858"/>
      <c r="S349" s="1858"/>
      <c r="T349" s="1858"/>
      <c r="U349" s="1682">
        <f t="shared" si="51"/>
        <v>665.20100000000002</v>
      </c>
    </row>
    <row r="350" spans="1:24" x14ac:dyDescent="0.25">
      <c r="A350" s="1179"/>
      <c r="B350" s="753" t="s">
        <v>81</v>
      </c>
      <c r="C350" s="1180"/>
      <c r="D350" s="409" t="s">
        <v>496</v>
      </c>
      <c r="E350" s="409" t="s">
        <v>456</v>
      </c>
      <c r="F350" s="409" t="s">
        <v>78</v>
      </c>
      <c r="G350" s="1662"/>
      <c r="H350" s="1682">
        <f t="shared" si="49"/>
        <v>710.16499999999996</v>
      </c>
      <c r="I350" s="529">
        <f t="shared" si="49"/>
        <v>531.38</v>
      </c>
      <c r="J350" s="270">
        <f t="shared" si="49"/>
        <v>584.51300000000003</v>
      </c>
      <c r="K350" s="1858"/>
      <c r="L350" s="1858"/>
      <c r="M350" s="1858"/>
      <c r="N350" s="1200">
        <f t="shared" si="50"/>
        <v>639.61699999999996</v>
      </c>
      <c r="O350" s="1858"/>
      <c r="P350" s="1858"/>
      <c r="Q350" s="1858"/>
      <c r="R350" s="1858"/>
      <c r="S350" s="1858"/>
      <c r="T350" s="1858"/>
      <c r="U350" s="1682">
        <f t="shared" si="51"/>
        <v>665.20100000000002</v>
      </c>
    </row>
    <row r="351" spans="1:24" x14ac:dyDescent="0.25">
      <c r="A351" s="1179"/>
      <c r="B351" s="1236" t="s">
        <v>497</v>
      </c>
      <c r="C351" s="1183"/>
      <c r="D351" s="409" t="s">
        <v>496</v>
      </c>
      <c r="E351" s="409" t="s">
        <v>456</v>
      </c>
      <c r="F351" s="409" t="s">
        <v>78</v>
      </c>
      <c r="G351" s="1662" t="s">
        <v>77</v>
      </c>
      <c r="H351" s="1682">
        <f>615.016+95.149</f>
        <v>710.16499999999996</v>
      </c>
      <c r="I351" s="529">
        <v>531.38</v>
      </c>
      <c r="J351" s="269">
        <v>584.51300000000003</v>
      </c>
      <c r="K351" s="1858"/>
      <c r="L351" s="1858"/>
      <c r="M351" s="1858"/>
      <c r="N351" s="1200">
        <v>639.61699999999996</v>
      </c>
      <c r="O351" s="1858"/>
      <c r="P351" s="1858"/>
      <c r="Q351" s="1858"/>
      <c r="R351" s="1858"/>
      <c r="S351" s="1858"/>
      <c r="T351" s="1858"/>
      <c r="U351" s="1682">
        <v>665.20100000000002</v>
      </c>
    </row>
    <row r="352" spans="1:24" hidden="1" x14ac:dyDescent="0.25">
      <c r="A352" s="1179"/>
      <c r="B352" s="1184" t="s">
        <v>45</v>
      </c>
      <c r="C352" s="1177"/>
      <c r="D352" s="408" t="s">
        <v>496</v>
      </c>
      <c r="E352" s="408" t="s">
        <v>495</v>
      </c>
      <c r="F352" s="408"/>
      <c r="G352" s="1661"/>
      <c r="H352" s="1683">
        <f t="shared" ref="H352:J355" si="52">H353</f>
        <v>0</v>
      </c>
      <c r="I352" s="841">
        <f t="shared" si="52"/>
        <v>585.81999999999994</v>
      </c>
      <c r="J352" s="277">
        <f t="shared" si="52"/>
        <v>610.88699999999994</v>
      </c>
      <c r="K352" s="1858"/>
      <c r="L352" s="1858"/>
      <c r="M352" s="1858"/>
      <c r="N352" s="1208">
        <f t="shared" ref="N352:N355" si="53">N353</f>
        <v>0</v>
      </c>
      <c r="O352" s="1858"/>
      <c r="P352" s="1858"/>
      <c r="Q352" s="1858"/>
      <c r="R352" s="1858"/>
      <c r="S352" s="1858"/>
      <c r="T352" s="1858"/>
      <c r="U352" s="1683">
        <f t="shared" ref="U352:U355" si="54">U353</f>
        <v>0</v>
      </c>
    </row>
    <row r="353" spans="1:21" ht="31.5" hidden="1" x14ac:dyDescent="0.25">
      <c r="A353" s="1179"/>
      <c r="B353" s="1203" t="s">
        <v>861</v>
      </c>
      <c r="C353" s="1177"/>
      <c r="D353" s="408" t="s">
        <v>496</v>
      </c>
      <c r="E353" s="408" t="s">
        <v>495</v>
      </c>
      <c r="F353" s="408" t="s">
        <v>468</v>
      </c>
      <c r="G353" s="1661"/>
      <c r="H353" s="1683">
        <f>H354+H358</f>
        <v>0</v>
      </c>
      <c r="I353" s="841">
        <f t="shared" si="52"/>
        <v>585.81999999999994</v>
      </c>
      <c r="J353" s="277">
        <f t="shared" si="52"/>
        <v>610.88699999999994</v>
      </c>
      <c r="K353" s="1858"/>
      <c r="L353" s="1858"/>
      <c r="M353" s="1858"/>
      <c r="N353" s="1208">
        <f>N354+N358</f>
        <v>0</v>
      </c>
      <c r="O353" s="1858"/>
      <c r="P353" s="1858"/>
      <c r="Q353" s="1858"/>
      <c r="R353" s="1858"/>
      <c r="S353" s="1858"/>
      <c r="T353" s="1858"/>
      <c r="U353" s="1683">
        <f>U354+U358</f>
        <v>0</v>
      </c>
    </row>
    <row r="354" spans="1:21" hidden="1" x14ac:dyDescent="0.25">
      <c r="A354" s="1179"/>
      <c r="B354" s="1203" t="s">
        <v>849</v>
      </c>
      <c r="C354" s="1180"/>
      <c r="D354" s="409" t="s">
        <v>496</v>
      </c>
      <c r="E354" s="409" t="s">
        <v>495</v>
      </c>
      <c r="F354" s="409" t="s">
        <v>854</v>
      </c>
      <c r="G354" s="1662"/>
      <c r="H354" s="1682">
        <f t="shared" si="52"/>
        <v>0</v>
      </c>
      <c r="I354" s="529">
        <f t="shared" si="52"/>
        <v>585.81999999999994</v>
      </c>
      <c r="J354" s="270">
        <f t="shared" si="52"/>
        <v>610.88699999999994</v>
      </c>
      <c r="K354" s="1858"/>
      <c r="L354" s="1858"/>
      <c r="M354" s="1858"/>
      <c r="N354" s="1200">
        <f t="shared" si="53"/>
        <v>0</v>
      </c>
      <c r="O354" s="1858"/>
      <c r="P354" s="1858"/>
      <c r="Q354" s="1858"/>
      <c r="R354" s="1858"/>
      <c r="S354" s="1858"/>
      <c r="T354" s="1858"/>
      <c r="U354" s="1682">
        <f t="shared" si="54"/>
        <v>0</v>
      </c>
    </row>
    <row r="355" spans="1:21" hidden="1" x14ac:dyDescent="0.25">
      <c r="A355" s="1179"/>
      <c r="B355" s="1203" t="s">
        <v>850</v>
      </c>
      <c r="C355" s="1180"/>
      <c r="D355" s="409" t="s">
        <v>496</v>
      </c>
      <c r="E355" s="409" t="s">
        <v>495</v>
      </c>
      <c r="F355" s="409" t="s">
        <v>855</v>
      </c>
      <c r="G355" s="1662"/>
      <c r="H355" s="1682">
        <f t="shared" si="52"/>
        <v>0</v>
      </c>
      <c r="I355" s="529">
        <f t="shared" si="52"/>
        <v>585.81999999999994</v>
      </c>
      <c r="J355" s="270">
        <f t="shared" si="52"/>
        <v>610.88699999999994</v>
      </c>
      <c r="K355" s="1858"/>
      <c r="L355" s="1858"/>
      <c r="M355" s="1858"/>
      <c r="N355" s="1200">
        <f t="shared" si="53"/>
        <v>0</v>
      </c>
      <c r="O355" s="1858"/>
      <c r="P355" s="1858"/>
      <c r="Q355" s="1858"/>
      <c r="R355" s="1858"/>
      <c r="S355" s="1858"/>
      <c r="T355" s="1858"/>
      <c r="U355" s="1682">
        <f t="shared" si="54"/>
        <v>0</v>
      </c>
    </row>
    <row r="356" spans="1:21" ht="35.25" hidden="1" customHeight="1" x14ac:dyDescent="0.25">
      <c r="A356" s="1179"/>
      <c r="B356" s="1232" t="s">
        <v>851</v>
      </c>
      <c r="C356" s="1180"/>
      <c r="D356" s="409" t="s">
        <v>496</v>
      </c>
      <c r="E356" s="409" t="s">
        <v>495</v>
      </c>
      <c r="F356" s="1864" t="s">
        <v>856</v>
      </c>
      <c r="G356" s="1662"/>
      <c r="H356" s="1682">
        <f>H357</f>
        <v>0</v>
      </c>
      <c r="I356" s="529">
        <f>I357+I361+I362</f>
        <v>585.81999999999994</v>
      </c>
      <c r="J356" s="270">
        <f>J357+J361+J362</f>
        <v>610.88699999999994</v>
      </c>
      <c r="K356" s="1858"/>
      <c r="L356" s="1858"/>
      <c r="M356" s="1858"/>
      <c r="N356" s="1200">
        <f>N357</f>
        <v>0</v>
      </c>
      <c r="O356" s="1858"/>
      <c r="P356" s="1858"/>
      <c r="Q356" s="1858"/>
      <c r="R356" s="1858"/>
      <c r="S356" s="1858"/>
      <c r="T356" s="1858"/>
      <c r="U356" s="1682">
        <f>U357</f>
        <v>0</v>
      </c>
    </row>
    <row r="357" spans="1:21" hidden="1" x14ac:dyDescent="0.25">
      <c r="A357" s="1179"/>
      <c r="B357" s="1236" t="s">
        <v>497</v>
      </c>
      <c r="C357" s="1183"/>
      <c r="D357" s="409" t="s">
        <v>496</v>
      </c>
      <c r="E357" s="409" t="s">
        <v>495</v>
      </c>
      <c r="F357" s="1864" t="s">
        <v>856</v>
      </c>
      <c r="G357" s="1662" t="s">
        <v>77</v>
      </c>
      <c r="H357" s="1865"/>
      <c r="I357" s="529">
        <v>31.3</v>
      </c>
      <c r="J357" s="269">
        <v>34.43</v>
      </c>
      <c r="K357" s="1858"/>
      <c r="L357" s="1858"/>
      <c r="M357" s="1858"/>
      <c r="N357" s="1866">
        <v>0</v>
      </c>
      <c r="O357" s="1858"/>
      <c r="P357" s="1858"/>
      <c r="Q357" s="1858"/>
      <c r="R357" s="1858"/>
      <c r="S357" s="1858"/>
      <c r="T357" s="1858"/>
      <c r="U357" s="1865">
        <v>0</v>
      </c>
    </row>
    <row r="358" spans="1:21" ht="21" hidden="1" x14ac:dyDescent="0.25">
      <c r="A358" s="1179"/>
      <c r="B358" s="1203" t="s">
        <v>853</v>
      </c>
      <c r="C358" s="1183"/>
      <c r="D358" s="409" t="s">
        <v>496</v>
      </c>
      <c r="E358" s="409" t="s">
        <v>495</v>
      </c>
      <c r="F358" s="1864" t="s">
        <v>857</v>
      </c>
      <c r="G358" s="1662"/>
      <c r="H358" s="1865">
        <f>H359</f>
        <v>0</v>
      </c>
      <c r="I358" s="529"/>
      <c r="J358" s="269"/>
      <c r="K358" s="1858"/>
      <c r="L358" s="1858"/>
      <c r="M358" s="1858"/>
      <c r="N358" s="1866">
        <f>N359</f>
        <v>0</v>
      </c>
      <c r="O358" s="1858"/>
      <c r="P358" s="1858"/>
      <c r="Q358" s="1858"/>
      <c r="R358" s="1858"/>
      <c r="S358" s="1858"/>
      <c r="T358" s="1858"/>
      <c r="U358" s="1865">
        <f>U359</f>
        <v>0</v>
      </c>
    </row>
    <row r="359" spans="1:21" hidden="1" x14ac:dyDescent="0.25">
      <c r="A359" s="1179"/>
      <c r="B359" s="1203" t="s">
        <v>850</v>
      </c>
      <c r="C359" s="1183"/>
      <c r="D359" s="409" t="s">
        <v>496</v>
      </c>
      <c r="E359" s="409" t="s">
        <v>495</v>
      </c>
      <c r="F359" s="409" t="s">
        <v>858</v>
      </c>
      <c r="G359" s="1662"/>
      <c r="H359" s="1865">
        <f>H360</f>
        <v>0</v>
      </c>
      <c r="I359" s="529"/>
      <c r="J359" s="269"/>
      <c r="K359" s="1858"/>
      <c r="L359" s="1858"/>
      <c r="M359" s="1858"/>
      <c r="N359" s="1866">
        <f>N360</f>
        <v>0</v>
      </c>
      <c r="O359" s="1858"/>
      <c r="P359" s="1858"/>
      <c r="Q359" s="1858"/>
      <c r="R359" s="1858"/>
      <c r="S359" s="1858"/>
      <c r="T359" s="1858"/>
      <c r="U359" s="1865">
        <f>U360</f>
        <v>0</v>
      </c>
    </row>
    <row r="360" spans="1:21" ht="31.5" hidden="1" x14ac:dyDescent="0.25">
      <c r="A360" s="1179"/>
      <c r="B360" s="1203" t="s">
        <v>851</v>
      </c>
      <c r="C360" s="1183"/>
      <c r="D360" s="409" t="s">
        <v>496</v>
      </c>
      <c r="E360" s="409" t="s">
        <v>495</v>
      </c>
      <c r="F360" s="1864" t="s">
        <v>859</v>
      </c>
      <c r="G360" s="1662"/>
      <c r="H360" s="1865">
        <f>H361</f>
        <v>0</v>
      </c>
      <c r="I360" s="529"/>
      <c r="J360" s="269"/>
      <c r="K360" s="1858"/>
      <c r="L360" s="1858"/>
      <c r="M360" s="1858"/>
      <c r="N360" s="1866">
        <f>N361</f>
        <v>0</v>
      </c>
      <c r="O360" s="1858"/>
      <c r="P360" s="1858"/>
      <c r="Q360" s="1858"/>
      <c r="R360" s="1858"/>
      <c r="S360" s="1858"/>
      <c r="T360" s="1858"/>
      <c r="U360" s="1865">
        <f>U361</f>
        <v>0</v>
      </c>
    </row>
    <row r="361" spans="1:21" hidden="1" x14ac:dyDescent="0.25">
      <c r="A361" s="1179"/>
      <c r="B361" s="1236" t="s">
        <v>497</v>
      </c>
      <c r="C361" s="1183"/>
      <c r="D361" s="409" t="s">
        <v>496</v>
      </c>
      <c r="E361" s="409" t="s">
        <v>495</v>
      </c>
      <c r="F361" s="1864" t="s">
        <v>859</v>
      </c>
      <c r="G361" s="1662" t="s">
        <v>77</v>
      </c>
      <c r="H361" s="1865"/>
      <c r="I361" s="529">
        <v>554.52</v>
      </c>
      <c r="J361" s="269">
        <v>576.45699999999999</v>
      </c>
      <c r="K361" s="1858"/>
      <c r="L361" s="1858"/>
      <c r="M361" s="1858"/>
      <c r="N361" s="1866">
        <v>0</v>
      </c>
      <c r="O361" s="1858"/>
      <c r="P361" s="1858"/>
      <c r="Q361" s="1858"/>
      <c r="R361" s="1858"/>
      <c r="S361" s="1858"/>
      <c r="T361" s="1858"/>
      <c r="U361" s="1865">
        <v>0</v>
      </c>
    </row>
    <row r="362" spans="1:21" hidden="1" x14ac:dyDescent="0.25">
      <c r="A362" s="1179"/>
      <c r="B362" s="1182" t="s">
        <v>497</v>
      </c>
      <c r="C362" s="1183"/>
      <c r="D362" s="409" t="s">
        <v>496</v>
      </c>
      <c r="E362" s="409" t="s">
        <v>495</v>
      </c>
      <c r="F362" s="409" t="s">
        <v>43</v>
      </c>
      <c r="G362" s="1662" t="s">
        <v>77</v>
      </c>
      <c r="H362" s="1682"/>
      <c r="I362" s="529"/>
      <c r="J362" s="269"/>
      <c r="K362" s="1858"/>
      <c r="L362" s="1858"/>
      <c r="M362" s="1858"/>
      <c r="N362" s="1200"/>
      <c r="O362" s="1858"/>
      <c r="P362" s="1858"/>
      <c r="Q362" s="1858"/>
      <c r="R362" s="1858"/>
      <c r="S362" s="1858"/>
      <c r="T362" s="1858"/>
      <c r="U362" s="1682"/>
    </row>
    <row r="363" spans="1:21" x14ac:dyDescent="0.25">
      <c r="A363" s="1179"/>
      <c r="B363" s="1184" t="s">
        <v>331</v>
      </c>
      <c r="C363" s="1177"/>
      <c r="D363" s="408" t="s">
        <v>464</v>
      </c>
      <c r="E363" s="408" t="s">
        <v>459</v>
      </c>
      <c r="F363" s="408"/>
      <c r="G363" s="1661"/>
      <c r="H363" s="1683">
        <f>H364+H372</f>
        <v>600</v>
      </c>
      <c r="I363" s="841">
        <f>I364+I372</f>
        <v>450</v>
      </c>
      <c r="J363" s="277">
        <f>J364+J372</f>
        <v>500</v>
      </c>
      <c r="K363" s="1862">
        <v>600</v>
      </c>
      <c r="L363" s="1858"/>
      <c r="M363" s="1858"/>
      <c r="N363" s="1208">
        <f>N364+N372</f>
        <v>650</v>
      </c>
      <c r="O363" s="1858"/>
      <c r="P363" s="1858"/>
      <c r="Q363" s="1858"/>
      <c r="R363" s="1858"/>
      <c r="S363" s="1858"/>
      <c r="T363" s="1858"/>
      <c r="U363" s="1683">
        <f>U364+U372</f>
        <v>700</v>
      </c>
    </row>
    <row r="364" spans="1:21" hidden="1" x14ac:dyDescent="0.25">
      <c r="A364" s="1179"/>
      <c r="B364" s="1184" t="s">
        <v>494</v>
      </c>
      <c r="C364" s="1177"/>
      <c r="D364" s="408" t="s">
        <v>464</v>
      </c>
      <c r="E364" s="408" t="s">
        <v>488</v>
      </c>
      <c r="F364" s="408" t="s">
        <v>106</v>
      </c>
      <c r="G364" s="1661" t="s">
        <v>106</v>
      </c>
      <c r="H364" s="1683">
        <f t="shared" ref="H364:J367" si="55">H365</f>
        <v>0</v>
      </c>
      <c r="I364" s="841">
        <f t="shared" si="55"/>
        <v>0</v>
      </c>
      <c r="J364" s="277">
        <f t="shared" si="55"/>
        <v>0</v>
      </c>
      <c r="K364" s="1858"/>
      <c r="L364" s="1858"/>
      <c r="M364" s="1858"/>
      <c r="N364" s="1208">
        <f t="shared" ref="N364:N367" si="56">N365</f>
        <v>0</v>
      </c>
      <c r="O364" s="1858"/>
      <c r="P364" s="1858"/>
      <c r="Q364" s="1858"/>
      <c r="R364" s="1858"/>
      <c r="S364" s="1858"/>
      <c r="T364" s="1858"/>
      <c r="U364" s="1683">
        <f t="shared" ref="U364:U367" si="57">U365</f>
        <v>0</v>
      </c>
    </row>
    <row r="365" spans="1:21" ht="34.5" hidden="1" x14ac:dyDescent="0.25">
      <c r="A365" s="1179"/>
      <c r="B365" s="1184" t="s">
        <v>493</v>
      </c>
      <c r="C365" s="1177"/>
      <c r="D365" s="408" t="s">
        <v>464</v>
      </c>
      <c r="E365" s="408" t="s">
        <v>488</v>
      </c>
      <c r="F365" s="408" t="s">
        <v>311</v>
      </c>
      <c r="G365" s="1661"/>
      <c r="H365" s="1683">
        <f t="shared" si="55"/>
        <v>0</v>
      </c>
      <c r="I365" s="841">
        <f t="shared" si="55"/>
        <v>0</v>
      </c>
      <c r="J365" s="277">
        <f t="shared" si="55"/>
        <v>0</v>
      </c>
      <c r="K365" s="1858"/>
      <c r="L365" s="1858"/>
      <c r="M365" s="1858"/>
      <c r="N365" s="1208">
        <f t="shared" si="56"/>
        <v>0</v>
      </c>
      <c r="O365" s="1858"/>
      <c r="P365" s="1858"/>
      <c r="Q365" s="1858"/>
      <c r="R365" s="1858"/>
      <c r="S365" s="1858"/>
      <c r="T365" s="1858"/>
      <c r="U365" s="1683">
        <f t="shared" si="57"/>
        <v>0</v>
      </c>
    </row>
    <row r="366" spans="1:21" ht="34.5" hidden="1" x14ac:dyDescent="0.25">
      <c r="A366" s="1233"/>
      <c r="B366" s="1253" t="s">
        <v>492</v>
      </c>
      <c r="C366" s="1180"/>
      <c r="D366" s="409" t="s">
        <v>464</v>
      </c>
      <c r="E366" s="409" t="s">
        <v>488</v>
      </c>
      <c r="F366" s="409" t="s">
        <v>491</v>
      </c>
      <c r="G366" s="1662"/>
      <c r="H366" s="1682">
        <f t="shared" si="55"/>
        <v>0</v>
      </c>
      <c r="I366" s="529">
        <f t="shared" si="55"/>
        <v>0</v>
      </c>
      <c r="J366" s="270">
        <f t="shared" si="55"/>
        <v>0</v>
      </c>
      <c r="K366" s="1858"/>
      <c r="L366" s="1858"/>
      <c r="M366" s="1858"/>
      <c r="N366" s="1200">
        <f t="shared" si="56"/>
        <v>0</v>
      </c>
      <c r="O366" s="1858"/>
      <c r="P366" s="1858"/>
      <c r="Q366" s="1858"/>
      <c r="R366" s="1858"/>
      <c r="S366" s="1858"/>
      <c r="T366" s="1858"/>
      <c r="U366" s="1682">
        <f t="shared" si="57"/>
        <v>0</v>
      </c>
    </row>
    <row r="367" spans="1:21" hidden="1" x14ac:dyDescent="0.25">
      <c r="A367" s="1233"/>
      <c r="B367" s="1253" t="s">
        <v>490</v>
      </c>
      <c r="C367" s="1180"/>
      <c r="D367" s="409" t="s">
        <v>464</v>
      </c>
      <c r="E367" s="409" t="s">
        <v>488</v>
      </c>
      <c r="F367" s="409" t="s">
        <v>489</v>
      </c>
      <c r="G367" s="1662"/>
      <c r="H367" s="1682">
        <f t="shared" si="55"/>
        <v>0</v>
      </c>
      <c r="I367" s="529">
        <f t="shared" si="55"/>
        <v>0</v>
      </c>
      <c r="J367" s="270">
        <f t="shared" si="55"/>
        <v>0</v>
      </c>
      <c r="K367" s="1858"/>
      <c r="L367" s="1858"/>
      <c r="M367" s="1858"/>
      <c r="N367" s="1200">
        <f t="shared" si="56"/>
        <v>0</v>
      </c>
      <c r="O367" s="1858"/>
      <c r="P367" s="1858"/>
      <c r="Q367" s="1858"/>
      <c r="R367" s="1858"/>
      <c r="S367" s="1858"/>
      <c r="T367" s="1858"/>
      <c r="U367" s="1682">
        <f t="shared" si="57"/>
        <v>0</v>
      </c>
    </row>
    <row r="368" spans="1:21" hidden="1" x14ac:dyDescent="0.25">
      <c r="A368" s="1233"/>
      <c r="B368" s="1253" t="s">
        <v>351</v>
      </c>
      <c r="C368" s="1180"/>
      <c r="D368" s="409" t="s">
        <v>464</v>
      </c>
      <c r="E368" s="409" t="s">
        <v>488</v>
      </c>
      <c r="F368" s="409" t="s">
        <v>487</v>
      </c>
      <c r="G368" s="1662"/>
      <c r="H368" s="1682">
        <f>H369+H370+H371</f>
        <v>0</v>
      </c>
      <c r="I368" s="529">
        <f>I369+I370+I371</f>
        <v>0</v>
      </c>
      <c r="J368" s="270">
        <f>J369+J370+J371</f>
        <v>0</v>
      </c>
      <c r="K368" s="1858"/>
      <c r="L368" s="1858"/>
      <c r="M368" s="1858"/>
      <c r="N368" s="1200">
        <f>N369+N370+N371</f>
        <v>0</v>
      </c>
      <c r="O368" s="1858"/>
      <c r="P368" s="1858"/>
      <c r="Q368" s="1858"/>
      <c r="R368" s="1858"/>
      <c r="S368" s="1858"/>
      <c r="T368" s="1858"/>
      <c r="U368" s="1682">
        <f>U369+U370+U371</f>
        <v>0</v>
      </c>
    </row>
    <row r="369" spans="1:21" hidden="1" x14ac:dyDescent="0.25">
      <c r="A369" s="1179"/>
      <c r="B369" s="1254" t="s">
        <v>458</v>
      </c>
      <c r="C369" s="1183"/>
      <c r="D369" s="409" t="s">
        <v>464</v>
      </c>
      <c r="E369" s="409" t="s">
        <v>488</v>
      </c>
      <c r="F369" s="409" t="s">
        <v>487</v>
      </c>
      <c r="G369" s="1662" t="s">
        <v>255</v>
      </c>
      <c r="H369" s="1682"/>
      <c r="I369" s="529"/>
      <c r="J369" s="270"/>
      <c r="K369" s="1858"/>
      <c r="L369" s="1858"/>
      <c r="M369" s="1858"/>
      <c r="N369" s="1200"/>
      <c r="O369" s="1858"/>
      <c r="P369" s="1858"/>
      <c r="Q369" s="1858"/>
      <c r="R369" s="1858"/>
      <c r="S369" s="1858"/>
      <c r="T369" s="1858"/>
      <c r="U369" s="1682"/>
    </row>
    <row r="370" spans="1:21" ht="23" hidden="1" x14ac:dyDescent="0.25">
      <c r="A370" s="1179"/>
      <c r="B370" s="1254" t="s">
        <v>454</v>
      </c>
      <c r="C370" s="1183"/>
      <c r="D370" s="409" t="s">
        <v>464</v>
      </c>
      <c r="E370" s="409" t="s">
        <v>488</v>
      </c>
      <c r="F370" s="409" t="s">
        <v>487</v>
      </c>
      <c r="G370" s="1662" t="s">
        <v>1</v>
      </c>
      <c r="H370" s="1682"/>
      <c r="I370" s="529"/>
      <c r="J370" s="270"/>
      <c r="K370" s="1858"/>
      <c r="L370" s="1858"/>
      <c r="M370" s="1858"/>
      <c r="N370" s="1200"/>
      <c r="O370" s="1858"/>
      <c r="P370" s="1858"/>
      <c r="Q370" s="1858"/>
      <c r="R370" s="1858"/>
      <c r="S370" s="1858"/>
      <c r="T370" s="1858"/>
      <c r="U370" s="1682"/>
    </row>
    <row r="371" spans="1:21" hidden="1" x14ac:dyDescent="0.25">
      <c r="A371" s="1179"/>
      <c r="B371" s="1254" t="s">
        <v>457</v>
      </c>
      <c r="C371" s="1183"/>
      <c r="D371" s="409" t="s">
        <v>464</v>
      </c>
      <c r="E371" s="409" t="s">
        <v>488</v>
      </c>
      <c r="F371" s="409" t="s">
        <v>487</v>
      </c>
      <c r="G371" s="1662" t="s">
        <v>91</v>
      </c>
      <c r="H371" s="1682"/>
      <c r="I371" s="529"/>
      <c r="J371" s="270"/>
      <c r="K371" s="1858"/>
      <c r="L371" s="1858"/>
      <c r="M371" s="1858"/>
      <c r="N371" s="1200"/>
      <c r="O371" s="1858"/>
      <c r="P371" s="1858"/>
      <c r="Q371" s="1858"/>
      <c r="R371" s="1858"/>
      <c r="S371" s="1858"/>
      <c r="T371" s="1858"/>
      <c r="U371" s="1682"/>
    </row>
    <row r="372" spans="1:21" x14ac:dyDescent="0.25">
      <c r="A372" s="1179"/>
      <c r="B372" s="1184" t="s">
        <v>64</v>
      </c>
      <c r="C372" s="1177"/>
      <c r="D372" s="408" t="s">
        <v>464</v>
      </c>
      <c r="E372" s="408" t="s">
        <v>463</v>
      </c>
      <c r="F372" s="408" t="s">
        <v>106</v>
      </c>
      <c r="G372" s="1661" t="s">
        <v>106</v>
      </c>
      <c r="H372" s="1683">
        <f>H373+H394</f>
        <v>600</v>
      </c>
      <c r="I372" s="841">
        <f>I373+I394</f>
        <v>450</v>
      </c>
      <c r="J372" s="277">
        <f>J373+J394</f>
        <v>500</v>
      </c>
      <c r="K372" s="1858"/>
      <c r="L372" s="1858"/>
      <c r="M372" s="1858"/>
      <c r="N372" s="1208">
        <f>N373+N394</f>
        <v>650</v>
      </c>
      <c r="O372" s="1858"/>
      <c r="P372" s="1858"/>
      <c r="Q372" s="1858"/>
      <c r="R372" s="1858"/>
      <c r="S372" s="1858"/>
      <c r="T372" s="1858"/>
      <c r="U372" s="1683">
        <f>U373+U394</f>
        <v>700</v>
      </c>
    </row>
    <row r="373" spans="1:21" ht="30" customHeight="1" x14ac:dyDescent="0.25">
      <c r="A373" s="1179"/>
      <c r="B373" s="1205" t="s">
        <v>906</v>
      </c>
      <c r="C373" s="1177"/>
      <c r="D373" s="409" t="s">
        <v>464</v>
      </c>
      <c r="E373" s="409" t="s">
        <v>463</v>
      </c>
      <c r="F373" s="409" t="s">
        <v>311</v>
      </c>
      <c r="G373" s="1661"/>
      <c r="H373" s="1683">
        <f>H374+H383</f>
        <v>600</v>
      </c>
      <c r="I373" s="841">
        <f>I374+I383</f>
        <v>450</v>
      </c>
      <c r="J373" s="277">
        <f>J374+J383</f>
        <v>500</v>
      </c>
      <c r="K373" s="1858"/>
      <c r="L373" s="1858"/>
      <c r="M373" s="1858"/>
      <c r="N373" s="1208">
        <f>N374+N383</f>
        <v>650</v>
      </c>
      <c r="O373" s="1858"/>
      <c r="P373" s="1858"/>
      <c r="Q373" s="1858"/>
      <c r="R373" s="1858"/>
      <c r="S373" s="1858"/>
      <c r="T373" s="1858"/>
      <c r="U373" s="1683">
        <f>U374+U383</f>
        <v>700</v>
      </c>
    </row>
    <row r="374" spans="1:21" ht="21" hidden="1" x14ac:dyDescent="0.25">
      <c r="A374" s="1179"/>
      <c r="B374" s="753" t="s">
        <v>486</v>
      </c>
      <c r="C374" s="1180"/>
      <c r="D374" s="409" t="s">
        <v>464</v>
      </c>
      <c r="E374" s="409" t="s">
        <v>463</v>
      </c>
      <c r="F374" s="409" t="s">
        <v>485</v>
      </c>
      <c r="G374" s="1661"/>
      <c r="H374" s="1682">
        <f>H375+H378</f>
        <v>0</v>
      </c>
      <c r="I374" s="529">
        <f>I375+I378</f>
        <v>0</v>
      </c>
      <c r="J374" s="270">
        <f>J375+J378</f>
        <v>0</v>
      </c>
      <c r="K374" s="1858"/>
      <c r="L374" s="1858"/>
      <c r="M374" s="1858"/>
      <c r="N374" s="1200">
        <f>N375+N378</f>
        <v>0</v>
      </c>
      <c r="O374" s="1858"/>
      <c r="P374" s="1858"/>
      <c r="Q374" s="1858"/>
      <c r="R374" s="1858"/>
      <c r="S374" s="1858"/>
      <c r="T374" s="1858"/>
      <c r="U374" s="1682">
        <f>U375+U378</f>
        <v>0</v>
      </c>
    </row>
    <row r="375" spans="1:21" ht="21" hidden="1" x14ac:dyDescent="0.25">
      <c r="A375" s="1179"/>
      <c r="B375" s="753" t="s">
        <v>484</v>
      </c>
      <c r="C375" s="1180"/>
      <c r="D375" s="409" t="s">
        <v>464</v>
      </c>
      <c r="E375" s="409" t="s">
        <v>463</v>
      </c>
      <c r="F375" s="409" t="s">
        <v>483</v>
      </c>
      <c r="G375" s="1661"/>
      <c r="H375" s="1682">
        <f t="shared" ref="H375:J376" si="58">H376</f>
        <v>0</v>
      </c>
      <c r="I375" s="529">
        <f t="shared" si="58"/>
        <v>0</v>
      </c>
      <c r="J375" s="270">
        <f t="shared" si="58"/>
        <v>0</v>
      </c>
      <c r="K375" s="1858"/>
      <c r="L375" s="1858"/>
      <c r="M375" s="1858"/>
      <c r="N375" s="1200">
        <f t="shared" ref="N375:N376" si="59">N376</f>
        <v>0</v>
      </c>
      <c r="O375" s="1858"/>
      <c r="P375" s="1858"/>
      <c r="Q375" s="1858"/>
      <c r="R375" s="1858"/>
      <c r="S375" s="1858"/>
      <c r="T375" s="1858"/>
      <c r="U375" s="1682">
        <f t="shared" ref="U375:U376" si="60">U376</f>
        <v>0</v>
      </c>
    </row>
    <row r="376" spans="1:21" ht="21" hidden="1" x14ac:dyDescent="0.25">
      <c r="A376" s="1179"/>
      <c r="B376" s="753" t="s">
        <v>482</v>
      </c>
      <c r="C376" s="1180"/>
      <c r="D376" s="409" t="s">
        <v>464</v>
      </c>
      <c r="E376" s="409" t="s">
        <v>463</v>
      </c>
      <c r="F376" s="409" t="s">
        <v>480</v>
      </c>
      <c r="G376" s="1662"/>
      <c r="H376" s="1682">
        <f t="shared" si="58"/>
        <v>0</v>
      </c>
      <c r="I376" s="529">
        <f t="shared" si="58"/>
        <v>0</v>
      </c>
      <c r="J376" s="270">
        <f t="shared" si="58"/>
        <v>0</v>
      </c>
      <c r="K376" s="1858"/>
      <c r="L376" s="1858"/>
      <c r="M376" s="1858"/>
      <c r="N376" s="1200">
        <f t="shared" si="59"/>
        <v>0</v>
      </c>
      <c r="O376" s="1858"/>
      <c r="P376" s="1858"/>
      <c r="Q376" s="1858"/>
      <c r="R376" s="1858"/>
      <c r="S376" s="1858"/>
      <c r="T376" s="1858"/>
      <c r="U376" s="1682">
        <f t="shared" si="60"/>
        <v>0</v>
      </c>
    </row>
    <row r="377" spans="1:21" hidden="1" x14ac:dyDescent="0.25">
      <c r="A377" s="1179"/>
      <c r="B377" s="1182" t="s">
        <v>481</v>
      </c>
      <c r="C377" s="1183"/>
      <c r="D377" s="409" t="s">
        <v>464</v>
      </c>
      <c r="E377" s="409" t="s">
        <v>463</v>
      </c>
      <c r="F377" s="409" t="s">
        <v>480</v>
      </c>
      <c r="G377" s="1662" t="s">
        <v>26</v>
      </c>
      <c r="H377" s="1682">
        <v>0</v>
      </c>
      <c r="I377" s="529">
        <v>0</v>
      </c>
      <c r="J377" s="270">
        <v>0</v>
      </c>
      <c r="K377" s="1858"/>
      <c r="L377" s="1858"/>
      <c r="M377" s="1858"/>
      <c r="N377" s="1200">
        <v>0</v>
      </c>
      <c r="O377" s="1858"/>
      <c r="P377" s="1858"/>
      <c r="Q377" s="1858"/>
      <c r="R377" s="1858"/>
      <c r="S377" s="1858"/>
      <c r="T377" s="1858"/>
      <c r="U377" s="1682">
        <v>0</v>
      </c>
    </row>
    <row r="378" spans="1:21" hidden="1" x14ac:dyDescent="0.25">
      <c r="A378" s="1179"/>
      <c r="B378" s="753" t="s">
        <v>479</v>
      </c>
      <c r="C378" s="1180"/>
      <c r="D378" s="409" t="s">
        <v>464</v>
      </c>
      <c r="E378" s="409" t="s">
        <v>463</v>
      </c>
      <c r="F378" s="409" t="s">
        <v>478</v>
      </c>
      <c r="G378" s="1661"/>
      <c r="H378" s="1682">
        <f>H379+H381</f>
        <v>0</v>
      </c>
      <c r="I378" s="529">
        <f>I379+I381</f>
        <v>0</v>
      </c>
      <c r="J378" s="270">
        <f>J379+J381</f>
        <v>0</v>
      </c>
      <c r="K378" s="1858"/>
      <c r="L378" s="1858"/>
      <c r="M378" s="1858"/>
      <c r="N378" s="1200">
        <f>N379+N381</f>
        <v>0</v>
      </c>
      <c r="O378" s="1858"/>
      <c r="P378" s="1858"/>
      <c r="Q378" s="1858"/>
      <c r="R378" s="1858"/>
      <c r="S378" s="1858"/>
      <c r="T378" s="1858"/>
      <c r="U378" s="1682">
        <f>U379+U381</f>
        <v>0</v>
      </c>
    </row>
    <row r="379" spans="1:21" hidden="1" x14ac:dyDescent="0.25">
      <c r="A379" s="1179"/>
      <c r="B379" s="753" t="s">
        <v>477</v>
      </c>
      <c r="C379" s="1180"/>
      <c r="D379" s="409" t="s">
        <v>464</v>
      </c>
      <c r="E379" s="409" t="s">
        <v>463</v>
      </c>
      <c r="F379" s="409" t="s">
        <v>476</v>
      </c>
      <c r="G379" s="1662"/>
      <c r="H379" s="1682">
        <f>H380</f>
        <v>0</v>
      </c>
      <c r="I379" s="529">
        <f>I380</f>
        <v>0</v>
      </c>
      <c r="J379" s="270">
        <f>J380</f>
        <v>0</v>
      </c>
      <c r="K379" s="1858"/>
      <c r="L379" s="1858"/>
      <c r="M379" s="1858"/>
      <c r="N379" s="1200">
        <f>N380</f>
        <v>0</v>
      </c>
      <c r="O379" s="1858"/>
      <c r="P379" s="1858"/>
      <c r="Q379" s="1858"/>
      <c r="R379" s="1858"/>
      <c r="S379" s="1858"/>
      <c r="T379" s="1858"/>
      <c r="U379" s="1682">
        <f>U380</f>
        <v>0</v>
      </c>
    </row>
    <row r="380" spans="1:21" ht="21" hidden="1" x14ac:dyDescent="0.25">
      <c r="A380" s="1179"/>
      <c r="B380" s="1182" t="s">
        <v>454</v>
      </c>
      <c r="C380" s="1183"/>
      <c r="D380" s="409" t="s">
        <v>464</v>
      </c>
      <c r="E380" s="409" t="s">
        <v>463</v>
      </c>
      <c r="F380" s="409" t="s">
        <v>476</v>
      </c>
      <c r="G380" s="1662" t="s">
        <v>1</v>
      </c>
      <c r="H380" s="1682"/>
      <c r="I380" s="529"/>
      <c r="J380" s="270"/>
      <c r="K380" s="1858"/>
      <c r="L380" s="1858"/>
      <c r="M380" s="1858"/>
      <c r="N380" s="1200"/>
      <c r="O380" s="1858"/>
      <c r="P380" s="1858"/>
      <c r="Q380" s="1858"/>
      <c r="R380" s="1858"/>
      <c r="S380" s="1858"/>
      <c r="T380" s="1858"/>
      <c r="U380" s="1682"/>
    </row>
    <row r="381" spans="1:21" hidden="1" x14ac:dyDescent="0.25">
      <c r="A381" s="1179"/>
      <c r="B381" s="753" t="s">
        <v>475</v>
      </c>
      <c r="C381" s="1180"/>
      <c r="D381" s="409" t="s">
        <v>464</v>
      </c>
      <c r="E381" s="409" t="s">
        <v>463</v>
      </c>
      <c r="F381" s="409" t="s">
        <v>474</v>
      </c>
      <c r="G381" s="1662"/>
      <c r="H381" s="1682">
        <f>H382</f>
        <v>0</v>
      </c>
      <c r="I381" s="529">
        <f>I382</f>
        <v>0</v>
      </c>
      <c r="J381" s="270">
        <f>J382</f>
        <v>0</v>
      </c>
      <c r="K381" s="1858"/>
      <c r="L381" s="1858"/>
      <c r="M381" s="1858"/>
      <c r="N381" s="1200">
        <f>N382</f>
        <v>0</v>
      </c>
      <c r="O381" s="1858"/>
      <c r="P381" s="1858"/>
      <c r="Q381" s="1858"/>
      <c r="R381" s="1858"/>
      <c r="S381" s="1858"/>
      <c r="T381" s="1858"/>
      <c r="U381" s="1682">
        <f>U382</f>
        <v>0</v>
      </c>
    </row>
    <row r="382" spans="1:21" ht="21" hidden="1" x14ac:dyDescent="0.25">
      <c r="A382" s="1179"/>
      <c r="B382" s="1182" t="s">
        <v>454</v>
      </c>
      <c r="C382" s="1183"/>
      <c r="D382" s="409" t="s">
        <v>464</v>
      </c>
      <c r="E382" s="409" t="s">
        <v>463</v>
      </c>
      <c r="F382" s="409" t="s">
        <v>474</v>
      </c>
      <c r="G382" s="1662" t="s">
        <v>1</v>
      </c>
      <c r="H382" s="1682">
        <v>0</v>
      </c>
      <c r="I382" s="529">
        <v>0</v>
      </c>
      <c r="J382" s="270">
        <v>0</v>
      </c>
      <c r="K382" s="1858"/>
      <c r="L382" s="1858"/>
      <c r="M382" s="1858"/>
      <c r="N382" s="1200">
        <v>0</v>
      </c>
      <c r="O382" s="1858"/>
      <c r="P382" s="1858"/>
      <c r="Q382" s="1858"/>
      <c r="R382" s="1858"/>
      <c r="S382" s="1858"/>
      <c r="T382" s="1858"/>
      <c r="U382" s="1682">
        <v>0</v>
      </c>
    </row>
    <row r="383" spans="1:21" ht="27.75" customHeight="1" x14ac:dyDescent="0.25">
      <c r="A383" s="1179"/>
      <c r="B383" s="1205" t="s">
        <v>300</v>
      </c>
      <c r="C383" s="1180"/>
      <c r="D383" s="409" t="s">
        <v>464</v>
      </c>
      <c r="E383" s="409" t="s">
        <v>463</v>
      </c>
      <c r="F383" s="409" t="s">
        <v>299</v>
      </c>
      <c r="G383" s="1662"/>
      <c r="H383" s="1682">
        <f>H384</f>
        <v>600</v>
      </c>
      <c r="I383" s="529">
        <f>I384+I390</f>
        <v>450</v>
      </c>
      <c r="J383" s="270">
        <f>J384+J390</f>
        <v>500</v>
      </c>
      <c r="K383" s="1858"/>
      <c r="L383" s="1858"/>
      <c r="M383" s="1858"/>
      <c r="N383" s="1200">
        <f>N384</f>
        <v>650</v>
      </c>
      <c r="O383" s="1858"/>
      <c r="P383" s="1858"/>
      <c r="Q383" s="1858"/>
      <c r="R383" s="1858"/>
      <c r="S383" s="1858"/>
      <c r="T383" s="1858"/>
      <c r="U383" s="1682">
        <f>U384</f>
        <v>700</v>
      </c>
    </row>
    <row r="384" spans="1:21" ht="21" x14ac:dyDescent="0.25">
      <c r="A384" s="1179"/>
      <c r="B384" s="1203" t="s">
        <v>298</v>
      </c>
      <c r="C384" s="1180"/>
      <c r="D384" s="409" t="s">
        <v>464</v>
      </c>
      <c r="E384" s="409" t="s">
        <v>463</v>
      </c>
      <c r="F384" s="409" t="s">
        <v>297</v>
      </c>
      <c r="G384" s="1662"/>
      <c r="H384" s="1682">
        <f t="shared" ref="H384:J385" si="61">H385</f>
        <v>600</v>
      </c>
      <c r="I384" s="529">
        <f t="shared" si="61"/>
        <v>450</v>
      </c>
      <c r="J384" s="270">
        <f t="shared" si="61"/>
        <v>500</v>
      </c>
      <c r="K384" s="1858"/>
      <c r="L384" s="1858"/>
      <c r="M384" s="1858"/>
      <c r="N384" s="1200">
        <f t="shared" ref="N384:N385" si="62">N385</f>
        <v>650</v>
      </c>
      <c r="O384" s="1858"/>
      <c r="P384" s="1858"/>
      <c r="Q384" s="1858"/>
      <c r="R384" s="1858"/>
      <c r="S384" s="1858"/>
      <c r="T384" s="1858"/>
      <c r="U384" s="1682">
        <f t="shared" ref="U384:U385" si="63">U385</f>
        <v>700</v>
      </c>
    </row>
    <row r="385" spans="1:21" x14ac:dyDescent="0.25">
      <c r="A385" s="1233"/>
      <c r="B385" s="1205" t="s">
        <v>296</v>
      </c>
      <c r="C385" s="1180"/>
      <c r="D385" s="409" t="s">
        <v>464</v>
      </c>
      <c r="E385" s="409" t="s">
        <v>463</v>
      </c>
      <c r="F385" s="409" t="s">
        <v>294</v>
      </c>
      <c r="G385" s="1662"/>
      <c r="H385" s="1682">
        <f t="shared" si="61"/>
        <v>600</v>
      </c>
      <c r="I385" s="529">
        <f t="shared" si="61"/>
        <v>450</v>
      </c>
      <c r="J385" s="270">
        <f t="shared" si="61"/>
        <v>500</v>
      </c>
      <c r="K385" s="1858"/>
      <c r="L385" s="1858"/>
      <c r="M385" s="1858"/>
      <c r="N385" s="1200">
        <f t="shared" si="62"/>
        <v>650</v>
      </c>
      <c r="O385" s="1858"/>
      <c r="P385" s="1858"/>
      <c r="Q385" s="1858"/>
      <c r="R385" s="1858"/>
      <c r="S385" s="1858"/>
      <c r="T385" s="1858"/>
      <c r="U385" s="1682">
        <f t="shared" si="63"/>
        <v>700</v>
      </c>
    </row>
    <row r="386" spans="1:21" ht="21" x14ac:dyDescent="0.25">
      <c r="A386" s="1233"/>
      <c r="B386" s="1182" t="s">
        <v>454</v>
      </c>
      <c r="C386" s="1183"/>
      <c r="D386" s="409" t="s">
        <v>464</v>
      </c>
      <c r="E386" s="409" t="s">
        <v>463</v>
      </c>
      <c r="F386" s="409" t="s">
        <v>294</v>
      </c>
      <c r="G386" s="1662" t="s">
        <v>1</v>
      </c>
      <c r="H386" s="1682">
        <v>600</v>
      </c>
      <c r="I386" s="529">
        <v>450</v>
      </c>
      <c r="J386" s="269">
        <v>500</v>
      </c>
      <c r="K386" s="1858"/>
      <c r="L386" s="1858"/>
      <c r="M386" s="1858"/>
      <c r="N386" s="1200">
        <v>650</v>
      </c>
      <c r="O386" s="1858"/>
      <c r="P386" s="1858"/>
      <c r="Q386" s="1858"/>
      <c r="R386" s="1858"/>
      <c r="S386" s="1858"/>
      <c r="T386" s="1858"/>
      <c r="U386" s="1682">
        <v>700</v>
      </c>
    </row>
    <row r="387" spans="1:21" x14ac:dyDescent="0.25">
      <c r="A387" s="1233"/>
      <c r="B387" s="1255" t="s">
        <v>934</v>
      </c>
      <c r="C387" s="1183"/>
      <c r="D387" s="408" t="s">
        <v>534</v>
      </c>
      <c r="E387" s="409"/>
      <c r="F387" s="409"/>
      <c r="G387" s="1662"/>
      <c r="H387" s="1683">
        <f>H388</f>
        <v>764.5150000000001</v>
      </c>
      <c r="I387" s="529"/>
      <c r="J387" s="269"/>
      <c r="K387" s="1862">
        <v>1200</v>
      </c>
      <c r="L387" s="1858"/>
      <c r="M387" s="1858"/>
      <c r="N387" s="1208">
        <f>N388</f>
        <v>1200</v>
      </c>
      <c r="O387" s="1858"/>
      <c r="P387" s="1858"/>
      <c r="Q387" s="1858"/>
      <c r="R387" s="1858"/>
      <c r="S387" s="1858"/>
      <c r="T387" s="1858"/>
      <c r="U387" s="1683">
        <f>U388</f>
        <v>1200</v>
      </c>
    </row>
    <row r="388" spans="1:21" x14ac:dyDescent="0.25">
      <c r="A388" s="1233"/>
      <c r="B388" s="752" t="s">
        <v>920</v>
      </c>
      <c r="C388" s="1183"/>
      <c r="D388" s="408" t="s">
        <v>534</v>
      </c>
      <c r="E388" s="408" t="s">
        <v>488</v>
      </c>
      <c r="F388" s="408"/>
      <c r="G388" s="1662"/>
      <c r="H388" s="1683">
        <f>H389</f>
        <v>764.5150000000001</v>
      </c>
      <c r="I388" s="529"/>
      <c r="J388" s="269"/>
      <c r="K388" s="1858"/>
      <c r="L388" s="1858"/>
      <c r="M388" s="1858"/>
      <c r="N388" s="1208">
        <f>N389</f>
        <v>1200</v>
      </c>
      <c r="O388" s="1858"/>
      <c r="P388" s="1858"/>
      <c r="Q388" s="1858"/>
      <c r="R388" s="1858"/>
      <c r="S388" s="1858"/>
      <c r="T388" s="1858"/>
      <c r="U388" s="1683">
        <f>U389</f>
        <v>1200</v>
      </c>
    </row>
    <row r="389" spans="1:21" x14ac:dyDescent="0.25">
      <c r="A389" s="305"/>
      <c r="B389" s="753" t="s">
        <v>109</v>
      </c>
      <c r="C389" s="1183"/>
      <c r="D389" s="409" t="s">
        <v>534</v>
      </c>
      <c r="E389" s="409" t="s">
        <v>488</v>
      </c>
      <c r="F389" s="409" t="s">
        <v>84</v>
      </c>
      <c r="G389" s="1662"/>
      <c r="H389" s="1682">
        <f>H390</f>
        <v>764.5150000000001</v>
      </c>
      <c r="I389" s="529"/>
      <c r="J389" s="269"/>
      <c r="K389" s="1858"/>
      <c r="L389" s="1858"/>
      <c r="M389" s="1858"/>
      <c r="N389" s="1200">
        <f>N390</f>
        <v>1200</v>
      </c>
      <c r="O389" s="1858"/>
      <c r="P389" s="1858"/>
      <c r="Q389" s="1858"/>
      <c r="R389" s="1858"/>
      <c r="S389" s="1858"/>
      <c r="T389" s="1858"/>
      <c r="U389" s="1682">
        <f>U390</f>
        <v>1200</v>
      </c>
    </row>
    <row r="390" spans="1:21" x14ac:dyDescent="0.25">
      <c r="A390" s="273"/>
      <c r="B390" s="753" t="s">
        <v>109</v>
      </c>
      <c r="C390" s="1180"/>
      <c r="D390" s="409" t="s">
        <v>534</v>
      </c>
      <c r="E390" s="409" t="s">
        <v>488</v>
      </c>
      <c r="F390" s="409" t="s">
        <v>82</v>
      </c>
      <c r="G390" s="1662"/>
      <c r="H390" s="1682">
        <f>H391</f>
        <v>764.5150000000001</v>
      </c>
      <c r="I390" s="529">
        <f>I391</f>
        <v>0</v>
      </c>
      <c r="J390" s="269">
        <f>J391</f>
        <v>0</v>
      </c>
      <c r="K390" s="1858"/>
      <c r="L390" s="1858"/>
      <c r="M390" s="1858"/>
      <c r="N390" s="1200">
        <f>N391</f>
        <v>1200</v>
      </c>
      <c r="O390" s="1858"/>
      <c r="P390" s="1858"/>
      <c r="Q390" s="1858"/>
      <c r="R390" s="1858"/>
      <c r="S390" s="1858"/>
      <c r="T390" s="1858"/>
      <c r="U390" s="1682">
        <f>U391</f>
        <v>1200</v>
      </c>
    </row>
    <row r="391" spans="1:21" ht="21" x14ac:dyDescent="0.25">
      <c r="A391" s="305"/>
      <c r="B391" s="1205" t="s">
        <v>935</v>
      </c>
      <c r="C391" s="1180"/>
      <c r="D391" s="409" t="s">
        <v>534</v>
      </c>
      <c r="E391" s="409" t="s">
        <v>488</v>
      </c>
      <c r="F391" s="409" t="s">
        <v>919</v>
      </c>
      <c r="G391" s="1662"/>
      <c r="H391" s="1682">
        <f>H393</f>
        <v>764.5150000000001</v>
      </c>
      <c r="I391" s="529">
        <f>I393</f>
        <v>0</v>
      </c>
      <c r="J391" s="269">
        <f>J393</f>
        <v>0</v>
      </c>
      <c r="K391" s="1858"/>
      <c r="L391" s="1858"/>
      <c r="M391" s="1858"/>
      <c r="N391" s="1200">
        <f>N393</f>
        <v>1200</v>
      </c>
      <c r="O391" s="1858"/>
      <c r="P391" s="1858"/>
      <c r="Q391" s="1858"/>
      <c r="R391" s="1858"/>
      <c r="S391" s="1858"/>
      <c r="T391" s="1858"/>
      <c r="U391" s="1682">
        <f>U393</f>
        <v>1200</v>
      </c>
    </row>
    <row r="392" spans="1:21" hidden="1" x14ac:dyDescent="0.25">
      <c r="A392" s="304"/>
      <c r="B392" s="1256" t="s">
        <v>921</v>
      </c>
      <c r="C392" s="1257"/>
      <c r="D392" s="1193"/>
      <c r="E392" s="1193"/>
      <c r="F392" s="1193"/>
      <c r="G392" s="1663"/>
      <c r="H392" s="1688"/>
      <c r="I392" s="529"/>
      <c r="J392" s="269"/>
      <c r="K392" s="1858"/>
      <c r="L392" s="1858"/>
      <c r="M392" s="1858"/>
      <c r="N392" s="1258"/>
      <c r="O392" s="1858"/>
      <c r="P392" s="1858"/>
      <c r="Q392" s="1858"/>
      <c r="R392" s="1858"/>
      <c r="S392" s="1858"/>
      <c r="T392" s="1858"/>
      <c r="U392" s="1688"/>
    </row>
    <row r="393" spans="1:21" ht="21.5" thickBot="1" x14ac:dyDescent="0.3">
      <c r="A393" s="778"/>
      <c r="B393" s="1259" t="s">
        <v>454</v>
      </c>
      <c r="C393" s="1260"/>
      <c r="D393" s="1261" t="s">
        <v>534</v>
      </c>
      <c r="E393" s="1261" t="s">
        <v>488</v>
      </c>
      <c r="F393" s="1261" t="s">
        <v>919</v>
      </c>
      <c r="G393" s="1672" t="s">
        <v>1</v>
      </c>
      <c r="H393" s="1689">
        <f>1200-10.879-424.606</f>
        <v>764.5150000000001</v>
      </c>
      <c r="I393" s="529"/>
      <c r="J393" s="269"/>
      <c r="K393" s="1858"/>
      <c r="L393" s="1858"/>
      <c r="M393" s="1858"/>
      <c r="N393" s="1262">
        <v>1200</v>
      </c>
      <c r="O393" s="1858"/>
      <c r="P393" s="1858"/>
      <c r="Q393" s="1858"/>
      <c r="R393" s="1858"/>
      <c r="S393" s="1858"/>
      <c r="T393" s="1858"/>
      <c r="U393" s="1689">
        <v>1200</v>
      </c>
    </row>
    <row r="394" spans="1:21" ht="21.5" hidden="1" thickBot="1" x14ac:dyDescent="0.3">
      <c r="A394" s="291"/>
      <c r="B394" s="290" t="s">
        <v>469</v>
      </c>
      <c r="C394" s="289"/>
      <c r="D394" s="288" t="s">
        <v>464</v>
      </c>
      <c r="E394" s="288" t="s">
        <v>463</v>
      </c>
      <c r="F394" s="288" t="s">
        <v>468</v>
      </c>
      <c r="G394" s="288"/>
      <c r="H394" s="1263">
        <f t="shared" ref="H394:J396" si="64">H395</f>
        <v>0</v>
      </c>
      <c r="I394" s="277">
        <f t="shared" si="64"/>
        <v>0</v>
      </c>
      <c r="J394" s="276">
        <f t="shared" si="64"/>
        <v>0</v>
      </c>
      <c r="K394" s="1858"/>
      <c r="L394" s="1858"/>
      <c r="M394" s="1858"/>
      <c r="N394" s="1263">
        <f t="shared" ref="N394:N396" si="65">N395</f>
        <v>0</v>
      </c>
      <c r="O394" s="1858"/>
      <c r="P394" s="1858"/>
      <c r="Q394" s="1858"/>
      <c r="R394" s="1858"/>
      <c r="S394" s="1858"/>
      <c r="T394" s="1858"/>
      <c r="U394" s="1887">
        <f t="shared" ref="U394:U396" si="66">U395</f>
        <v>0</v>
      </c>
    </row>
    <row r="395" spans="1:21" ht="13" hidden="1" thickBot="1" x14ac:dyDescent="0.3">
      <c r="A395" s="273"/>
      <c r="B395" s="285" t="s">
        <v>467</v>
      </c>
      <c r="C395" s="272"/>
      <c r="D395" s="271" t="s">
        <v>464</v>
      </c>
      <c r="E395" s="271" t="s">
        <v>463</v>
      </c>
      <c r="F395" s="271" t="s">
        <v>466</v>
      </c>
      <c r="G395" s="271"/>
      <c r="H395" s="1264">
        <f t="shared" si="64"/>
        <v>0</v>
      </c>
      <c r="I395" s="270">
        <f t="shared" si="64"/>
        <v>0</v>
      </c>
      <c r="J395" s="269">
        <f t="shared" si="64"/>
        <v>0</v>
      </c>
      <c r="K395" s="1858"/>
      <c r="L395" s="1858"/>
      <c r="M395" s="1858"/>
      <c r="N395" s="1264">
        <f t="shared" si="65"/>
        <v>0</v>
      </c>
      <c r="O395" s="1858"/>
      <c r="P395" s="1858"/>
      <c r="Q395" s="1858"/>
      <c r="R395" s="1858"/>
      <c r="S395" s="1858"/>
      <c r="T395" s="1858"/>
      <c r="U395" s="1888">
        <f t="shared" si="66"/>
        <v>0</v>
      </c>
    </row>
    <row r="396" spans="1:21" ht="13" hidden="1" thickBot="1" x14ac:dyDescent="0.3">
      <c r="A396" s="305"/>
      <c r="B396" s="285" t="s">
        <v>465</v>
      </c>
      <c r="C396" s="272"/>
      <c r="D396" s="271" t="s">
        <v>464</v>
      </c>
      <c r="E396" s="271" t="s">
        <v>463</v>
      </c>
      <c r="F396" s="271" t="s">
        <v>462</v>
      </c>
      <c r="G396" s="271"/>
      <c r="H396" s="1264">
        <f t="shared" si="64"/>
        <v>0</v>
      </c>
      <c r="I396" s="270">
        <f t="shared" si="64"/>
        <v>0</v>
      </c>
      <c r="J396" s="269">
        <f t="shared" si="64"/>
        <v>0</v>
      </c>
      <c r="K396" s="1858"/>
      <c r="L396" s="1858"/>
      <c r="M396" s="1858"/>
      <c r="N396" s="1264">
        <f t="shared" si="65"/>
        <v>0</v>
      </c>
      <c r="O396" s="1858"/>
      <c r="P396" s="1858"/>
      <c r="Q396" s="1858"/>
      <c r="R396" s="1858"/>
      <c r="S396" s="1858"/>
      <c r="T396" s="1858"/>
      <c r="U396" s="1888">
        <f t="shared" si="66"/>
        <v>0</v>
      </c>
    </row>
    <row r="397" spans="1:21" ht="20.5" hidden="1" thickBot="1" x14ac:dyDescent="0.3">
      <c r="A397" s="304"/>
      <c r="B397" s="303" t="s">
        <v>454</v>
      </c>
      <c r="C397" s="302"/>
      <c r="D397" s="301" t="s">
        <v>464</v>
      </c>
      <c r="E397" s="301" t="s">
        <v>463</v>
      </c>
      <c r="F397" s="301" t="s">
        <v>462</v>
      </c>
      <c r="G397" s="301" t="s">
        <v>1</v>
      </c>
      <c r="H397" s="1265"/>
      <c r="I397" s="300"/>
      <c r="J397" s="299"/>
      <c r="K397" s="1858"/>
      <c r="L397" s="1858"/>
      <c r="M397" s="1858"/>
      <c r="N397" s="1265"/>
      <c r="O397" s="1858"/>
      <c r="P397" s="1858"/>
      <c r="Q397" s="1858"/>
      <c r="R397" s="1858"/>
      <c r="S397" s="1858"/>
      <c r="T397" s="1858"/>
      <c r="U397" s="1889"/>
    </row>
    <row r="398" spans="1:21" ht="13" hidden="1" thickBot="1" x14ac:dyDescent="0.3">
      <c r="A398" s="437"/>
      <c r="B398" s="438"/>
      <c r="C398" s="439"/>
      <c r="D398" s="440"/>
      <c r="E398" s="440"/>
      <c r="F398" s="440"/>
      <c r="G398" s="440"/>
      <c r="H398" s="1266"/>
      <c r="I398" s="441"/>
      <c r="J398" s="442"/>
      <c r="K398" s="1858"/>
      <c r="L398" s="1858"/>
      <c r="M398" s="1858"/>
      <c r="N398" s="1266"/>
      <c r="O398" s="1858"/>
      <c r="P398" s="1858"/>
      <c r="Q398" s="1858"/>
      <c r="R398" s="1858"/>
      <c r="S398" s="1858"/>
      <c r="T398" s="1858"/>
      <c r="U398" s="1890"/>
    </row>
    <row r="399" spans="1:21" ht="13" hidden="1" thickBot="1" x14ac:dyDescent="0.3">
      <c r="A399" s="298">
        <v>3</v>
      </c>
      <c r="B399" s="297" t="s">
        <v>461</v>
      </c>
      <c r="C399" s="296" t="s">
        <v>430</v>
      </c>
      <c r="D399" s="295"/>
      <c r="E399" s="295"/>
      <c r="F399" s="295"/>
      <c r="G399" s="295"/>
      <c r="H399" s="1267">
        <f>H400</f>
        <v>13611.630999999999</v>
      </c>
      <c r="I399" s="293">
        <f>I400</f>
        <v>10084.108</v>
      </c>
      <c r="J399" s="292">
        <f>J400</f>
        <v>10174.541000000001</v>
      </c>
      <c r="K399" s="1858"/>
      <c r="L399" s="1858"/>
      <c r="M399" s="1858"/>
      <c r="N399" s="1267">
        <f>N400</f>
        <v>13330.22</v>
      </c>
      <c r="O399" s="1858"/>
      <c r="P399" s="1858"/>
      <c r="Q399" s="1858"/>
      <c r="R399" s="1858"/>
      <c r="S399" s="1858"/>
      <c r="T399" s="1858"/>
      <c r="U399" s="1891">
        <f>U400</f>
        <v>13479.144</v>
      </c>
    </row>
    <row r="400" spans="1:21" ht="13" hidden="1" thickBot="1" x14ac:dyDescent="0.3">
      <c r="A400" s="291"/>
      <c r="B400" s="290" t="s">
        <v>460</v>
      </c>
      <c r="C400" s="289"/>
      <c r="D400" s="288" t="s">
        <v>453</v>
      </c>
      <c r="E400" s="288" t="s">
        <v>459</v>
      </c>
      <c r="F400" s="288"/>
      <c r="G400" s="288"/>
      <c r="H400" s="1263">
        <f>H401+H414+H409</f>
        <v>13611.630999999999</v>
      </c>
      <c r="I400" s="287">
        <f>I401+I414</f>
        <v>10084.108</v>
      </c>
      <c r="J400" s="286">
        <f>J401+J414</f>
        <v>10174.541000000001</v>
      </c>
      <c r="K400" s="1858"/>
      <c r="L400" s="1858"/>
      <c r="M400" s="1858"/>
      <c r="N400" s="1263">
        <f>N401+N414+N409</f>
        <v>13330.22</v>
      </c>
      <c r="O400" s="1858"/>
      <c r="P400" s="1858"/>
      <c r="Q400" s="1858"/>
      <c r="R400" s="1858"/>
      <c r="S400" s="1858"/>
      <c r="T400" s="1858"/>
      <c r="U400" s="1887">
        <f>U401+U414+U409</f>
        <v>13479.144</v>
      </c>
    </row>
    <row r="401" spans="1:21" ht="13" hidden="1" thickBot="1" x14ac:dyDescent="0.3">
      <c r="A401" s="273"/>
      <c r="B401" s="282" t="s">
        <v>87</v>
      </c>
      <c r="C401" s="279"/>
      <c r="D401" s="278" t="s">
        <v>453</v>
      </c>
      <c r="E401" s="278" t="s">
        <v>456</v>
      </c>
      <c r="F401" s="278"/>
      <c r="G401" s="278"/>
      <c r="H401" s="1268">
        <f t="shared" ref="H401:J404" si="67">H402</f>
        <v>7296.08</v>
      </c>
      <c r="I401" s="277">
        <f t="shared" si="67"/>
        <v>6962.0999999999995</v>
      </c>
      <c r="J401" s="276">
        <f t="shared" si="67"/>
        <v>6915</v>
      </c>
      <c r="K401" s="1858"/>
      <c r="L401" s="1858"/>
      <c r="M401" s="1858"/>
      <c r="N401" s="1268">
        <f t="shared" ref="N401:N404" si="68">N402</f>
        <v>7296.08</v>
      </c>
      <c r="O401" s="1858"/>
      <c r="P401" s="1858"/>
      <c r="Q401" s="1858"/>
      <c r="R401" s="1858"/>
      <c r="S401" s="1858"/>
      <c r="T401" s="1858"/>
      <c r="U401" s="1892">
        <f t="shared" ref="U401:U404" si="69">U402</f>
        <v>7296.08</v>
      </c>
    </row>
    <row r="402" spans="1:21" ht="32" hidden="1" thickBot="1" x14ac:dyDescent="0.3">
      <c r="A402" s="281"/>
      <c r="B402" s="307" t="s">
        <v>621</v>
      </c>
      <c r="C402" s="279"/>
      <c r="D402" s="278" t="s">
        <v>453</v>
      </c>
      <c r="E402" s="278" t="s">
        <v>456</v>
      </c>
      <c r="F402" s="278" t="s">
        <v>273</v>
      </c>
      <c r="G402" s="278"/>
      <c r="H402" s="1268">
        <f t="shared" si="67"/>
        <v>7296.08</v>
      </c>
      <c r="I402" s="277">
        <f t="shared" si="67"/>
        <v>6962.0999999999995</v>
      </c>
      <c r="J402" s="276">
        <f t="shared" si="67"/>
        <v>6915</v>
      </c>
      <c r="K402" s="1858"/>
      <c r="L402" s="1858"/>
      <c r="M402" s="1858"/>
      <c r="N402" s="1268">
        <f t="shared" si="68"/>
        <v>7296.08</v>
      </c>
      <c r="O402" s="1858"/>
      <c r="P402" s="1858"/>
      <c r="Q402" s="1858"/>
      <c r="R402" s="1858"/>
      <c r="S402" s="1858"/>
      <c r="T402" s="1858"/>
      <c r="U402" s="1892">
        <f t="shared" si="69"/>
        <v>7296.08</v>
      </c>
    </row>
    <row r="403" spans="1:21" ht="30.5" hidden="1" thickBot="1" x14ac:dyDescent="0.3">
      <c r="A403" s="281"/>
      <c r="B403" s="310" t="s">
        <v>261</v>
      </c>
      <c r="C403" s="272"/>
      <c r="D403" s="271" t="s">
        <v>453</v>
      </c>
      <c r="E403" s="271" t="s">
        <v>456</v>
      </c>
      <c r="F403" s="271" t="s">
        <v>260</v>
      </c>
      <c r="G403" s="271"/>
      <c r="H403" s="1264">
        <f t="shared" si="67"/>
        <v>7296.08</v>
      </c>
      <c r="I403" s="270">
        <f t="shared" si="67"/>
        <v>6962.0999999999995</v>
      </c>
      <c r="J403" s="269">
        <f t="shared" si="67"/>
        <v>6915</v>
      </c>
      <c r="K403" s="1858"/>
      <c r="L403" s="1858"/>
      <c r="M403" s="1858"/>
      <c r="N403" s="1264">
        <f t="shared" si="68"/>
        <v>7296.08</v>
      </c>
      <c r="O403" s="1858"/>
      <c r="P403" s="1858"/>
      <c r="Q403" s="1858"/>
      <c r="R403" s="1858"/>
      <c r="S403" s="1858"/>
      <c r="T403" s="1858"/>
      <c r="U403" s="1888">
        <f t="shared" si="69"/>
        <v>7296.08</v>
      </c>
    </row>
    <row r="404" spans="1:21" ht="13" hidden="1" thickBot="1" x14ac:dyDescent="0.3">
      <c r="A404" s="281"/>
      <c r="B404" s="274" t="s">
        <v>259</v>
      </c>
      <c r="C404" s="272"/>
      <c r="D404" s="271" t="s">
        <v>453</v>
      </c>
      <c r="E404" s="271" t="s">
        <v>456</v>
      </c>
      <c r="F404" s="271" t="s">
        <v>258</v>
      </c>
      <c r="G404" s="271"/>
      <c r="H404" s="1264">
        <f t="shared" si="67"/>
        <v>7296.08</v>
      </c>
      <c r="I404" s="270">
        <f t="shared" si="67"/>
        <v>6962.0999999999995</v>
      </c>
      <c r="J404" s="269">
        <f t="shared" si="67"/>
        <v>6915</v>
      </c>
      <c r="K404" s="1858"/>
      <c r="L404" s="1858"/>
      <c r="M404" s="1858"/>
      <c r="N404" s="1264">
        <f t="shared" si="68"/>
        <v>7296.08</v>
      </c>
      <c r="O404" s="1858"/>
      <c r="P404" s="1858"/>
      <c r="Q404" s="1858"/>
      <c r="R404" s="1858"/>
      <c r="S404" s="1858"/>
      <c r="T404" s="1858"/>
      <c r="U404" s="1888">
        <f t="shared" si="69"/>
        <v>7296.08</v>
      </c>
    </row>
    <row r="405" spans="1:21" ht="13" hidden="1" thickBot="1" x14ac:dyDescent="0.3">
      <c r="A405" s="281"/>
      <c r="B405" s="285" t="s">
        <v>351</v>
      </c>
      <c r="C405" s="272"/>
      <c r="D405" s="271" t="s">
        <v>453</v>
      </c>
      <c r="E405" s="271" t="s">
        <v>456</v>
      </c>
      <c r="F405" s="271" t="s">
        <v>254</v>
      </c>
      <c r="G405" s="271"/>
      <c r="H405" s="1264">
        <f>H406+H407+H408</f>
        <v>7296.08</v>
      </c>
      <c r="I405" s="270">
        <f>I406+I407+I408</f>
        <v>6962.0999999999995</v>
      </c>
      <c r="J405" s="269">
        <f>J406+J407+J408</f>
        <v>6915</v>
      </c>
      <c r="K405" s="1858"/>
      <c r="L405" s="1858"/>
      <c r="M405" s="1858"/>
      <c r="N405" s="1264">
        <f>N406+N407+N408</f>
        <v>7296.08</v>
      </c>
      <c r="O405" s="1858"/>
      <c r="P405" s="1858"/>
      <c r="Q405" s="1858"/>
      <c r="R405" s="1858"/>
      <c r="S405" s="1858"/>
      <c r="T405" s="1858"/>
      <c r="U405" s="1888">
        <f>U406+U407+U408</f>
        <v>7296.08</v>
      </c>
    </row>
    <row r="406" spans="1:21" ht="13" hidden="1" thickBot="1" x14ac:dyDescent="0.3">
      <c r="A406" s="273"/>
      <c r="B406" s="284" t="s">
        <v>458</v>
      </c>
      <c r="C406" s="283"/>
      <c r="D406" s="271" t="s">
        <v>453</v>
      </c>
      <c r="E406" s="271" t="s">
        <v>456</v>
      </c>
      <c r="F406" s="271" t="s">
        <v>254</v>
      </c>
      <c r="G406" s="271" t="s">
        <v>255</v>
      </c>
      <c r="H406" s="1264">
        <f>4510.863-660.6</f>
        <v>3850.2630000000004</v>
      </c>
      <c r="I406" s="270">
        <v>4886.9669999999996</v>
      </c>
      <c r="J406" s="269">
        <v>5375.0079999999998</v>
      </c>
      <c r="K406" s="1858"/>
      <c r="L406" s="1858"/>
      <c r="M406" s="1858"/>
      <c r="N406" s="1264">
        <f>4510.863-660.6</f>
        <v>3850.2630000000004</v>
      </c>
      <c r="O406" s="1858"/>
      <c r="P406" s="1858"/>
      <c r="Q406" s="1858"/>
      <c r="R406" s="1858"/>
      <c r="S406" s="1858"/>
      <c r="T406" s="1858"/>
      <c r="U406" s="1888">
        <f>4510.863-660.6</f>
        <v>3850.2630000000004</v>
      </c>
    </row>
    <row r="407" spans="1:21" ht="20.5" hidden="1" thickBot="1" x14ac:dyDescent="0.3">
      <c r="A407" s="273"/>
      <c r="B407" s="284" t="s">
        <v>454</v>
      </c>
      <c r="C407" s="283"/>
      <c r="D407" s="271" t="s">
        <v>453</v>
      </c>
      <c r="E407" s="271" t="s">
        <v>456</v>
      </c>
      <c r="F407" s="271" t="s">
        <v>254</v>
      </c>
      <c r="G407" s="271" t="s">
        <v>1</v>
      </c>
      <c r="H407" s="1264">
        <f>1564.263+1880.841</f>
        <v>3445.1039999999998</v>
      </c>
      <c r="I407" s="270">
        <v>2074.1329999999998</v>
      </c>
      <c r="J407" s="269">
        <v>1538.992</v>
      </c>
      <c r="K407" s="1858"/>
      <c r="L407" s="1858"/>
      <c r="M407" s="1858"/>
      <c r="N407" s="1264">
        <f>1564.263+1880.841</f>
        <v>3445.1039999999998</v>
      </c>
      <c r="O407" s="1858"/>
      <c r="P407" s="1858"/>
      <c r="Q407" s="1858"/>
      <c r="R407" s="1858"/>
      <c r="S407" s="1858"/>
      <c r="T407" s="1858"/>
      <c r="U407" s="1888">
        <f>1564.263+1880.841</f>
        <v>3445.1039999999998</v>
      </c>
    </row>
    <row r="408" spans="1:21" ht="13" hidden="1" thickBot="1" x14ac:dyDescent="0.3">
      <c r="A408" s="273"/>
      <c r="B408" s="284" t="s">
        <v>457</v>
      </c>
      <c r="C408" s="283"/>
      <c r="D408" s="271" t="s">
        <v>453</v>
      </c>
      <c r="E408" s="271" t="s">
        <v>456</v>
      </c>
      <c r="F408" s="271" t="s">
        <v>254</v>
      </c>
      <c r="G408" s="271" t="s">
        <v>91</v>
      </c>
      <c r="H408" s="1264">
        <v>0.71299999999999997</v>
      </c>
      <c r="I408" s="270">
        <v>1</v>
      </c>
      <c r="J408" s="269">
        <v>1</v>
      </c>
      <c r="K408" s="1858"/>
      <c r="L408" s="1858"/>
      <c r="M408" s="1858"/>
      <c r="N408" s="1264">
        <v>0.71299999999999997</v>
      </c>
      <c r="O408" s="1858"/>
      <c r="P408" s="1858"/>
      <c r="Q408" s="1858"/>
      <c r="R408" s="1858"/>
      <c r="S408" s="1858"/>
      <c r="T408" s="1858"/>
      <c r="U408" s="1888">
        <v>0.71299999999999997</v>
      </c>
    </row>
    <row r="409" spans="1:21" ht="21.5" hidden="1" thickBot="1" x14ac:dyDescent="0.3">
      <c r="A409" s="732"/>
      <c r="B409" s="752" t="s">
        <v>499</v>
      </c>
      <c r="C409" s="408"/>
      <c r="D409" s="408" t="s">
        <v>453</v>
      </c>
      <c r="E409" s="408" t="s">
        <v>456</v>
      </c>
      <c r="F409" s="408" t="s">
        <v>89</v>
      </c>
      <c r="G409" s="409"/>
      <c r="H409" s="1893">
        <f>H410</f>
        <v>660.6</v>
      </c>
      <c r="I409" s="529"/>
      <c r="J409" s="269"/>
      <c r="K409" s="1858"/>
      <c r="L409" s="1858"/>
      <c r="M409" s="1858"/>
      <c r="N409" s="1893">
        <f>N410</f>
        <v>660.6</v>
      </c>
      <c r="O409" s="1858"/>
      <c r="P409" s="1858"/>
      <c r="Q409" s="1858"/>
      <c r="R409" s="1858"/>
      <c r="S409" s="1858"/>
      <c r="T409" s="1858"/>
      <c r="U409" s="1208">
        <f>U410</f>
        <v>660.6</v>
      </c>
    </row>
    <row r="410" spans="1:21" ht="13" hidden="1" thickBot="1" x14ac:dyDescent="0.3">
      <c r="A410" s="732"/>
      <c r="B410" s="753" t="s">
        <v>109</v>
      </c>
      <c r="C410" s="409"/>
      <c r="D410" s="409" t="s">
        <v>453</v>
      </c>
      <c r="E410" s="409" t="s">
        <v>456</v>
      </c>
      <c r="F410" s="409" t="s">
        <v>84</v>
      </c>
      <c r="G410" s="409"/>
      <c r="H410" s="1878">
        <f>H411</f>
        <v>660.6</v>
      </c>
      <c r="I410" s="529"/>
      <c r="J410" s="269"/>
      <c r="K410" s="1858"/>
      <c r="L410" s="1858"/>
      <c r="M410" s="1858"/>
      <c r="N410" s="1878">
        <f>N411</f>
        <v>660.6</v>
      </c>
      <c r="O410" s="1858"/>
      <c r="P410" s="1858"/>
      <c r="Q410" s="1858"/>
      <c r="R410" s="1858"/>
      <c r="S410" s="1858"/>
      <c r="T410" s="1858"/>
      <c r="U410" s="1200">
        <f>U411</f>
        <v>660.6</v>
      </c>
    </row>
    <row r="411" spans="1:21" ht="13" hidden="1" thickBot="1" x14ac:dyDescent="0.3">
      <c r="A411" s="732"/>
      <c r="B411" s="753" t="s">
        <v>109</v>
      </c>
      <c r="C411" s="409"/>
      <c r="D411" s="409" t="s">
        <v>453</v>
      </c>
      <c r="E411" s="409" t="s">
        <v>456</v>
      </c>
      <c r="F411" s="409" t="s">
        <v>82</v>
      </c>
      <c r="G411" s="409"/>
      <c r="H411" s="1878">
        <f>H412</f>
        <v>660.6</v>
      </c>
      <c r="I411" s="529"/>
      <c r="J411" s="269"/>
      <c r="K411" s="1858"/>
      <c r="L411" s="1858"/>
      <c r="M411" s="1858"/>
      <c r="N411" s="1878">
        <f>N412</f>
        <v>660.6</v>
      </c>
      <c r="O411" s="1858"/>
      <c r="P411" s="1858"/>
      <c r="Q411" s="1858"/>
      <c r="R411" s="1858"/>
      <c r="S411" s="1858"/>
      <c r="T411" s="1858"/>
      <c r="U411" s="1200">
        <f>U412</f>
        <v>660.6</v>
      </c>
    </row>
    <row r="412" spans="1:21" ht="13" hidden="1" thickBot="1" x14ac:dyDescent="0.3">
      <c r="A412" s="732"/>
      <c r="B412" s="1894" t="s">
        <v>830</v>
      </c>
      <c r="C412" s="409"/>
      <c r="D412" s="409" t="s">
        <v>453</v>
      </c>
      <c r="E412" s="409" t="s">
        <v>456</v>
      </c>
      <c r="F412" s="409" t="s">
        <v>831</v>
      </c>
      <c r="G412" s="409"/>
      <c r="H412" s="1878">
        <f>H413</f>
        <v>660.6</v>
      </c>
      <c r="I412" s="529"/>
      <c r="J412" s="269"/>
      <c r="K412" s="1858"/>
      <c r="L412" s="1858"/>
      <c r="M412" s="1858"/>
      <c r="N412" s="1878">
        <f>N413</f>
        <v>660.6</v>
      </c>
      <c r="O412" s="1858"/>
      <c r="P412" s="1858"/>
      <c r="Q412" s="1858"/>
      <c r="R412" s="1858"/>
      <c r="S412" s="1858"/>
      <c r="T412" s="1858"/>
      <c r="U412" s="1200">
        <f>U413</f>
        <v>660.6</v>
      </c>
    </row>
    <row r="413" spans="1:21" ht="13.5" hidden="1" thickBot="1" x14ac:dyDescent="0.3">
      <c r="A413" s="732"/>
      <c r="B413" s="754" t="s">
        <v>256</v>
      </c>
      <c r="C413" s="409"/>
      <c r="D413" s="409" t="s">
        <v>453</v>
      </c>
      <c r="E413" s="409" t="s">
        <v>456</v>
      </c>
      <c r="F413" s="409" t="s">
        <v>831</v>
      </c>
      <c r="G413" s="409" t="s">
        <v>255</v>
      </c>
      <c r="H413" s="1878">
        <v>660.6</v>
      </c>
      <c r="I413" s="529"/>
      <c r="J413" s="269"/>
      <c r="K413" s="1858"/>
      <c r="L413" s="1858"/>
      <c r="M413" s="1858"/>
      <c r="N413" s="1878">
        <v>660.6</v>
      </c>
      <c r="O413" s="1858"/>
      <c r="P413" s="1858"/>
      <c r="Q413" s="1858"/>
      <c r="R413" s="1858"/>
      <c r="S413" s="1858"/>
      <c r="T413" s="1858"/>
      <c r="U413" s="1200">
        <v>660.6</v>
      </c>
    </row>
    <row r="414" spans="1:21" ht="13" hidden="1" thickBot="1" x14ac:dyDescent="0.3">
      <c r="A414" s="751"/>
      <c r="B414" s="282" t="s">
        <v>244</v>
      </c>
      <c r="C414" s="279"/>
      <c r="D414" s="278" t="s">
        <v>453</v>
      </c>
      <c r="E414" s="278" t="s">
        <v>452</v>
      </c>
      <c r="F414" s="278"/>
      <c r="G414" s="278"/>
      <c r="H414" s="1268">
        <f t="shared" ref="H414:J415" si="70">H415</f>
        <v>5654.951</v>
      </c>
      <c r="I414" s="277">
        <f t="shared" si="70"/>
        <v>3122.0079999999998</v>
      </c>
      <c r="J414" s="276">
        <f t="shared" si="70"/>
        <v>3259.5410000000002</v>
      </c>
      <c r="K414" s="1858"/>
      <c r="L414" s="1858"/>
      <c r="M414" s="1858"/>
      <c r="N414" s="1268">
        <f t="shared" ref="N414:N415" si="71">N415</f>
        <v>5373.54</v>
      </c>
      <c r="O414" s="1858"/>
      <c r="P414" s="1858"/>
      <c r="Q414" s="1858"/>
      <c r="R414" s="1858"/>
      <c r="S414" s="1858"/>
      <c r="T414" s="1858"/>
      <c r="U414" s="1892">
        <f t="shared" ref="U414:U415" si="72">U415</f>
        <v>5522.4639999999999</v>
      </c>
    </row>
    <row r="415" spans="1:21" ht="32" hidden="1" thickBot="1" x14ac:dyDescent="0.3">
      <c r="A415" s="281"/>
      <c r="B415" s="307" t="s">
        <v>621</v>
      </c>
      <c r="C415" s="279"/>
      <c r="D415" s="278" t="s">
        <v>453</v>
      </c>
      <c r="E415" s="278" t="s">
        <v>452</v>
      </c>
      <c r="F415" s="278" t="s">
        <v>273</v>
      </c>
      <c r="G415" s="278"/>
      <c r="H415" s="1268">
        <f t="shared" si="70"/>
        <v>5654.951</v>
      </c>
      <c r="I415" s="277">
        <f t="shared" si="70"/>
        <v>3122.0079999999998</v>
      </c>
      <c r="J415" s="276">
        <f t="shared" si="70"/>
        <v>3259.5410000000002</v>
      </c>
      <c r="K415" s="1858"/>
      <c r="L415" s="1858"/>
      <c r="M415" s="1858"/>
      <c r="N415" s="1268">
        <f t="shared" si="71"/>
        <v>5373.54</v>
      </c>
      <c r="O415" s="1858"/>
      <c r="P415" s="1858"/>
      <c r="Q415" s="1858"/>
      <c r="R415" s="1858"/>
      <c r="S415" s="1858"/>
      <c r="T415" s="1858"/>
      <c r="U415" s="1892">
        <f t="shared" si="72"/>
        <v>5522.4639999999999</v>
      </c>
    </row>
    <row r="416" spans="1:21" ht="13" hidden="1" thickBot="1" x14ac:dyDescent="0.3">
      <c r="A416" s="273"/>
      <c r="B416" s="310" t="s">
        <v>836</v>
      </c>
      <c r="C416" s="272"/>
      <c r="D416" s="271" t="s">
        <v>453</v>
      </c>
      <c r="E416" s="271" t="s">
        <v>452</v>
      </c>
      <c r="F416" s="271" t="s">
        <v>251</v>
      </c>
      <c r="G416" s="271"/>
      <c r="H416" s="1264">
        <f>H417+H420</f>
        <v>5654.951</v>
      </c>
      <c r="I416" s="270">
        <f>I417+I420</f>
        <v>3122.0079999999998</v>
      </c>
      <c r="J416" s="269">
        <f>J417+J420</f>
        <v>3259.5410000000002</v>
      </c>
      <c r="K416" s="1858"/>
      <c r="L416" s="1858"/>
      <c r="M416" s="1858"/>
      <c r="N416" s="1264">
        <f>N417+N420</f>
        <v>5373.54</v>
      </c>
      <c r="O416" s="1858"/>
      <c r="P416" s="1858"/>
      <c r="Q416" s="1858"/>
      <c r="R416" s="1858"/>
      <c r="S416" s="1858"/>
      <c r="T416" s="1858"/>
      <c r="U416" s="1888">
        <f>U417+U420</f>
        <v>5522.4639999999999</v>
      </c>
    </row>
    <row r="417" spans="1:21" ht="13" hidden="1" thickBot="1" x14ac:dyDescent="0.3">
      <c r="A417" s="273"/>
      <c r="B417" s="274" t="s">
        <v>250</v>
      </c>
      <c r="C417" s="272"/>
      <c r="D417" s="271" t="s">
        <v>453</v>
      </c>
      <c r="E417" s="271" t="s">
        <v>452</v>
      </c>
      <c r="F417" s="271" t="s">
        <v>249</v>
      </c>
      <c r="G417" s="271"/>
      <c r="H417" s="1264">
        <f t="shared" ref="H417:J418" si="73">H418</f>
        <v>1650.46</v>
      </c>
      <c r="I417" s="270">
        <f t="shared" si="73"/>
        <v>1250.5</v>
      </c>
      <c r="J417" s="269">
        <f t="shared" si="73"/>
        <v>1348</v>
      </c>
      <c r="K417" s="1858"/>
      <c r="L417" s="1858"/>
      <c r="M417" s="1858"/>
      <c r="N417" s="1264">
        <f t="shared" ref="N417:N418" si="74">N418</f>
        <v>1650.46</v>
      </c>
      <c r="O417" s="1858"/>
      <c r="P417" s="1858"/>
      <c r="Q417" s="1858"/>
      <c r="R417" s="1858"/>
      <c r="S417" s="1858"/>
      <c r="T417" s="1858"/>
      <c r="U417" s="1888">
        <f t="shared" ref="U417:U418" si="75">U418</f>
        <v>1650.46</v>
      </c>
    </row>
    <row r="418" spans="1:21" ht="13.5" hidden="1" thickBot="1" x14ac:dyDescent="0.3">
      <c r="A418" s="273"/>
      <c r="B418" s="90" t="s">
        <v>248</v>
      </c>
      <c r="C418" s="272"/>
      <c r="D418" s="271" t="s">
        <v>453</v>
      </c>
      <c r="E418" s="271" t="s">
        <v>452</v>
      </c>
      <c r="F418" s="271" t="s">
        <v>243</v>
      </c>
      <c r="G418" s="271"/>
      <c r="H418" s="1264">
        <f t="shared" si="73"/>
        <v>1650.46</v>
      </c>
      <c r="I418" s="270">
        <f t="shared" si="73"/>
        <v>1250.5</v>
      </c>
      <c r="J418" s="269">
        <f t="shared" si="73"/>
        <v>1348</v>
      </c>
      <c r="K418" s="1858"/>
      <c r="L418" s="1858"/>
      <c r="M418" s="1858"/>
      <c r="N418" s="1264">
        <f t="shared" si="74"/>
        <v>1650.46</v>
      </c>
      <c r="O418" s="1858"/>
      <c r="P418" s="1858"/>
      <c r="Q418" s="1858"/>
      <c r="R418" s="1858"/>
      <c r="S418" s="1858"/>
      <c r="T418" s="1858"/>
      <c r="U418" s="1888">
        <f t="shared" si="75"/>
        <v>1650.46</v>
      </c>
    </row>
    <row r="419" spans="1:21" ht="20.5" hidden="1" thickBot="1" x14ac:dyDescent="0.3">
      <c r="A419" s="268"/>
      <c r="B419" s="267" t="s">
        <v>454</v>
      </c>
      <c r="C419" s="266"/>
      <c r="D419" s="265" t="s">
        <v>453</v>
      </c>
      <c r="E419" s="265" t="s">
        <v>452</v>
      </c>
      <c r="F419" s="265" t="s">
        <v>243</v>
      </c>
      <c r="G419" s="265" t="s">
        <v>1</v>
      </c>
      <c r="H419" s="1271">
        <v>1650.46</v>
      </c>
      <c r="I419" s="264">
        <v>1250.5</v>
      </c>
      <c r="J419" s="407">
        <v>1348</v>
      </c>
      <c r="K419" s="1858"/>
      <c r="L419" s="1858"/>
      <c r="M419" s="1858"/>
      <c r="N419" s="1271">
        <v>1650.46</v>
      </c>
      <c r="O419" s="1858"/>
      <c r="P419" s="1858"/>
      <c r="Q419" s="1858"/>
      <c r="R419" s="1858"/>
      <c r="S419" s="1858"/>
      <c r="T419" s="1858"/>
      <c r="U419" s="1895">
        <v>1650.46</v>
      </c>
    </row>
    <row r="420" spans="1:21" ht="23.5" thickBot="1" x14ac:dyDescent="0.3">
      <c r="A420" s="1370">
        <v>2</v>
      </c>
      <c r="B420" s="1171" t="s">
        <v>1038</v>
      </c>
      <c r="C420" s="1161" t="s">
        <v>1039</v>
      </c>
      <c r="D420" s="1161"/>
      <c r="E420" s="1161"/>
      <c r="F420" s="1161"/>
      <c r="G420" s="1658"/>
      <c r="H420" s="1675">
        <f>H421+H517+H543+H592+H685+H695++H718+H736+H509+H761</f>
        <v>4004.491</v>
      </c>
      <c r="I420" s="848">
        <f>I421+I492+I518+I567+I641+I652+I691+I706+I484</f>
        <v>1871.5079999999998</v>
      </c>
      <c r="J420" s="293">
        <f>J421+J492+J518+J567+J641+J652+J691+J706+J484</f>
        <v>1911.5409999999999</v>
      </c>
      <c r="K420" s="1858"/>
      <c r="L420" s="1858"/>
      <c r="M420" s="1858"/>
      <c r="N420" s="1170">
        <f>N421+N517+N543+N592+N685+N695++N718+N736+N509+N761</f>
        <v>3723.08</v>
      </c>
      <c r="O420" s="1858"/>
      <c r="P420" s="1858"/>
      <c r="Q420" s="1858"/>
      <c r="R420" s="1858"/>
      <c r="S420" s="1858"/>
      <c r="T420" s="1858"/>
      <c r="U420" s="1675">
        <f>U421+U517+U543+U592+U685+U695++U718+U736+U509+U761</f>
        <v>3872.0039999999999</v>
      </c>
    </row>
    <row r="421" spans="1:21" x14ac:dyDescent="0.25">
      <c r="A421" s="32"/>
      <c r="B421" s="1173" t="s">
        <v>431</v>
      </c>
      <c r="C421" s="1174"/>
      <c r="D421" s="1175" t="s">
        <v>456</v>
      </c>
      <c r="E421" s="1175" t="s">
        <v>459</v>
      </c>
      <c r="F421" s="1175"/>
      <c r="G421" s="1660"/>
      <c r="H421" s="1676">
        <f>H428+H434+H456+H474+H486+H492</f>
        <v>4004.491</v>
      </c>
      <c r="I421" s="849">
        <f>I422+I434+I448</f>
        <v>1871.5079999999998</v>
      </c>
      <c r="J421" s="287">
        <f>J422+J434+J448</f>
        <v>1911.5409999999999</v>
      </c>
      <c r="K421" s="1862">
        <f>K433+K439+K440+K442+K461+K462+K463+K465+K467+K473+K479+K491+K495+K496+K497+K498</f>
        <v>3579.8849519999999</v>
      </c>
      <c r="L421" s="1858"/>
      <c r="M421" s="1858"/>
      <c r="N421" s="1176">
        <f>N428+N434+N456+N474+N486+N492</f>
        <v>3723.08</v>
      </c>
      <c r="O421" s="1858"/>
      <c r="P421" s="1858"/>
      <c r="Q421" s="1858"/>
      <c r="R421" s="1858"/>
      <c r="S421" s="1858"/>
      <c r="T421" s="1858"/>
      <c r="U421" s="1676">
        <f>U428+U434+U456+U474+U486+U492</f>
        <v>3872.0039999999999</v>
      </c>
    </row>
    <row r="422" spans="1:21" ht="21" hidden="1" x14ac:dyDescent="0.25">
      <c r="A422" s="32"/>
      <c r="B422" s="752" t="s">
        <v>600</v>
      </c>
      <c r="C422" s="1177"/>
      <c r="D422" s="408" t="s">
        <v>456</v>
      </c>
      <c r="E422" s="408" t="s">
        <v>488</v>
      </c>
      <c r="F422" s="408"/>
      <c r="G422" s="1661"/>
      <c r="H422" s="1677"/>
      <c r="I422" s="850">
        <f t="shared" ref="I422:J426" si="76">I423</f>
        <v>0</v>
      </c>
      <c r="J422" s="355">
        <f t="shared" si="76"/>
        <v>0</v>
      </c>
      <c r="K422" s="1858"/>
      <c r="L422" s="1858"/>
      <c r="M422" s="1858"/>
      <c r="N422" s="1178"/>
      <c r="O422" s="1858"/>
      <c r="P422" s="1858"/>
      <c r="Q422" s="1858"/>
      <c r="R422" s="1858"/>
      <c r="S422" s="1858"/>
      <c r="T422" s="1858"/>
      <c r="U422" s="1677"/>
    </row>
    <row r="423" spans="1:21" ht="21" hidden="1" x14ac:dyDescent="0.25">
      <c r="A423" s="32"/>
      <c r="B423" s="753" t="s">
        <v>599</v>
      </c>
      <c r="C423" s="1180"/>
      <c r="D423" s="409" t="s">
        <v>456</v>
      </c>
      <c r="E423" s="409" t="s">
        <v>488</v>
      </c>
      <c r="F423" s="409" t="s">
        <v>157</v>
      </c>
      <c r="G423" s="1662"/>
      <c r="H423" s="1678"/>
      <c r="I423" s="851">
        <f t="shared" si="76"/>
        <v>0</v>
      </c>
      <c r="J423" s="353">
        <f t="shared" si="76"/>
        <v>0</v>
      </c>
      <c r="K423" s="1858"/>
      <c r="L423" s="1858"/>
      <c r="M423" s="1858"/>
      <c r="N423" s="1181"/>
      <c r="O423" s="1858"/>
      <c r="P423" s="1858"/>
      <c r="Q423" s="1858"/>
      <c r="R423" s="1858"/>
      <c r="S423" s="1858"/>
      <c r="T423" s="1858"/>
      <c r="U423" s="1678"/>
    </row>
    <row r="424" spans="1:21" ht="21" hidden="1" x14ac:dyDescent="0.25">
      <c r="A424" s="32"/>
      <c r="B424" s="753" t="s">
        <v>596</v>
      </c>
      <c r="C424" s="1180"/>
      <c r="D424" s="409" t="s">
        <v>456</v>
      </c>
      <c r="E424" s="409" t="s">
        <v>488</v>
      </c>
      <c r="F424" s="409" t="s">
        <v>598</v>
      </c>
      <c r="G424" s="1662"/>
      <c r="H424" s="1678"/>
      <c r="I424" s="851">
        <f t="shared" si="76"/>
        <v>0</v>
      </c>
      <c r="J424" s="353">
        <f t="shared" si="76"/>
        <v>0</v>
      </c>
      <c r="K424" s="1858"/>
      <c r="L424" s="1858"/>
      <c r="M424" s="1858"/>
      <c r="N424" s="1181"/>
      <c r="O424" s="1858"/>
      <c r="P424" s="1858"/>
      <c r="Q424" s="1858"/>
      <c r="R424" s="1858"/>
      <c r="S424" s="1858"/>
      <c r="T424" s="1858"/>
      <c r="U424" s="1678"/>
    </row>
    <row r="425" spans="1:21" hidden="1" x14ac:dyDescent="0.25">
      <c r="A425" s="32"/>
      <c r="B425" s="753" t="s">
        <v>582</v>
      </c>
      <c r="C425" s="1180"/>
      <c r="D425" s="409" t="s">
        <v>595</v>
      </c>
      <c r="E425" s="409" t="s">
        <v>594</v>
      </c>
      <c r="F425" s="409" t="s">
        <v>597</v>
      </c>
      <c r="G425" s="1662"/>
      <c r="H425" s="1678"/>
      <c r="I425" s="851">
        <f t="shared" si="76"/>
        <v>0</v>
      </c>
      <c r="J425" s="353">
        <f t="shared" si="76"/>
        <v>0</v>
      </c>
      <c r="K425" s="1858"/>
      <c r="L425" s="1858"/>
      <c r="M425" s="1858"/>
      <c r="N425" s="1181"/>
      <c r="O425" s="1858"/>
      <c r="P425" s="1858"/>
      <c r="Q425" s="1858"/>
      <c r="R425" s="1858"/>
      <c r="S425" s="1858"/>
      <c r="T425" s="1858"/>
      <c r="U425" s="1678"/>
    </row>
    <row r="426" spans="1:21" ht="21" hidden="1" x14ac:dyDescent="0.25">
      <c r="A426" s="32"/>
      <c r="B426" s="753" t="s">
        <v>596</v>
      </c>
      <c r="C426" s="1180"/>
      <c r="D426" s="409" t="s">
        <v>595</v>
      </c>
      <c r="E426" s="409" t="s">
        <v>594</v>
      </c>
      <c r="F426" s="409" t="s">
        <v>593</v>
      </c>
      <c r="G426" s="1662"/>
      <c r="H426" s="1678"/>
      <c r="I426" s="851">
        <f t="shared" si="76"/>
        <v>0</v>
      </c>
      <c r="J426" s="353">
        <f t="shared" si="76"/>
        <v>0</v>
      </c>
      <c r="K426" s="1858"/>
      <c r="L426" s="1858"/>
      <c r="M426" s="1858"/>
      <c r="N426" s="1181"/>
      <c r="O426" s="1858"/>
      <c r="P426" s="1858"/>
      <c r="Q426" s="1858"/>
      <c r="R426" s="1858"/>
      <c r="S426" s="1858"/>
      <c r="T426" s="1858"/>
      <c r="U426" s="1678"/>
    </row>
    <row r="427" spans="1:21" hidden="1" x14ac:dyDescent="0.25">
      <c r="A427" s="32"/>
      <c r="B427" s="1182" t="s">
        <v>571</v>
      </c>
      <c r="C427" s="1183"/>
      <c r="D427" s="409" t="s">
        <v>456</v>
      </c>
      <c r="E427" s="409" t="s">
        <v>488</v>
      </c>
      <c r="F427" s="409" t="s">
        <v>593</v>
      </c>
      <c r="G427" s="1662" t="s">
        <v>5</v>
      </c>
      <c r="H427" s="1678"/>
      <c r="I427" s="851"/>
      <c r="J427" s="353"/>
      <c r="K427" s="1858"/>
      <c r="L427" s="1858"/>
      <c r="M427" s="1858"/>
      <c r="N427" s="1181"/>
      <c r="O427" s="1858"/>
      <c r="P427" s="1858"/>
      <c r="Q427" s="1858"/>
      <c r="R427" s="1858"/>
      <c r="S427" s="1858"/>
      <c r="T427" s="1858"/>
      <c r="U427" s="1678"/>
    </row>
    <row r="428" spans="1:21" ht="23" x14ac:dyDescent="0.25">
      <c r="A428" s="32"/>
      <c r="B428" s="1184" t="s">
        <v>600</v>
      </c>
      <c r="C428" s="1183"/>
      <c r="D428" s="408" t="s">
        <v>456</v>
      </c>
      <c r="E428" s="408" t="s">
        <v>488</v>
      </c>
      <c r="F428" s="409"/>
      <c r="G428" s="1662"/>
      <c r="H428" s="1677">
        <f>H429</f>
        <v>1694.001</v>
      </c>
      <c r="I428" s="851"/>
      <c r="J428" s="353"/>
      <c r="K428" s="1858">
        <f>K433+K439+K440+K442</f>
        <v>3579.8849519999999</v>
      </c>
      <c r="L428" s="1858">
        <f>K428-3579.885</f>
        <v>-4.8000000333559001E-5</v>
      </c>
      <c r="M428" s="1858"/>
      <c r="N428" s="1178">
        <f>N429</f>
        <v>1764.761</v>
      </c>
      <c r="O428" s="1858"/>
      <c r="P428" s="1858"/>
      <c r="Q428" s="1858"/>
      <c r="R428" s="1858"/>
      <c r="S428" s="1858"/>
      <c r="T428" s="1858"/>
      <c r="U428" s="1677">
        <f>U429</f>
        <v>1832.232</v>
      </c>
    </row>
    <row r="429" spans="1:21" ht="21" x14ac:dyDescent="0.25">
      <c r="A429" s="32"/>
      <c r="B429" s="753" t="s">
        <v>866</v>
      </c>
      <c r="C429" s="1183"/>
      <c r="D429" s="409" t="s">
        <v>456</v>
      </c>
      <c r="E429" s="409" t="s">
        <v>488</v>
      </c>
      <c r="F429" s="409" t="s">
        <v>157</v>
      </c>
      <c r="G429" s="1662"/>
      <c r="H429" s="1678">
        <f>H430</f>
        <v>1694.001</v>
      </c>
      <c r="I429" s="851"/>
      <c r="J429" s="353"/>
      <c r="K429" s="1858"/>
      <c r="L429" s="1858"/>
      <c r="M429" s="1858"/>
      <c r="N429" s="1181">
        <f>N430</f>
        <v>1764.761</v>
      </c>
      <c r="O429" s="1858"/>
      <c r="P429" s="1858"/>
      <c r="Q429" s="1858"/>
      <c r="R429" s="1858"/>
      <c r="S429" s="1858"/>
      <c r="T429" s="1858"/>
      <c r="U429" s="1678">
        <f>U430</f>
        <v>1832.232</v>
      </c>
    </row>
    <row r="430" spans="1:21" ht="21" x14ac:dyDescent="0.25">
      <c r="A430" s="32"/>
      <c r="B430" s="753" t="s">
        <v>867</v>
      </c>
      <c r="C430" s="1183"/>
      <c r="D430" s="409" t="s">
        <v>456</v>
      </c>
      <c r="E430" s="409" t="s">
        <v>488</v>
      </c>
      <c r="F430" s="409" t="s">
        <v>598</v>
      </c>
      <c r="G430" s="1662"/>
      <c r="H430" s="1678">
        <f>H431</f>
        <v>1694.001</v>
      </c>
      <c r="I430" s="851"/>
      <c r="J430" s="353"/>
      <c r="K430" s="1858"/>
      <c r="L430" s="1858"/>
      <c r="M430" s="1858"/>
      <c r="N430" s="1181">
        <f>N431</f>
        <v>1764.761</v>
      </c>
      <c r="O430" s="1858"/>
      <c r="P430" s="1858"/>
      <c r="Q430" s="1858"/>
      <c r="R430" s="1858"/>
      <c r="S430" s="1858"/>
      <c r="T430" s="1858"/>
      <c r="U430" s="1678">
        <f>U431</f>
        <v>1832.232</v>
      </c>
    </row>
    <row r="431" spans="1:21" x14ac:dyDescent="0.25">
      <c r="A431" s="32"/>
      <c r="B431" s="753" t="s">
        <v>582</v>
      </c>
      <c r="C431" s="1183"/>
      <c r="D431" s="409" t="s">
        <v>456</v>
      </c>
      <c r="E431" s="409" t="s">
        <v>488</v>
      </c>
      <c r="F431" s="409" t="s">
        <v>597</v>
      </c>
      <c r="G431" s="1662"/>
      <c r="H431" s="1678">
        <f>H432</f>
        <v>1694.001</v>
      </c>
      <c r="I431" s="851"/>
      <c r="J431" s="353"/>
      <c r="K431" s="1858"/>
      <c r="L431" s="1858"/>
      <c r="M431" s="1858"/>
      <c r="N431" s="1181">
        <f>N432</f>
        <v>1764.761</v>
      </c>
      <c r="O431" s="1858"/>
      <c r="P431" s="1858"/>
      <c r="Q431" s="1858"/>
      <c r="R431" s="1858"/>
      <c r="S431" s="1858"/>
      <c r="T431" s="1858"/>
      <c r="U431" s="1678">
        <f>U432</f>
        <v>1832.232</v>
      </c>
    </row>
    <row r="432" spans="1:21" ht="21" x14ac:dyDescent="0.25">
      <c r="A432" s="32"/>
      <c r="B432" s="753" t="s">
        <v>867</v>
      </c>
      <c r="C432" s="1183"/>
      <c r="D432" s="409" t="s">
        <v>456</v>
      </c>
      <c r="E432" s="409" t="s">
        <v>488</v>
      </c>
      <c r="F432" s="409" t="s">
        <v>593</v>
      </c>
      <c r="G432" s="1662"/>
      <c r="H432" s="1678">
        <f>H433</f>
        <v>1694.001</v>
      </c>
      <c r="I432" s="851"/>
      <c r="J432" s="353"/>
      <c r="K432" s="1858"/>
      <c r="L432" s="1858"/>
      <c r="M432" s="1858"/>
      <c r="N432" s="1181">
        <f>N433</f>
        <v>1764.761</v>
      </c>
      <c r="O432" s="1858"/>
      <c r="P432" s="1858"/>
      <c r="Q432" s="1858"/>
      <c r="R432" s="1858"/>
      <c r="S432" s="1858"/>
      <c r="T432" s="1858"/>
      <c r="U432" s="1678">
        <f>U433</f>
        <v>1832.232</v>
      </c>
    </row>
    <row r="433" spans="1:21" x14ac:dyDescent="0.25">
      <c r="A433" s="32"/>
      <c r="B433" s="1185" t="s">
        <v>571</v>
      </c>
      <c r="C433" s="1183"/>
      <c r="D433" s="409" t="s">
        <v>456</v>
      </c>
      <c r="E433" s="409" t="s">
        <v>488</v>
      </c>
      <c r="F433" s="409" t="s">
        <v>593</v>
      </c>
      <c r="G433" s="1662" t="s">
        <v>5</v>
      </c>
      <c r="H433" s="1678">
        <v>1694.001</v>
      </c>
      <c r="I433" s="851"/>
      <c r="J433" s="353"/>
      <c r="K433" s="1858">
        <f>1301.076*130.2/100</f>
        <v>1694.0009519999999</v>
      </c>
      <c r="L433" s="1858"/>
      <c r="M433" s="1858"/>
      <c r="N433" s="1181">
        <v>1764.761</v>
      </c>
      <c r="O433" s="1858"/>
      <c r="P433" s="1858"/>
      <c r="Q433" s="1858"/>
      <c r="R433" s="1858"/>
      <c r="S433" s="1858"/>
      <c r="T433" s="1858"/>
      <c r="U433" s="1678">
        <v>1832.232</v>
      </c>
    </row>
    <row r="434" spans="1:21" ht="34.5" x14ac:dyDescent="0.25">
      <c r="A434" s="32"/>
      <c r="B434" s="1184" t="s">
        <v>592</v>
      </c>
      <c r="C434" s="1177"/>
      <c r="D434" s="408" t="s">
        <v>456</v>
      </c>
      <c r="E434" s="408" t="s">
        <v>495</v>
      </c>
      <c r="F434" s="408"/>
      <c r="G434" s="1661"/>
      <c r="H434" s="1677">
        <f>H435</f>
        <v>2310.4900000000002</v>
      </c>
      <c r="I434" s="850">
        <f>I435</f>
        <v>1871.5079999999998</v>
      </c>
      <c r="J434" s="355">
        <f>J435</f>
        <v>1911.5409999999999</v>
      </c>
      <c r="K434" s="1858"/>
      <c r="L434" s="1858"/>
      <c r="M434" s="1858"/>
      <c r="N434" s="1178">
        <f>N435</f>
        <v>1958.319</v>
      </c>
      <c r="O434" s="1858"/>
      <c r="P434" s="1858"/>
      <c r="Q434" s="1858"/>
      <c r="R434" s="1858"/>
      <c r="S434" s="1858"/>
      <c r="T434" s="1858"/>
      <c r="U434" s="1677">
        <f>U435</f>
        <v>2039.7719999999999</v>
      </c>
    </row>
    <row r="435" spans="1:21" ht="21" x14ac:dyDescent="0.25">
      <c r="A435" s="32"/>
      <c r="B435" s="753" t="s">
        <v>588</v>
      </c>
      <c r="C435" s="1180"/>
      <c r="D435" s="409" t="s">
        <v>456</v>
      </c>
      <c r="E435" s="409" t="s">
        <v>495</v>
      </c>
      <c r="F435" s="409" t="s">
        <v>157</v>
      </c>
      <c r="G435" s="1662"/>
      <c r="H435" s="1678">
        <f>H436+H444</f>
        <v>2310.4900000000002</v>
      </c>
      <c r="I435" s="851">
        <f>I436+I444</f>
        <v>1871.5079999999998</v>
      </c>
      <c r="J435" s="353">
        <f>J436+J444</f>
        <v>1911.5409999999999</v>
      </c>
      <c r="K435" s="1858"/>
      <c r="L435" s="1858"/>
      <c r="M435" s="1858"/>
      <c r="N435" s="1181">
        <f>N436+N444</f>
        <v>1958.319</v>
      </c>
      <c r="O435" s="1858"/>
      <c r="P435" s="1858"/>
      <c r="Q435" s="1858"/>
      <c r="R435" s="1858"/>
      <c r="S435" s="1858"/>
      <c r="T435" s="1858"/>
      <c r="U435" s="1678">
        <f>U436+U444</f>
        <v>2039.7719999999999</v>
      </c>
    </row>
    <row r="436" spans="1:21" ht="21" x14ac:dyDescent="0.25">
      <c r="A436" s="32"/>
      <c r="B436" s="753" t="s">
        <v>591</v>
      </c>
      <c r="C436" s="1180"/>
      <c r="D436" s="409" t="s">
        <v>456</v>
      </c>
      <c r="E436" s="409" t="s">
        <v>495</v>
      </c>
      <c r="F436" s="409" t="s">
        <v>155</v>
      </c>
      <c r="G436" s="1662"/>
      <c r="H436" s="1678">
        <f t="shared" ref="H436:J437" si="77">H437</f>
        <v>2310.4900000000002</v>
      </c>
      <c r="I436" s="851">
        <f t="shared" si="77"/>
        <v>1871.5079999999998</v>
      </c>
      <c r="J436" s="353">
        <f t="shared" si="77"/>
        <v>1911.5409999999999</v>
      </c>
      <c r="K436" s="1858"/>
      <c r="L436" s="1858"/>
      <c r="M436" s="1858"/>
      <c r="N436" s="1181">
        <f t="shared" ref="N436:N437" si="78">N437</f>
        <v>1958.319</v>
      </c>
      <c r="O436" s="1858"/>
      <c r="P436" s="1858"/>
      <c r="Q436" s="1858"/>
      <c r="R436" s="1858"/>
      <c r="S436" s="1858"/>
      <c r="T436" s="1858"/>
      <c r="U436" s="1678">
        <f t="shared" ref="U436:U437" si="79">U437</f>
        <v>2039.7719999999999</v>
      </c>
    </row>
    <row r="437" spans="1:21" x14ac:dyDescent="0.25">
      <c r="A437" s="32"/>
      <c r="B437" s="753" t="s">
        <v>582</v>
      </c>
      <c r="C437" s="1180"/>
      <c r="D437" s="409" t="s">
        <v>456</v>
      </c>
      <c r="E437" s="409" t="s">
        <v>495</v>
      </c>
      <c r="F437" s="409" t="s">
        <v>154</v>
      </c>
      <c r="G437" s="1662"/>
      <c r="H437" s="1678">
        <f t="shared" si="77"/>
        <v>2310.4900000000002</v>
      </c>
      <c r="I437" s="851">
        <f t="shared" si="77"/>
        <v>1871.5079999999998</v>
      </c>
      <c r="J437" s="353">
        <f t="shared" si="77"/>
        <v>1911.5409999999999</v>
      </c>
      <c r="K437" s="1858"/>
      <c r="L437" s="1858"/>
      <c r="M437" s="1858"/>
      <c r="N437" s="1181">
        <f t="shared" si="78"/>
        <v>1958.319</v>
      </c>
      <c r="O437" s="1858"/>
      <c r="P437" s="1858"/>
      <c r="Q437" s="1858"/>
      <c r="R437" s="1858"/>
      <c r="S437" s="1858"/>
      <c r="T437" s="1858"/>
      <c r="U437" s="1678">
        <f t="shared" si="79"/>
        <v>2039.7719999999999</v>
      </c>
    </row>
    <row r="438" spans="1:21" x14ac:dyDescent="0.25">
      <c r="A438" s="32"/>
      <c r="B438" s="753" t="s">
        <v>153</v>
      </c>
      <c r="C438" s="1180"/>
      <c r="D438" s="409" t="s">
        <v>456</v>
      </c>
      <c r="E438" s="409" t="s">
        <v>495</v>
      </c>
      <c r="F438" s="409" t="s">
        <v>152</v>
      </c>
      <c r="G438" s="1662"/>
      <c r="H438" s="1678">
        <f>H439+H440+H442+H441</f>
        <v>2310.4900000000002</v>
      </c>
      <c r="I438" s="851">
        <f>I439+I440</f>
        <v>1871.5079999999998</v>
      </c>
      <c r="J438" s="353">
        <f>J439+J440</f>
        <v>1911.5409999999999</v>
      </c>
      <c r="K438" s="1858"/>
      <c r="L438" s="1858"/>
      <c r="M438" s="1858"/>
      <c r="N438" s="1181">
        <f>N439+N440+N442</f>
        <v>1958.319</v>
      </c>
      <c r="O438" s="1858"/>
      <c r="P438" s="1858"/>
      <c r="Q438" s="1858"/>
      <c r="R438" s="1858"/>
      <c r="S438" s="1858"/>
      <c r="T438" s="1858"/>
      <c r="U438" s="1678">
        <f>U439+U440+U442</f>
        <v>2039.7719999999999</v>
      </c>
    </row>
    <row r="439" spans="1:21" x14ac:dyDescent="0.25">
      <c r="A439" s="32"/>
      <c r="B439" s="1182" t="s">
        <v>571</v>
      </c>
      <c r="C439" s="1183"/>
      <c r="D439" s="409" t="s">
        <v>456</v>
      </c>
      <c r="E439" s="409" t="s">
        <v>495</v>
      </c>
      <c r="F439" s="409" t="s">
        <v>152</v>
      </c>
      <c r="G439" s="1662" t="s">
        <v>5</v>
      </c>
      <c r="H439" s="1678">
        <v>955.79899999999998</v>
      </c>
      <c r="I439" s="851">
        <v>672.428</v>
      </c>
      <c r="J439" s="352">
        <v>739.67200000000003</v>
      </c>
      <c r="K439" s="1858">
        <v>955.79899999999998</v>
      </c>
      <c r="L439" s="1858"/>
      <c r="M439" s="1858"/>
      <c r="N439" s="1181">
        <v>994.03099999999995</v>
      </c>
      <c r="O439" s="1858"/>
      <c r="P439" s="1858"/>
      <c r="Q439" s="1858"/>
      <c r="R439" s="1858"/>
      <c r="S439" s="1858"/>
      <c r="T439" s="1858"/>
      <c r="U439" s="1678">
        <v>1033.7919999999999</v>
      </c>
    </row>
    <row r="440" spans="1:21" ht="21" x14ac:dyDescent="0.25">
      <c r="A440" s="32"/>
      <c r="B440" s="1182" t="s">
        <v>454</v>
      </c>
      <c r="C440" s="1183"/>
      <c r="D440" s="409" t="s">
        <v>456</v>
      </c>
      <c r="E440" s="409" t="s">
        <v>495</v>
      </c>
      <c r="F440" s="409" t="s">
        <v>152</v>
      </c>
      <c r="G440" s="1662" t="s">
        <v>1</v>
      </c>
      <c r="H440" s="1838">
        <f>925.085+419.814-30</f>
        <v>1314.8990000000001</v>
      </c>
      <c r="I440" s="851">
        <v>1199.08</v>
      </c>
      <c r="J440" s="352">
        <v>1171.8689999999999</v>
      </c>
      <c r="K440" s="1859">
        <f>1068.271-143.186</f>
        <v>925.08499999999992</v>
      </c>
      <c r="L440" s="1858"/>
      <c r="M440" s="1858"/>
      <c r="N440" s="1840">
        <v>964.28800000000001</v>
      </c>
      <c r="O440" s="1858"/>
      <c r="P440" s="1858"/>
      <c r="Q440" s="1858"/>
      <c r="R440" s="1858"/>
      <c r="S440" s="1858"/>
      <c r="T440" s="1858"/>
      <c r="U440" s="1838">
        <v>1005.98</v>
      </c>
    </row>
    <row r="441" spans="1:21" x14ac:dyDescent="0.25">
      <c r="A441" s="1478"/>
      <c r="B441" s="1191" t="s">
        <v>1003</v>
      </c>
      <c r="C441" s="1192"/>
      <c r="D441" s="409" t="s">
        <v>456</v>
      </c>
      <c r="E441" s="409" t="s">
        <v>495</v>
      </c>
      <c r="F441" s="409" t="s">
        <v>152</v>
      </c>
      <c r="G441" s="1663" t="s">
        <v>95</v>
      </c>
      <c r="H441" s="1896">
        <f>4.792+30</f>
        <v>34.792000000000002</v>
      </c>
      <c r="I441" s="852"/>
      <c r="J441" s="1897"/>
      <c r="K441" s="1859"/>
      <c r="L441" s="1858"/>
      <c r="M441" s="1858"/>
      <c r="N441" s="1898"/>
      <c r="O441" s="1858"/>
      <c r="P441" s="1858"/>
      <c r="Q441" s="1858"/>
      <c r="R441" s="1858"/>
      <c r="S441" s="1858"/>
      <c r="T441" s="1858"/>
      <c r="U441" s="1896"/>
    </row>
    <row r="442" spans="1:21" ht="13" thickBot="1" x14ac:dyDescent="0.3">
      <c r="A442" s="26"/>
      <c r="B442" s="1259" t="s">
        <v>457</v>
      </c>
      <c r="C442" s="1260"/>
      <c r="D442" s="1261" t="s">
        <v>456</v>
      </c>
      <c r="E442" s="1261" t="s">
        <v>495</v>
      </c>
      <c r="F442" s="1261" t="s">
        <v>152</v>
      </c>
      <c r="G442" s="1672" t="s">
        <v>91</v>
      </c>
      <c r="H442" s="1899">
        <v>5</v>
      </c>
      <c r="I442" s="1900"/>
      <c r="J442" s="1901"/>
      <c r="K442" s="1902">
        <v>5</v>
      </c>
      <c r="L442" s="1903"/>
      <c r="M442" s="1903"/>
      <c r="N442" s="1904"/>
      <c r="O442" s="1903"/>
      <c r="P442" s="1903"/>
      <c r="Q442" s="1903"/>
      <c r="R442" s="1903"/>
      <c r="S442" s="1903"/>
      <c r="T442" s="1903"/>
      <c r="U442" s="1899"/>
    </row>
  </sheetData>
  <mergeCells count="5">
    <mergeCell ref="H5:U5"/>
    <mergeCell ref="B12:H12"/>
    <mergeCell ref="A13:U13"/>
    <mergeCell ref="A14:U14"/>
    <mergeCell ref="A15:U15"/>
  </mergeCells>
  <pageMargins left="0.59055118110236227" right="0.59055118110236227" top="0.31496062992125984" bottom="0.31496062992125984" header="0.31496062992125984" footer="0.31496062992125984"/>
  <pageSetup paperSize="9" scale="52" firstPageNumber="55" fitToHeight="3" orientation="portrait" useFirstPageNumber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Y386"/>
  <sheetViews>
    <sheetView zoomScale="90" zoomScaleNormal="90" zoomScaleSheetLayoutView="86" workbookViewId="0">
      <selection activeCell="AB88" sqref="AB88"/>
    </sheetView>
  </sheetViews>
  <sheetFormatPr defaultColWidth="9.1796875" defaultRowHeight="12.5" x14ac:dyDescent="0.25"/>
  <cols>
    <col min="1" max="1" width="5.26953125" style="1" customWidth="1"/>
    <col min="2" max="2" width="62.453125" style="6" customWidth="1"/>
    <col min="3" max="3" width="10" style="5" customWidth="1"/>
    <col min="4" max="4" width="9.26953125" style="4" customWidth="1"/>
    <col min="5" max="5" width="10.453125" style="4" customWidth="1"/>
    <col min="6" max="6" width="11.54296875" style="4" customWidth="1"/>
    <col min="7" max="7" width="10.26953125" style="4" customWidth="1"/>
    <col min="8" max="8" width="14.7265625" style="263" customWidth="1"/>
    <col min="9" max="9" width="18.7265625" style="263" hidden="1" customWidth="1"/>
    <col min="10" max="10" width="15.7265625" style="1" hidden="1" customWidth="1"/>
    <col min="11" max="11" width="11.1796875" style="1" hidden="1" customWidth="1"/>
    <col min="12" max="12" width="14.7265625" style="1" hidden="1" customWidth="1"/>
    <col min="13" max="13" width="13.1796875" style="1" hidden="1" customWidth="1"/>
    <col min="14" max="14" width="14.7265625" style="263" customWidth="1"/>
    <col min="15" max="16" width="8.81640625" style="1" hidden="1" customWidth="1"/>
    <col min="17" max="17" width="15.453125" style="1" hidden="1" customWidth="1"/>
    <col min="18" max="20" width="9.1796875" style="1" hidden="1" customWidth="1"/>
    <col min="21" max="21" width="14.7265625" style="263" customWidth="1"/>
    <col min="22" max="22" width="10.453125" style="1" hidden="1" customWidth="1"/>
    <col min="23" max="24" width="10.1796875" style="1" hidden="1" customWidth="1"/>
    <col min="25" max="25" width="0" style="1" hidden="1" customWidth="1"/>
    <col min="26" max="16384" width="9.1796875" style="1"/>
  </cols>
  <sheetData>
    <row r="1" spans="1:22" ht="15.5" x14ac:dyDescent="0.35">
      <c r="E1" s="1030"/>
      <c r="F1" s="1030"/>
      <c r="G1" s="1030"/>
      <c r="H1" s="1724"/>
      <c r="I1" s="261"/>
      <c r="J1" s="261"/>
      <c r="K1" s="261"/>
      <c r="L1" s="261"/>
      <c r="M1" s="261"/>
      <c r="O1" s="261"/>
      <c r="P1" s="261"/>
      <c r="Q1" s="261"/>
      <c r="R1" s="261"/>
      <c r="U1" s="1724" t="s">
        <v>946</v>
      </c>
    </row>
    <row r="2" spans="1:22" ht="15.5" x14ac:dyDescent="0.35">
      <c r="E2" s="261"/>
      <c r="F2" s="261"/>
      <c r="G2" s="261"/>
      <c r="H2" s="1724"/>
      <c r="I2" s="261"/>
      <c r="J2" s="261"/>
      <c r="K2" s="261"/>
      <c r="L2" s="261"/>
      <c r="M2" s="261"/>
      <c r="P2" s="261"/>
      <c r="Q2" s="261"/>
      <c r="R2" s="261"/>
      <c r="U2" s="1724" t="s">
        <v>450</v>
      </c>
    </row>
    <row r="3" spans="1:22" ht="15.5" x14ac:dyDescent="0.35">
      <c r="E3" s="261"/>
      <c r="F3" s="261"/>
      <c r="G3" s="261"/>
      <c r="H3" s="1724"/>
      <c r="I3" s="261"/>
      <c r="J3" s="261"/>
      <c r="K3" s="261"/>
      <c r="L3" s="261"/>
      <c r="M3" s="261"/>
      <c r="O3" s="261"/>
      <c r="P3" s="261"/>
      <c r="Q3" s="261"/>
      <c r="R3" s="261"/>
      <c r="U3" s="1724" t="s">
        <v>449</v>
      </c>
    </row>
    <row r="4" spans="1:22" ht="15.5" x14ac:dyDescent="0.35">
      <c r="E4" s="261"/>
      <c r="F4" s="261"/>
      <c r="G4" s="261"/>
      <c r="H4" s="1724"/>
      <c r="I4" s="261"/>
      <c r="J4" s="261"/>
      <c r="K4" s="261"/>
      <c r="L4" s="261"/>
      <c r="M4" s="261"/>
      <c r="O4" s="261"/>
      <c r="P4" s="261"/>
      <c r="Q4" s="261"/>
      <c r="R4" s="261"/>
      <c r="U4" s="1724" t="s">
        <v>448</v>
      </c>
    </row>
    <row r="5" spans="1:22" ht="15.5" x14ac:dyDescent="0.25">
      <c r="E5" s="388"/>
      <c r="F5" s="388"/>
      <c r="G5" s="388"/>
      <c r="H5" s="3164" t="s">
        <v>991</v>
      </c>
      <c r="I5" s="3164"/>
      <c r="J5" s="3164"/>
      <c r="K5" s="3164"/>
      <c r="L5" s="3164"/>
      <c r="M5" s="3164"/>
      <c r="N5" s="3164"/>
      <c r="O5" s="3164"/>
      <c r="P5" s="3164"/>
      <c r="Q5" s="3164"/>
      <c r="R5" s="3164"/>
      <c r="S5" s="3164"/>
      <c r="T5" s="3164"/>
      <c r="U5" s="3164"/>
      <c r="V5" s="258"/>
    </row>
    <row r="6" spans="1:22" ht="15.5" x14ac:dyDescent="0.35">
      <c r="I6" s="4"/>
      <c r="J6" s="4"/>
      <c r="K6" s="4"/>
      <c r="L6" s="4"/>
      <c r="M6" s="263"/>
      <c r="O6" s="1724"/>
      <c r="P6" s="1724"/>
      <c r="Q6" s="1724"/>
      <c r="R6" s="1724"/>
    </row>
    <row r="7" spans="1:22" ht="15.5" hidden="1" x14ac:dyDescent="0.35">
      <c r="E7" s="254"/>
      <c r="F7" s="254"/>
      <c r="G7" s="254"/>
      <c r="H7" s="1744" t="s">
        <v>446</v>
      </c>
      <c r="I7" s="4"/>
      <c r="J7" s="254"/>
      <c r="K7" s="254"/>
      <c r="L7" s="254"/>
      <c r="M7" s="1744"/>
      <c r="N7" s="1744" t="s">
        <v>446</v>
      </c>
      <c r="O7" s="1724"/>
      <c r="P7" s="1724"/>
      <c r="Q7" s="1724"/>
      <c r="R7" s="1724"/>
      <c r="U7" s="1744" t="s">
        <v>446</v>
      </c>
    </row>
    <row r="8" spans="1:22" ht="15.5" hidden="1" x14ac:dyDescent="0.35">
      <c r="E8" s="254"/>
      <c r="F8" s="254"/>
      <c r="G8" s="254"/>
      <c r="H8" s="384"/>
      <c r="I8" s="4"/>
      <c r="J8" s="254"/>
      <c r="K8" s="254"/>
      <c r="L8" s="254"/>
      <c r="M8" s="384"/>
      <c r="N8" s="384"/>
      <c r="P8" s="1724"/>
      <c r="Q8" s="1724"/>
      <c r="U8" s="384"/>
    </row>
    <row r="9" spans="1:22" ht="15.5" hidden="1" x14ac:dyDescent="0.35">
      <c r="E9" s="254"/>
      <c r="F9" s="254"/>
      <c r="G9" s="254"/>
      <c r="H9" s="1744" t="s">
        <v>848</v>
      </c>
      <c r="I9" s="4"/>
      <c r="J9" s="254"/>
      <c r="K9" s="254"/>
      <c r="L9" s="254"/>
      <c r="M9" s="1744"/>
      <c r="N9" s="1744" t="s">
        <v>848</v>
      </c>
      <c r="O9" s="1724"/>
      <c r="P9" s="1724"/>
      <c r="Q9" s="1724"/>
      <c r="R9" s="1724"/>
      <c r="U9" s="1744" t="s">
        <v>848</v>
      </c>
    </row>
    <row r="10" spans="1:22" ht="15.5" hidden="1" x14ac:dyDescent="0.35">
      <c r="H10" s="390"/>
      <c r="I10" s="391">
        <v>73707.5</v>
      </c>
      <c r="J10" s="4"/>
      <c r="K10" s="4"/>
      <c r="L10" s="4"/>
      <c r="M10" s="263"/>
      <c r="N10" s="390"/>
      <c r="O10" s="1724"/>
      <c r="P10" s="1724"/>
      <c r="Q10" s="1724"/>
      <c r="U10" s="390"/>
    </row>
    <row r="11" spans="1:22" ht="13" x14ac:dyDescent="0.3">
      <c r="G11" s="392"/>
      <c r="H11" s="393"/>
      <c r="I11" s="394">
        <v>3685.4</v>
      </c>
      <c r="N11" s="393"/>
      <c r="U11" s="393"/>
    </row>
    <row r="12" spans="1:22" ht="15.5" x14ac:dyDescent="0.3">
      <c r="B12" s="3387"/>
      <c r="C12" s="3387"/>
      <c r="D12" s="3387"/>
      <c r="E12" s="3387"/>
      <c r="F12" s="3387"/>
      <c r="G12" s="3387"/>
      <c r="H12" s="3387"/>
      <c r="I12" s="395" t="e">
        <f>I10-I11-#REF!</f>
        <v>#REF!</v>
      </c>
      <c r="N12" s="1"/>
      <c r="U12" s="1"/>
    </row>
    <row r="13" spans="1:22" ht="15.65" customHeight="1" x14ac:dyDescent="0.25">
      <c r="A13" s="3388" t="s">
        <v>614</v>
      </c>
      <c r="B13" s="3388"/>
      <c r="C13" s="3388"/>
      <c r="D13" s="3388"/>
      <c r="E13" s="3388"/>
      <c r="F13" s="3388"/>
      <c r="G13" s="3388"/>
      <c r="H13" s="3388"/>
      <c r="I13" s="3388"/>
      <c r="J13" s="3388"/>
      <c r="K13" s="3388"/>
      <c r="L13" s="3388"/>
      <c r="M13" s="3388"/>
      <c r="N13" s="3388"/>
      <c r="O13" s="3388"/>
      <c r="P13" s="3388"/>
      <c r="Q13" s="3388"/>
      <c r="R13" s="3388"/>
      <c r="S13" s="3388"/>
      <c r="T13" s="3388"/>
      <c r="U13" s="3388"/>
    </row>
    <row r="14" spans="1:22" ht="15.65" customHeight="1" x14ac:dyDescent="0.25">
      <c r="A14" s="3388" t="s">
        <v>613</v>
      </c>
      <c r="B14" s="3388"/>
      <c r="C14" s="3388"/>
      <c r="D14" s="3388"/>
      <c r="E14" s="3388"/>
      <c r="F14" s="3388"/>
      <c r="G14" s="3388"/>
      <c r="H14" s="3388"/>
      <c r="I14" s="3388"/>
      <c r="J14" s="3388"/>
      <c r="K14" s="3388"/>
      <c r="L14" s="3388"/>
      <c r="M14" s="3388"/>
      <c r="N14" s="3388"/>
      <c r="O14" s="3388"/>
      <c r="P14" s="3388"/>
      <c r="Q14" s="3388"/>
      <c r="R14" s="3388"/>
      <c r="S14" s="3388"/>
      <c r="T14" s="3388"/>
      <c r="U14" s="3388"/>
    </row>
    <row r="15" spans="1:22" ht="15" customHeight="1" x14ac:dyDescent="0.25">
      <c r="A15" s="3388" t="s">
        <v>995</v>
      </c>
      <c r="B15" s="3388"/>
      <c r="C15" s="3388"/>
      <c r="D15" s="3388"/>
      <c r="E15" s="3388"/>
      <c r="F15" s="3388"/>
      <c r="G15" s="3388"/>
      <c r="H15" s="3388"/>
      <c r="I15" s="3388"/>
      <c r="J15" s="3388"/>
      <c r="K15" s="3388"/>
      <c r="L15" s="3388"/>
      <c r="M15" s="3388"/>
      <c r="N15" s="3388"/>
      <c r="O15" s="3388"/>
      <c r="P15" s="3388"/>
      <c r="Q15" s="3388"/>
      <c r="R15" s="3388"/>
      <c r="S15" s="3388"/>
      <c r="T15" s="3388"/>
      <c r="U15" s="3388"/>
    </row>
    <row r="16" spans="1:22" ht="16" thickBot="1" x14ac:dyDescent="0.4">
      <c r="A16" s="375"/>
      <c r="B16" s="236"/>
      <c r="C16" s="235"/>
      <c r="D16" s="234"/>
      <c r="E16" s="234"/>
      <c r="F16" s="234"/>
      <c r="G16" s="234"/>
      <c r="H16" s="1157"/>
      <c r="I16" s="1747"/>
      <c r="N16" s="1157"/>
      <c r="U16" s="1157" t="s">
        <v>829</v>
      </c>
    </row>
    <row r="17" spans="1:21" ht="13" thickBot="1" x14ac:dyDescent="0.3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845</v>
      </c>
      <c r="I17" s="846" t="s">
        <v>604</v>
      </c>
      <c r="J17" s="368" t="s">
        <v>603</v>
      </c>
      <c r="N17" s="1162" t="s">
        <v>904</v>
      </c>
      <c r="U17" s="1673" t="s">
        <v>996</v>
      </c>
    </row>
    <row r="18" spans="1:21" ht="13.5" thickBot="1" x14ac:dyDescent="0.3">
      <c r="A18" s="1163"/>
      <c r="B18" s="1164" t="s">
        <v>618</v>
      </c>
      <c r="C18" s="1165"/>
      <c r="D18" s="1166"/>
      <c r="E18" s="1166"/>
      <c r="F18" s="1166"/>
      <c r="G18" s="1659"/>
      <c r="H18" s="1674">
        <f>H20</f>
        <v>96919.736000000004</v>
      </c>
      <c r="I18" s="847">
        <f>I19+I53+I363</f>
        <v>78942.399999999994</v>
      </c>
      <c r="J18" s="363">
        <f>J19+J53+J363</f>
        <v>79872.899999999994</v>
      </c>
      <c r="K18" s="1438">
        <f>K21+K118+K139+K145+K177+K183+K194+K210+K213+K218+K241+K279+K288+K310+K327+K351</f>
        <v>94361.999951999998</v>
      </c>
      <c r="L18" s="237">
        <v>95708.6</v>
      </c>
      <c r="M18" s="237">
        <f>H18-L18</f>
        <v>1211.1359999999986</v>
      </c>
      <c r="N18" s="1167">
        <f>N20</f>
        <v>94576.186999999991</v>
      </c>
      <c r="U18" s="1674">
        <f>U20</f>
        <v>94721.56</v>
      </c>
    </row>
    <row r="19" spans="1:21" ht="21.5" hidden="1" thickBot="1" x14ac:dyDescent="0.3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25493.936999999998</v>
      </c>
      <c r="I19" s="848">
        <f>I21</f>
        <v>2531.0699999999997</v>
      </c>
      <c r="J19" s="292">
        <f>J21</f>
        <v>2637.06</v>
      </c>
      <c r="N19" s="1170">
        <f>N21</f>
        <v>24974.25</v>
      </c>
      <c r="U19" s="1675">
        <f>U21</f>
        <v>25943.338</v>
      </c>
    </row>
    <row r="20" spans="1:21" ht="23.5" thickBot="1" x14ac:dyDescent="0.3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H21+H116+H142+H191+H276+H286++H309+H327+H108+H352</f>
        <v>96919.736000000004</v>
      </c>
      <c r="I20" s="848">
        <f>I21+I91+I117+I166+I240+I251+I282+I297+I83</f>
        <v>44063.945</v>
      </c>
      <c r="J20" s="293">
        <f>J21+J91+J117+J166+J240+J251+J282+J297+J83</f>
        <v>42129.229999999996</v>
      </c>
      <c r="N20" s="1170">
        <f>N21+N116+N142+N191+N276+N286++N309+N327+N108+N352</f>
        <v>94576.186999999991</v>
      </c>
      <c r="U20" s="1675">
        <f>U21+U116+U142+U191+U276+U286++U309+U327+U108+U352</f>
        <v>94721.56</v>
      </c>
    </row>
    <row r="21" spans="1:21" x14ac:dyDescent="0.25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H28+H34+H55+H73+H85+H91</f>
        <v>25493.936999999998</v>
      </c>
      <c r="I21" s="849">
        <f>I22+I34+I47</f>
        <v>2531.0699999999997</v>
      </c>
      <c r="J21" s="287">
        <f>J22+J34+J47</f>
        <v>2637.06</v>
      </c>
      <c r="K21" s="1440">
        <f>K33+K39+K40+K41+K60+K61+K62+K64+K66+K72+K78+K90+K94+K95+K96+K97</f>
        <v>24845.036951999999</v>
      </c>
      <c r="N21" s="1176">
        <f>N28+N34+N55+N73+N85+N91</f>
        <v>24974.25</v>
      </c>
      <c r="U21" s="1676">
        <f>U28+U34+U55+U73+U85+U91</f>
        <v>25943.338</v>
      </c>
    </row>
    <row r="22" spans="1:21" ht="21" hidden="1" x14ac:dyDescent="0.25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N22" s="1178"/>
      <c r="U22" s="1677"/>
    </row>
    <row r="23" spans="1:21" ht="21" hidden="1" x14ac:dyDescent="0.25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N23" s="1181"/>
      <c r="U23" s="1678"/>
    </row>
    <row r="24" spans="1:21" ht="21" hidden="1" x14ac:dyDescent="0.25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N24" s="1181"/>
      <c r="U24" s="1678"/>
    </row>
    <row r="25" spans="1:21" hidden="1" x14ac:dyDescent="0.25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N25" s="1181"/>
      <c r="U25" s="1678"/>
    </row>
    <row r="26" spans="1:21" ht="21" hidden="1" x14ac:dyDescent="0.25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N26" s="1181"/>
      <c r="U26" s="1678"/>
    </row>
    <row r="27" spans="1:21" hidden="1" x14ac:dyDescent="0.25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N27" s="1181"/>
      <c r="U27" s="1678"/>
    </row>
    <row r="28" spans="1:21" ht="23" x14ac:dyDescent="0.25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>
        <f>H29</f>
        <v>1694.001</v>
      </c>
      <c r="I28" s="851"/>
      <c r="J28" s="353"/>
      <c r="K28" s="237">
        <f>K33+K39+K40+K41</f>
        <v>3579.8849519999999</v>
      </c>
      <c r="L28" s="237">
        <f>K28-3579.885</f>
        <v>-4.8000000333559001E-5</v>
      </c>
      <c r="N28" s="1178">
        <f>N29</f>
        <v>1764.761</v>
      </c>
      <c r="U28" s="1677">
        <f>U29</f>
        <v>1832.232</v>
      </c>
    </row>
    <row r="29" spans="1:21" ht="24.75" customHeight="1" x14ac:dyDescent="0.25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>
        <f>H30</f>
        <v>1694.001</v>
      </c>
      <c r="I29" s="851"/>
      <c r="J29" s="353"/>
      <c r="N29" s="1181">
        <f>N30</f>
        <v>1764.761</v>
      </c>
      <c r="U29" s="1678">
        <f>U30</f>
        <v>1832.232</v>
      </c>
    </row>
    <row r="30" spans="1:21" ht="21" x14ac:dyDescent="0.25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>
        <f>H31</f>
        <v>1694.001</v>
      </c>
      <c r="I30" s="851"/>
      <c r="J30" s="353"/>
      <c r="N30" s="1181">
        <f>N31</f>
        <v>1764.761</v>
      </c>
      <c r="U30" s="1678">
        <f>U31</f>
        <v>1832.232</v>
      </c>
    </row>
    <row r="31" spans="1:21" x14ac:dyDescent="0.25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>
        <f>H32</f>
        <v>1694.001</v>
      </c>
      <c r="I31" s="851"/>
      <c r="J31" s="353"/>
      <c r="N31" s="1181">
        <f>N32</f>
        <v>1764.761</v>
      </c>
      <c r="U31" s="1678">
        <f>U32</f>
        <v>1832.232</v>
      </c>
    </row>
    <row r="32" spans="1:21" ht="21" x14ac:dyDescent="0.25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>
        <f>H33</f>
        <v>1694.001</v>
      </c>
      <c r="I32" s="851"/>
      <c r="J32" s="353"/>
      <c r="N32" s="1181">
        <f>N33</f>
        <v>1764.761</v>
      </c>
      <c r="U32" s="1678">
        <f>U33</f>
        <v>1832.232</v>
      </c>
    </row>
    <row r="33" spans="1:21" x14ac:dyDescent="0.25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>
        <v>1694.001</v>
      </c>
      <c r="I33" s="851"/>
      <c r="J33" s="353"/>
      <c r="K33" s="1">
        <f>1301.076*130.2/100</f>
        <v>1694.0009519999999</v>
      </c>
      <c r="N33" s="1181">
        <v>1764.761</v>
      </c>
      <c r="U33" s="1678">
        <v>1832.232</v>
      </c>
    </row>
    <row r="34" spans="1:21" ht="34.5" x14ac:dyDescent="0.25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7">
        <f>H35</f>
        <v>1885.884</v>
      </c>
      <c r="I34" s="850">
        <f>I35</f>
        <v>2531.0699999999997</v>
      </c>
      <c r="J34" s="355">
        <f>J35</f>
        <v>2637.06</v>
      </c>
      <c r="K34" s="237"/>
      <c r="L34" s="237"/>
      <c r="M34" s="237"/>
      <c r="N34" s="1178">
        <f>N35</f>
        <v>1958.319</v>
      </c>
      <c r="O34" s="237"/>
      <c r="P34" s="237"/>
      <c r="Q34" s="237"/>
      <c r="R34" s="237"/>
      <c r="S34" s="237"/>
      <c r="T34" s="237"/>
      <c r="U34" s="1677">
        <f>U35</f>
        <v>2039.7719999999999</v>
      </c>
    </row>
    <row r="35" spans="1:21" ht="26.25" customHeight="1" x14ac:dyDescent="0.25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>
        <f>H36+H43</f>
        <v>1885.884</v>
      </c>
      <c r="I35" s="851">
        <f>I36+I43</f>
        <v>2531.0699999999997</v>
      </c>
      <c r="J35" s="353">
        <f>J36+J43</f>
        <v>2637.06</v>
      </c>
      <c r="N35" s="1181">
        <f>N36+N43</f>
        <v>1958.319</v>
      </c>
      <c r="U35" s="1678">
        <f>U36+U43</f>
        <v>2039.7719999999999</v>
      </c>
    </row>
    <row r="36" spans="1:21" ht="27" customHeight="1" x14ac:dyDescent="0.25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>
        <f t="shared" ref="H36:J37" si="1">H37</f>
        <v>1885.884</v>
      </c>
      <c r="I36" s="851">
        <f t="shared" si="1"/>
        <v>1871.5079999999998</v>
      </c>
      <c r="J36" s="353">
        <f t="shared" si="1"/>
        <v>1911.5409999999999</v>
      </c>
      <c r="N36" s="1181">
        <f t="shared" ref="N36:N37" si="2">N37</f>
        <v>1958.319</v>
      </c>
      <c r="U36" s="1678">
        <f t="shared" ref="U36:U37" si="3">U37</f>
        <v>2039.7719999999999</v>
      </c>
    </row>
    <row r="37" spans="1:21" x14ac:dyDescent="0.25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>
        <f t="shared" si="1"/>
        <v>1885.884</v>
      </c>
      <c r="I37" s="851">
        <f t="shared" si="1"/>
        <v>1871.5079999999998</v>
      </c>
      <c r="J37" s="353">
        <f t="shared" si="1"/>
        <v>1911.5409999999999</v>
      </c>
      <c r="N37" s="1181">
        <f t="shared" si="2"/>
        <v>1958.319</v>
      </c>
      <c r="U37" s="1678">
        <f t="shared" si="3"/>
        <v>2039.7719999999999</v>
      </c>
    </row>
    <row r="38" spans="1:21" x14ac:dyDescent="0.25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>
        <f>H39+H40+H41</f>
        <v>1885.884</v>
      </c>
      <c r="I38" s="851">
        <f>I39+I40</f>
        <v>1871.5079999999998</v>
      </c>
      <c r="J38" s="353">
        <f>J39+J40</f>
        <v>1911.5409999999999</v>
      </c>
      <c r="N38" s="1181">
        <f>N39+N40+N41</f>
        <v>1958.319</v>
      </c>
      <c r="U38" s="1678">
        <f>U39+U40+U41</f>
        <v>2039.7719999999999</v>
      </c>
    </row>
    <row r="39" spans="1:21" x14ac:dyDescent="0.25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>
        <v>955.79899999999998</v>
      </c>
      <c r="I39" s="851">
        <v>672.428</v>
      </c>
      <c r="J39" s="352">
        <v>739.67200000000003</v>
      </c>
      <c r="K39" s="1">
        <v>955.79899999999998</v>
      </c>
      <c r="N39" s="1181">
        <v>994.03099999999995</v>
      </c>
      <c r="U39" s="1678">
        <v>1033.7919999999999</v>
      </c>
    </row>
    <row r="40" spans="1:21" ht="21" x14ac:dyDescent="0.25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680">
        <v>925.08500000000004</v>
      </c>
      <c r="I40" s="851">
        <v>1199.08</v>
      </c>
      <c r="J40" s="352">
        <v>1171.8689999999999</v>
      </c>
      <c r="K40" s="1031">
        <f>1068.271-143.186</f>
        <v>925.08499999999992</v>
      </c>
      <c r="N40" s="1186">
        <v>964.28800000000001</v>
      </c>
      <c r="U40" s="1680">
        <v>1005.98</v>
      </c>
    </row>
    <row r="41" spans="1:21" x14ac:dyDescent="0.25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680">
        <v>5</v>
      </c>
      <c r="I41" s="851"/>
      <c r="J41" s="1187"/>
      <c r="K41" s="1031">
        <v>5</v>
      </c>
      <c r="N41" s="1186"/>
      <c r="U41" s="1680"/>
    </row>
    <row r="42" spans="1:21" hidden="1" x14ac:dyDescent="0.25">
      <c r="A42" s="842"/>
      <c r="B42" s="1182"/>
      <c r="C42" s="1183"/>
      <c r="D42" s="409"/>
      <c r="E42" s="409"/>
      <c r="F42" s="409"/>
      <c r="G42" s="1662"/>
      <c r="H42" s="1680"/>
      <c r="I42" s="851"/>
      <c r="J42" s="1187"/>
      <c r="K42" s="1031"/>
      <c r="N42" s="1186"/>
      <c r="U42" s="1680"/>
    </row>
    <row r="43" spans="1:21" ht="31.5" hidden="1" x14ac:dyDescent="0.25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4">H44</f>
        <v>0</v>
      </c>
      <c r="I43" s="851">
        <f t="shared" si="4"/>
        <v>659.56200000000001</v>
      </c>
      <c r="J43" s="353">
        <f t="shared" si="4"/>
        <v>725.51900000000001</v>
      </c>
      <c r="N43" s="1181"/>
      <c r="U43" s="1678"/>
    </row>
    <row r="44" spans="1:21" hidden="1" x14ac:dyDescent="0.25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4"/>
        <v>0</v>
      </c>
      <c r="I44" s="851">
        <f t="shared" si="4"/>
        <v>659.56200000000001</v>
      </c>
      <c r="J44" s="353">
        <f t="shared" si="4"/>
        <v>725.51900000000001</v>
      </c>
      <c r="N44" s="1181"/>
      <c r="U44" s="1678"/>
    </row>
    <row r="45" spans="1:21" ht="21" hidden="1" x14ac:dyDescent="0.25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4"/>
        <v>0</v>
      </c>
      <c r="I45" s="851">
        <f t="shared" si="4"/>
        <v>659.56200000000001</v>
      </c>
      <c r="J45" s="353">
        <f t="shared" si="4"/>
        <v>725.51900000000001</v>
      </c>
      <c r="N45" s="1181"/>
      <c r="U45" s="1678"/>
    </row>
    <row r="46" spans="1:21" hidden="1" x14ac:dyDescent="0.25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1">
        <v>0</v>
      </c>
      <c r="N46" s="1181"/>
      <c r="U46" s="1678"/>
    </row>
    <row r="47" spans="1:21" ht="21" hidden="1" x14ac:dyDescent="0.25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5">I48</f>
        <v>0</v>
      </c>
      <c r="J47" s="354">
        <f t="shared" si="5"/>
        <v>0</v>
      </c>
      <c r="N47" s="1178"/>
      <c r="U47" s="1677"/>
    </row>
    <row r="48" spans="1:21" ht="21" hidden="1" x14ac:dyDescent="0.25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5"/>
        <v>0</v>
      </c>
      <c r="I48" s="851">
        <f t="shared" si="5"/>
        <v>0</v>
      </c>
      <c r="J48" s="352">
        <f t="shared" si="5"/>
        <v>0</v>
      </c>
      <c r="N48" s="1181">
        <f t="shared" ref="N48:N51" si="6">N49</f>
        <v>0</v>
      </c>
      <c r="U48" s="1678">
        <f t="shared" ref="U48:U51" si="7">U49</f>
        <v>0</v>
      </c>
    </row>
    <row r="49" spans="1:22" ht="21" hidden="1" x14ac:dyDescent="0.25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5"/>
        <v>0</v>
      </c>
      <c r="I49" s="851">
        <f t="shared" si="5"/>
        <v>0</v>
      </c>
      <c r="J49" s="352">
        <f t="shared" si="5"/>
        <v>0</v>
      </c>
      <c r="N49" s="1181">
        <f t="shared" si="6"/>
        <v>0</v>
      </c>
      <c r="U49" s="1678">
        <f t="shared" si="7"/>
        <v>0</v>
      </c>
    </row>
    <row r="50" spans="1:22" hidden="1" x14ac:dyDescent="0.25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5"/>
        <v>0</v>
      </c>
      <c r="I50" s="851">
        <f t="shared" si="5"/>
        <v>0</v>
      </c>
      <c r="J50" s="352">
        <f t="shared" si="5"/>
        <v>0</v>
      </c>
      <c r="N50" s="1181">
        <f t="shared" si="6"/>
        <v>0</v>
      </c>
      <c r="U50" s="1678">
        <f t="shared" si="7"/>
        <v>0</v>
      </c>
    </row>
    <row r="51" spans="1:22" ht="21" hidden="1" x14ac:dyDescent="0.25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5"/>
        <v>0</v>
      </c>
      <c r="I51" s="851">
        <f t="shared" si="5"/>
        <v>0</v>
      </c>
      <c r="J51" s="352">
        <f t="shared" si="5"/>
        <v>0</v>
      </c>
      <c r="N51" s="1181">
        <f t="shared" si="6"/>
        <v>0</v>
      </c>
      <c r="U51" s="1678">
        <f t="shared" si="7"/>
        <v>0</v>
      </c>
    </row>
    <row r="52" spans="1:22" hidden="1" x14ac:dyDescent="0.25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N52" s="1194"/>
      <c r="U52" s="1681"/>
    </row>
    <row r="53" spans="1:22" ht="23.5" hidden="1" thickBot="1" x14ac:dyDescent="0.3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H54+H116+H142+H191+H276+H287+H309+H327+H108</f>
        <v>88686.191999999995</v>
      </c>
      <c r="I53" s="848">
        <f>I54+I116+I142+I191+I276+I287+I309+I327+I108</f>
        <v>68198.73</v>
      </c>
      <c r="J53" s="293">
        <f>J54+J116+J142+J191+J276+J287+J309+J327+J108</f>
        <v>68972.84</v>
      </c>
      <c r="N53" s="1170">
        <f>N54+N116+N142+N191+N276+N287+N309+N327+N108</f>
        <v>86635.706999999995</v>
      </c>
      <c r="U53" s="1675">
        <f>U54+U116+U142+U191+U276+U287+U309+U327+U108</f>
        <v>86311.556000000011</v>
      </c>
    </row>
    <row r="54" spans="1:22" hidden="1" x14ac:dyDescent="0.25">
      <c r="A54" s="1195"/>
      <c r="B54" s="1173" t="s">
        <v>431</v>
      </c>
      <c r="C54" s="1174"/>
      <c r="D54" s="1175" t="s">
        <v>456</v>
      </c>
      <c r="E54" s="1175" t="s">
        <v>459</v>
      </c>
      <c r="F54" s="1175"/>
      <c r="G54" s="1660"/>
      <c r="H54" s="1676">
        <f>H55+H85+H91+H79</f>
        <v>21494.096999999998</v>
      </c>
      <c r="I54" s="849">
        <f>I55+I85+I91</f>
        <v>18535.740000000002</v>
      </c>
      <c r="J54" s="287">
        <f>J55+J85+J91</f>
        <v>19711.260000000002</v>
      </c>
      <c r="N54" s="1176">
        <f>N55+N85+N91+N79</f>
        <v>21251.17</v>
      </c>
      <c r="U54" s="1676">
        <f>U55+U85+U91+U79</f>
        <v>22071.333999999999</v>
      </c>
    </row>
    <row r="55" spans="1:22" ht="34.5" x14ac:dyDescent="0.25">
      <c r="A55" s="842"/>
      <c r="B55" s="1196" t="s">
        <v>105</v>
      </c>
      <c r="C55" s="1189"/>
      <c r="D55" s="408" t="s">
        <v>456</v>
      </c>
      <c r="E55" s="408" t="s">
        <v>452</v>
      </c>
      <c r="F55" s="408"/>
      <c r="G55" s="1661"/>
      <c r="H55" s="1677">
        <f>H56</f>
        <v>17729.852999999999</v>
      </c>
      <c r="I55" s="850">
        <f>I56</f>
        <v>15223.140000000001</v>
      </c>
      <c r="J55" s="355">
        <f>J56</f>
        <v>16197.52</v>
      </c>
      <c r="K55" s="237">
        <f>K60+K61+K62+K64+K66+K72+K78</f>
        <v>17500.908000000003</v>
      </c>
      <c r="L55" s="1">
        <f>18156.908</f>
        <v>18156.907999999999</v>
      </c>
      <c r="M55" s="237">
        <f>L55-K55</f>
        <v>655.99999999999636</v>
      </c>
      <c r="N55" s="1178">
        <f>N56</f>
        <v>17851.169999999998</v>
      </c>
      <c r="U55" s="1677">
        <f>U56</f>
        <v>18491.333999999999</v>
      </c>
      <c r="V55" s="237"/>
    </row>
    <row r="56" spans="1:22" ht="28.5" customHeight="1" x14ac:dyDescent="0.25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H57+H69</f>
        <v>17729.852999999999</v>
      </c>
      <c r="I56" s="851">
        <f>I57+I69</f>
        <v>15223.140000000001</v>
      </c>
      <c r="J56" s="353">
        <f>J57+J69</f>
        <v>16197.52</v>
      </c>
      <c r="N56" s="1181">
        <f>N57+N69</f>
        <v>17851.169999999998</v>
      </c>
      <c r="U56" s="1678">
        <f>U57+U69</f>
        <v>18491.333999999999</v>
      </c>
      <c r="V56" s="237"/>
    </row>
    <row r="57" spans="1:22" ht="30.75" customHeight="1" x14ac:dyDescent="0.25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16217.253000000001</v>
      </c>
      <c r="I57" s="851">
        <f>I58</f>
        <v>13595.477000000001</v>
      </c>
      <c r="J57" s="353">
        <f>J58</f>
        <v>14414.787</v>
      </c>
      <c r="N57" s="1181">
        <f>N58</f>
        <v>16278.065999999999</v>
      </c>
      <c r="U57" s="1678">
        <f>U58</f>
        <v>16855.306</v>
      </c>
    </row>
    <row r="58" spans="1:22" x14ac:dyDescent="0.25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H59+H63+H65+H67</f>
        <v>16217.253000000001</v>
      </c>
      <c r="I58" s="851">
        <f>I59+I63+I65+I67</f>
        <v>13595.477000000001</v>
      </c>
      <c r="J58" s="353">
        <f>J59+J63+J65+J67</f>
        <v>14414.787</v>
      </c>
      <c r="N58" s="1181">
        <f>N59+N63+N65+N67</f>
        <v>16278.065999999999</v>
      </c>
      <c r="U58" s="1678">
        <f>U59+U63+U65+U67</f>
        <v>16855.306</v>
      </c>
    </row>
    <row r="59" spans="1:22" x14ac:dyDescent="0.25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H60+H61+H62</f>
        <v>15859.153</v>
      </c>
      <c r="I59" s="851">
        <f>I60+I61</f>
        <v>13595.477000000001</v>
      </c>
      <c r="J59" s="353">
        <f>J60+J61</f>
        <v>14414.787</v>
      </c>
      <c r="N59" s="1181">
        <f>N60+N61+N62</f>
        <v>16278.065999999999</v>
      </c>
      <c r="U59" s="1678">
        <f>U60+U61+U62</f>
        <v>16855.306</v>
      </c>
    </row>
    <row r="60" spans="1:22" x14ac:dyDescent="0.25">
      <c r="A60" s="842"/>
      <c r="B60" s="1182" t="s">
        <v>571</v>
      </c>
      <c r="C60" s="1183"/>
      <c r="D60" s="409" t="s">
        <v>456</v>
      </c>
      <c r="E60" s="409" t="s">
        <v>452</v>
      </c>
      <c r="F60" s="409" t="s">
        <v>152</v>
      </c>
      <c r="G60" s="1662" t="s">
        <v>5</v>
      </c>
      <c r="H60" s="1678">
        <f>13742.608-127.234</f>
        <v>13615.374</v>
      </c>
      <c r="I60" s="851">
        <v>8998.8070000000007</v>
      </c>
      <c r="J60" s="352">
        <v>9997.6880000000001</v>
      </c>
      <c r="K60" s="1">
        <f>11012.345+22.735+0.6+3325.728-618.8</f>
        <v>13742.608</v>
      </c>
      <c r="N60" s="1181">
        <v>14292.312</v>
      </c>
      <c r="U60" s="1678">
        <v>14864</v>
      </c>
    </row>
    <row r="61" spans="1:22" ht="21" x14ac:dyDescent="0.25">
      <c r="A61" s="842"/>
      <c r="B61" s="1182" t="s">
        <v>454</v>
      </c>
      <c r="C61" s="1183"/>
      <c r="D61" s="409" t="s">
        <v>456</v>
      </c>
      <c r="E61" s="409" t="s">
        <v>452</v>
      </c>
      <c r="F61" s="409" t="s">
        <v>152</v>
      </c>
      <c r="G61" s="1662" t="s">
        <v>1</v>
      </c>
      <c r="H61" s="1678">
        <f>1457.645+127.234+648.9</f>
        <v>2233.779</v>
      </c>
      <c r="I61" s="851">
        <v>4596.67</v>
      </c>
      <c r="J61" s="352">
        <v>4417.0990000000002</v>
      </c>
      <c r="K61" s="1031">
        <f>1845.107-350.262-37.2</f>
        <v>1457.645</v>
      </c>
      <c r="N61" s="1181">
        <v>1985.7539999999999</v>
      </c>
      <c r="U61" s="1678">
        <v>1991.306</v>
      </c>
    </row>
    <row r="62" spans="1:22" x14ac:dyDescent="0.25">
      <c r="A62" s="842"/>
      <c r="B62" s="1198" t="s">
        <v>457</v>
      </c>
      <c r="C62" s="1183"/>
      <c r="D62" s="409" t="s">
        <v>456</v>
      </c>
      <c r="E62" s="409" t="s">
        <v>452</v>
      </c>
      <c r="F62" s="409" t="s">
        <v>152</v>
      </c>
      <c r="G62" s="1662" t="s">
        <v>91</v>
      </c>
      <c r="H62" s="1678">
        <v>10</v>
      </c>
      <c r="I62" s="851"/>
      <c r="J62" s="352"/>
      <c r="K62" s="1031">
        <v>10</v>
      </c>
      <c r="N62" s="1181"/>
      <c r="U62" s="1678"/>
    </row>
    <row r="63" spans="1:22" ht="21" x14ac:dyDescent="0.25">
      <c r="A63" s="842"/>
      <c r="B63" s="1199" t="s">
        <v>151</v>
      </c>
      <c r="C63" s="1188"/>
      <c r="D63" s="409" t="s">
        <v>456</v>
      </c>
      <c r="E63" s="409" t="s">
        <v>452</v>
      </c>
      <c r="F63" s="409" t="s">
        <v>623</v>
      </c>
      <c r="G63" s="1662"/>
      <c r="H63" s="1682">
        <f>H64</f>
        <v>50.6</v>
      </c>
      <c r="I63" s="529">
        <f>I64</f>
        <v>0</v>
      </c>
      <c r="J63" s="269">
        <f>J64</f>
        <v>0</v>
      </c>
      <c r="N63" s="1200"/>
      <c r="U63" s="1682"/>
    </row>
    <row r="64" spans="1:22" x14ac:dyDescent="0.25">
      <c r="A64" s="842"/>
      <c r="B64" s="1182" t="s">
        <v>575</v>
      </c>
      <c r="C64" s="1183"/>
      <c r="D64" s="409" t="s">
        <v>456</v>
      </c>
      <c r="E64" s="409" t="s">
        <v>452</v>
      </c>
      <c r="F64" s="409" t="s">
        <v>623</v>
      </c>
      <c r="G64" s="1662" t="s">
        <v>120</v>
      </c>
      <c r="H64" s="1682">
        <v>50.6</v>
      </c>
      <c r="I64" s="529"/>
      <c r="J64" s="269"/>
      <c r="K64" s="1">
        <v>50.6</v>
      </c>
      <c r="N64" s="1200"/>
      <c r="U64" s="1682"/>
    </row>
    <row r="65" spans="1:21" ht="21" x14ac:dyDescent="0.25">
      <c r="A65" s="842"/>
      <c r="B65" s="1201" t="s">
        <v>149</v>
      </c>
      <c r="C65" s="1188"/>
      <c r="D65" s="409" t="s">
        <v>456</v>
      </c>
      <c r="E65" s="409" t="s">
        <v>452</v>
      </c>
      <c r="F65" s="409" t="s">
        <v>148</v>
      </c>
      <c r="G65" s="1662"/>
      <c r="H65" s="1682">
        <f>H66</f>
        <v>307.5</v>
      </c>
      <c r="I65" s="529">
        <f>I66</f>
        <v>0</v>
      </c>
      <c r="J65" s="269">
        <f>J66</f>
        <v>0</v>
      </c>
      <c r="N65" s="1200"/>
      <c r="U65" s="1682"/>
    </row>
    <row r="66" spans="1:21" x14ac:dyDescent="0.25">
      <c r="A66" s="842"/>
      <c r="B66" s="1182" t="s">
        <v>575</v>
      </c>
      <c r="C66" s="1183"/>
      <c r="D66" s="409" t="s">
        <v>456</v>
      </c>
      <c r="E66" s="409" t="s">
        <v>452</v>
      </c>
      <c r="F66" s="409" t="s">
        <v>148</v>
      </c>
      <c r="G66" s="1662" t="s">
        <v>120</v>
      </c>
      <c r="H66" s="1682">
        <v>307.5</v>
      </c>
      <c r="I66" s="529"/>
      <c r="J66" s="269"/>
      <c r="K66" s="1">
        <v>307.5</v>
      </c>
      <c r="N66" s="1200"/>
      <c r="U66" s="1682"/>
    </row>
    <row r="67" spans="1:21" ht="31.5" hidden="1" x14ac:dyDescent="0.25">
      <c r="A67" s="842"/>
      <c r="B67" s="1202" t="s">
        <v>145</v>
      </c>
      <c r="C67" s="1183"/>
      <c r="D67" s="409" t="s">
        <v>456</v>
      </c>
      <c r="E67" s="409" t="s">
        <v>452</v>
      </c>
      <c r="F67" s="409" t="s">
        <v>144</v>
      </c>
      <c r="G67" s="1662"/>
      <c r="H67" s="1682">
        <f>H68</f>
        <v>0</v>
      </c>
      <c r="I67" s="529">
        <f>I68</f>
        <v>0</v>
      </c>
      <c r="J67" s="269">
        <f>J68</f>
        <v>0</v>
      </c>
      <c r="N67" s="1200">
        <f>N68</f>
        <v>0</v>
      </c>
      <c r="U67" s="1682">
        <f>U68</f>
        <v>0</v>
      </c>
    </row>
    <row r="68" spans="1:21" hidden="1" x14ac:dyDescent="0.25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144</v>
      </c>
      <c r="G68" s="1662" t="s">
        <v>120</v>
      </c>
      <c r="H68" s="1682">
        <v>0</v>
      </c>
      <c r="I68" s="529"/>
      <c r="J68" s="269"/>
      <c r="N68" s="1200">
        <v>0</v>
      </c>
      <c r="U68" s="1682">
        <v>0</v>
      </c>
    </row>
    <row r="69" spans="1:21" ht="31.5" x14ac:dyDescent="0.25">
      <c r="A69" s="842"/>
      <c r="B69" s="1203" t="s">
        <v>111</v>
      </c>
      <c r="C69" s="1183"/>
      <c r="D69" s="409" t="s">
        <v>456</v>
      </c>
      <c r="E69" s="409" t="s">
        <v>452</v>
      </c>
      <c r="F69" s="1204" t="s">
        <v>110</v>
      </c>
      <c r="G69" s="1662"/>
      <c r="H69" s="1682">
        <f>H70</f>
        <v>1512.6</v>
      </c>
      <c r="I69" s="529">
        <f t="shared" ref="I69:J71" si="8">I70</f>
        <v>1627.663</v>
      </c>
      <c r="J69" s="269">
        <f t="shared" si="8"/>
        <v>1782.7329999999999</v>
      </c>
      <c r="N69" s="1200">
        <f>N70</f>
        <v>1573.104</v>
      </c>
      <c r="U69" s="1682">
        <f>U70</f>
        <v>1636.028</v>
      </c>
    </row>
    <row r="70" spans="1:21" x14ac:dyDescent="0.25">
      <c r="A70" s="842"/>
      <c r="B70" s="1197" t="s">
        <v>109</v>
      </c>
      <c r="C70" s="1183"/>
      <c r="D70" s="409" t="s">
        <v>456</v>
      </c>
      <c r="E70" s="409" t="s">
        <v>452</v>
      </c>
      <c r="F70" s="1204" t="s">
        <v>108</v>
      </c>
      <c r="G70" s="1662"/>
      <c r="H70" s="1682">
        <f>H71</f>
        <v>1512.6</v>
      </c>
      <c r="I70" s="529">
        <f t="shared" si="8"/>
        <v>1627.663</v>
      </c>
      <c r="J70" s="269">
        <f t="shared" si="8"/>
        <v>1782.7329999999999</v>
      </c>
      <c r="N70" s="1200">
        <f>N71</f>
        <v>1573.104</v>
      </c>
      <c r="U70" s="1682">
        <f>U71</f>
        <v>1636.028</v>
      </c>
    </row>
    <row r="71" spans="1:21" ht="21" x14ac:dyDescent="0.25">
      <c r="A71" s="842"/>
      <c r="B71" s="1205" t="s">
        <v>107</v>
      </c>
      <c r="C71" s="1183"/>
      <c r="D71" s="409" t="s">
        <v>456</v>
      </c>
      <c r="E71" s="409" t="s">
        <v>452</v>
      </c>
      <c r="F71" s="1204" t="s">
        <v>104</v>
      </c>
      <c r="G71" s="1662"/>
      <c r="H71" s="1682">
        <f>H72</f>
        <v>1512.6</v>
      </c>
      <c r="I71" s="529">
        <f t="shared" si="8"/>
        <v>1627.663</v>
      </c>
      <c r="J71" s="269">
        <f t="shared" si="8"/>
        <v>1782.7329999999999</v>
      </c>
      <c r="N71" s="1200">
        <f>N72</f>
        <v>1573.104</v>
      </c>
      <c r="U71" s="1682">
        <f>U72</f>
        <v>1636.028</v>
      </c>
    </row>
    <row r="72" spans="1:21" x14ac:dyDescent="0.25">
      <c r="A72" s="842"/>
      <c r="B72" s="1182" t="s">
        <v>571</v>
      </c>
      <c r="C72" s="1183"/>
      <c r="D72" s="409" t="s">
        <v>456</v>
      </c>
      <c r="E72" s="409" t="s">
        <v>452</v>
      </c>
      <c r="F72" s="1204" t="s">
        <v>104</v>
      </c>
      <c r="G72" s="1662" t="s">
        <v>5</v>
      </c>
      <c r="H72" s="1682">
        <v>1512.6</v>
      </c>
      <c r="I72" s="529">
        <v>1627.663</v>
      </c>
      <c r="J72" s="269">
        <v>1782.7329999999999</v>
      </c>
      <c r="K72" s="1">
        <f>1161.751+350.849</f>
        <v>1512.6</v>
      </c>
      <c r="N72" s="1200">
        <v>1573.104</v>
      </c>
      <c r="U72" s="1682">
        <v>1636.028</v>
      </c>
    </row>
    <row r="73" spans="1:21" s="760" customFormat="1" ht="23" x14ac:dyDescent="0.3">
      <c r="A73" s="842"/>
      <c r="B73" s="1206" t="s">
        <v>122</v>
      </c>
      <c r="C73" s="1207"/>
      <c r="D73" s="408" t="s">
        <v>456</v>
      </c>
      <c r="E73" s="408" t="s">
        <v>585</v>
      </c>
      <c r="F73" s="763"/>
      <c r="G73" s="1661"/>
      <c r="H73" s="1683">
        <f>H74</f>
        <v>419.95499999999998</v>
      </c>
      <c r="I73" s="841"/>
      <c r="J73" s="276"/>
      <c r="N73" s="1208"/>
      <c r="U73" s="1683"/>
    </row>
    <row r="74" spans="1:21" ht="21" x14ac:dyDescent="0.25">
      <c r="A74" s="842"/>
      <c r="B74" s="1209" t="s">
        <v>588</v>
      </c>
      <c r="C74" s="1183"/>
      <c r="D74" s="409" t="s">
        <v>456</v>
      </c>
      <c r="E74" s="409" t="s">
        <v>585</v>
      </c>
      <c r="F74" s="1204" t="s">
        <v>157</v>
      </c>
      <c r="G74" s="1662"/>
      <c r="H74" s="1682">
        <f>H75</f>
        <v>419.95499999999998</v>
      </c>
      <c r="I74" s="529"/>
      <c r="J74" s="269"/>
      <c r="N74" s="1200"/>
      <c r="U74" s="1682"/>
    </row>
    <row r="75" spans="1:21" ht="21" x14ac:dyDescent="0.25">
      <c r="A75" s="842"/>
      <c r="B75" s="1209" t="s">
        <v>587</v>
      </c>
      <c r="C75" s="1183"/>
      <c r="D75" s="409" t="s">
        <v>456</v>
      </c>
      <c r="E75" s="409" t="s">
        <v>585</v>
      </c>
      <c r="F75" s="1204" t="s">
        <v>155</v>
      </c>
      <c r="G75" s="1662"/>
      <c r="H75" s="1682">
        <f>H76</f>
        <v>419.95499999999998</v>
      </c>
      <c r="I75" s="529"/>
      <c r="J75" s="269"/>
      <c r="N75" s="1200"/>
      <c r="U75" s="1682"/>
    </row>
    <row r="76" spans="1:21" x14ac:dyDescent="0.25">
      <c r="A76" s="842"/>
      <c r="B76" s="1209" t="s">
        <v>582</v>
      </c>
      <c r="C76" s="1183"/>
      <c r="D76" s="409" t="s">
        <v>456</v>
      </c>
      <c r="E76" s="409" t="s">
        <v>585</v>
      </c>
      <c r="F76" s="1204" t="s">
        <v>154</v>
      </c>
      <c r="G76" s="1662"/>
      <c r="H76" s="1682">
        <f>H77</f>
        <v>419.95499999999998</v>
      </c>
      <c r="I76" s="529"/>
      <c r="J76" s="269"/>
      <c r="N76" s="1200"/>
      <c r="U76" s="1682"/>
    </row>
    <row r="77" spans="1:21" ht="21" x14ac:dyDescent="0.25">
      <c r="A77" s="842"/>
      <c r="B77" s="1209" t="s">
        <v>586</v>
      </c>
      <c r="C77" s="1183"/>
      <c r="D77" s="409" t="s">
        <v>456</v>
      </c>
      <c r="E77" s="409" t="s">
        <v>585</v>
      </c>
      <c r="F77" s="1204" t="s">
        <v>129</v>
      </c>
      <c r="G77" s="1662"/>
      <c r="H77" s="1682">
        <f>H78</f>
        <v>419.95499999999998</v>
      </c>
      <c r="I77" s="529"/>
      <c r="J77" s="269"/>
      <c r="N77" s="1200"/>
      <c r="U77" s="1682"/>
    </row>
    <row r="78" spans="1:21" x14ac:dyDescent="0.25">
      <c r="A78" s="842"/>
      <c r="B78" s="1198" t="s">
        <v>575</v>
      </c>
      <c r="C78" s="1183"/>
      <c r="D78" s="409" t="s">
        <v>456</v>
      </c>
      <c r="E78" s="409" t="s">
        <v>585</v>
      </c>
      <c r="F78" s="1204" t="s">
        <v>129</v>
      </c>
      <c r="G78" s="1662" t="s">
        <v>120</v>
      </c>
      <c r="H78" s="1682">
        <v>419.95499999999998</v>
      </c>
      <c r="I78" s="529"/>
      <c r="J78" s="269"/>
      <c r="K78" s="1">
        <v>419.95499999999998</v>
      </c>
      <c r="N78" s="1200"/>
      <c r="U78" s="1682"/>
    </row>
    <row r="79" spans="1:21" s="760" customFormat="1" ht="13" x14ac:dyDescent="0.3">
      <c r="A79" s="842"/>
      <c r="B79" s="1210" t="s">
        <v>419</v>
      </c>
      <c r="C79" s="408"/>
      <c r="D79" s="408" t="s">
        <v>456</v>
      </c>
      <c r="E79" s="408" t="s">
        <v>506</v>
      </c>
      <c r="F79" s="763"/>
      <c r="G79" s="1661"/>
      <c r="H79" s="1683">
        <f>H80</f>
        <v>0</v>
      </c>
      <c r="I79" s="841"/>
      <c r="J79" s="276"/>
      <c r="N79" s="1208">
        <f>N80</f>
        <v>0</v>
      </c>
      <c r="U79" s="1683">
        <f>U80</f>
        <v>0</v>
      </c>
    </row>
    <row r="80" spans="1:21" ht="21" x14ac:dyDescent="0.25">
      <c r="A80" s="1179"/>
      <c r="B80" s="762" t="s">
        <v>499</v>
      </c>
      <c r="C80" s="409"/>
      <c r="D80" s="409" t="s">
        <v>456</v>
      </c>
      <c r="E80" s="409" t="s">
        <v>506</v>
      </c>
      <c r="F80" s="409" t="s">
        <v>89</v>
      </c>
      <c r="G80" s="1662"/>
      <c r="H80" s="1682">
        <f>H81</f>
        <v>0</v>
      </c>
      <c r="I80" s="529"/>
      <c r="J80" s="269"/>
      <c r="N80" s="1200">
        <f>N81</f>
        <v>0</v>
      </c>
      <c r="U80" s="1682">
        <f>U81</f>
        <v>0</v>
      </c>
    </row>
    <row r="81" spans="1:21" x14ac:dyDescent="0.25">
      <c r="A81" s="842"/>
      <c r="B81" s="709" t="s">
        <v>109</v>
      </c>
      <c r="C81" s="409"/>
      <c r="D81" s="409" t="s">
        <v>456</v>
      </c>
      <c r="E81" s="409" t="s">
        <v>506</v>
      </c>
      <c r="F81" s="409" t="s">
        <v>581</v>
      </c>
      <c r="G81" s="1662"/>
      <c r="H81" s="1682">
        <f>H82</f>
        <v>0</v>
      </c>
      <c r="I81" s="529"/>
      <c r="J81" s="269"/>
      <c r="N81" s="1200">
        <f>N82</f>
        <v>0</v>
      </c>
      <c r="U81" s="1682">
        <f>U82</f>
        <v>0</v>
      </c>
    </row>
    <row r="82" spans="1:21" x14ac:dyDescent="0.25">
      <c r="A82" s="842"/>
      <c r="B82" s="709" t="s">
        <v>109</v>
      </c>
      <c r="C82" s="409"/>
      <c r="D82" s="409" t="s">
        <v>456</v>
      </c>
      <c r="E82" s="409" t="s">
        <v>506</v>
      </c>
      <c r="F82" s="409" t="s">
        <v>82</v>
      </c>
      <c r="G82" s="1662"/>
      <c r="H82" s="1682">
        <f>H83</f>
        <v>0</v>
      </c>
      <c r="I82" s="529"/>
      <c r="J82" s="269"/>
      <c r="N82" s="1200">
        <f>N83</f>
        <v>0</v>
      </c>
      <c r="U82" s="1682">
        <f>U83</f>
        <v>0</v>
      </c>
    </row>
    <row r="83" spans="1:21" ht="21" x14ac:dyDescent="0.25">
      <c r="A83" s="842"/>
      <c r="B83" s="1209" t="s">
        <v>788</v>
      </c>
      <c r="C83" s="409"/>
      <c r="D83" s="409" t="s">
        <v>456</v>
      </c>
      <c r="E83" s="409" t="s">
        <v>506</v>
      </c>
      <c r="F83" s="409" t="s">
        <v>789</v>
      </c>
      <c r="G83" s="1662"/>
      <c r="H83" s="1682">
        <f>H84</f>
        <v>0</v>
      </c>
      <c r="I83" s="529"/>
      <c r="J83" s="269"/>
      <c r="N83" s="1200">
        <f>N84</f>
        <v>0</v>
      </c>
      <c r="U83" s="1682">
        <f>U84</f>
        <v>0</v>
      </c>
    </row>
    <row r="84" spans="1:21" ht="21" x14ac:dyDescent="0.25">
      <c r="A84" s="842"/>
      <c r="B84" s="1182" t="s">
        <v>454</v>
      </c>
      <c r="C84" s="409"/>
      <c r="D84" s="409" t="s">
        <v>456</v>
      </c>
      <c r="E84" s="409" t="s">
        <v>506</v>
      </c>
      <c r="F84" s="409" t="s">
        <v>789</v>
      </c>
      <c r="G84" s="1662" t="s">
        <v>1</v>
      </c>
      <c r="H84" s="1682">
        <v>0</v>
      </c>
      <c r="I84" s="529"/>
      <c r="J84" s="269"/>
      <c r="N84" s="1200">
        <v>0</v>
      </c>
      <c r="U84" s="1682">
        <v>0</v>
      </c>
    </row>
    <row r="85" spans="1:21" x14ac:dyDescent="0.25">
      <c r="A85" s="842"/>
      <c r="B85" s="1184" t="s">
        <v>68</v>
      </c>
      <c r="C85" s="1177"/>
      <c r="D85" s="408" t="s">
        <v>456</v>
      </c>
      <c r="E85" s="408" t="s">
        <v>464</v>
      </c>
      <c r="F85" s="408"/>
      <c r="G85" s="1661"/>
      <c r="H85" s="1683">
        <f t="shared" ref="H85:J89" si="9">H86</f>
        <v>2870</v>
      </c>
      <c r="I85" s="841">
        <f t="shared" si="9"/>
        <v>2500.6</v>
      </c>
      <c r="J85" s="276">
        <f t="shared" si="9"/>
        <v>2701.74</v>
      </c>
      <c r="N85" s="1208">
        <f t="shared" ref="N85:N89" si="10">N86</f>
        <v>2900</v>
      </c>
      <c r="U85" s="1683">
        <f t="shared" ref="U85:U89" si="11">U86</f>
        <v>2980</v>
      </c>
    </row>
    <row r="86" spans="1:21" ht="21" x14ac:dyDescent="0.25">
      <c r="A86" s="1179"/>
      <c r="B86" s="753" t="s">
        <v>499</v>
      </c>
      <c r="C86" s="1180"/>
      <c r="D86" s="409" t="s">
        <v>456</v>
      </c>
      <c r="E86" s="409" t="s">
        <v>464</v>
      </c>
      <c r="F86" s="409" t="s">
        <v>89</v>
      </c>
      <c r="G86" s="1662"/>
      <c r="H86" s="1682">
        <f t="shared" si="9"/>
        <v>2870</v>
      </c>
      <c r="I86" s="529">
        <f t="shared" si="9"/>
        <v>2500.6</v>
      </c>
      <c r="J86" s="269">
        <f t="shared" si="9"/>
        <v>2701.74</v>
      </c>
      <c r="N86" s="1200">
        <f t="shared" si="10"/>
        <v>2900</v>
      </c>
      <c r="U86" s="1682">
        <f t="shared" si="11"/>
        <v>2980</v>
      </c>
    </row>
    <row r="87" spans="1:21" x14ac:dyDescent="0.25">
      <c r="A87" s="842"/>
      <c r="B87" s="1180" t="s">
        <v>109</v>
      </c>
      <c r="C87" s="1180"/>
      <c r="D87" s="409" t="s">
        <v>456</v>
      </c>
      <c r="E87" s="409" t="s">
        <v>464</v>
      </c>
      <c r="F87" s="409" t="s">
        <v>581</v>
      </c>
      <c r="G87" s="1662"/>
      <c r="H87" s="1682">
        <f t="shared" si="9"/>
        <v>2870</v>
      </c>
      <c r="I87" s="529">
        <f t="shared" si="9"/>
        <v>2500.6</v>
      </c>
      <c r="J87" s="269">
        <f t="shared" si="9"/>
        <v>2701.74</v>
      </c>
      <c r="N87" s="1200">
        <f t="shared" si="10"/>
        <v>2900</v>
      </c>
      <c r="U87" s="1682">
        <f t="shared" si="11"/>
        <v>2980</v>
      </c>
    </row>
    <row r="88" spans="1:21" x14ac:dyDescent="0.25">
      <c r="A88" s="842"/>
      <c r="B88" s="1180" t="s">
        <v>109</v>
      </c>
      <c r="C88" s="1180"/>
      <c r="D88" s="409" t="s">
        <v>456</v>
      </c>
      <c r="E88" s="409" t="s">
        <v>464</v>
      </c>
      <c r="F88" s="409" t="s">
        <v>82</v>
      </c>
      <c r="G88" s="1662"/>
      <c r="H88" s="1682">
        <f t="shared" si="9"/>
        <v>2870</v>
      </c>
      <c r="I88" s="529">
        <f t="shared" si="9"/>
        <v>2500.6</v>
      </c>
      <c r="J88" s="269">
        <f t="shared" si="9"/>
        <v>2701.74</v>
      </c>
      <c r="N88" s="1200">
        <f t="shared" si="10"/>
        <v>2900</v>
      </c>
      <c r="U88" s="1682">
        <f t="shared" si="11"/>
        <v>2980</v>
      </c>
    </row>
    <row r="89" spans="1:21" ht="21" x14ac:dyDescent="0.25">
      <c r="A89" s="842"/>
      <c r="B89" s="1180" t="s">
        <v>72</v>
      </c>
      <c r="C89" s="1180"/>
      <c r="D89" s="409" t="s">
        <v>456</v>
      </c>
      <c r="E89" s="409" t="s">
        <v>464</v>
      </c>
      <c r="F89" s="409" t="s">
        <v>67</v>
      </c>
      <c r="G89" s="1662"/>
      <c r="H89" s="1682">
        <f t="shared" si="9"/>
        <v>2870</v>
      </c>
      <c r="I89" s="529">
        <f t="shared" si="9"/>
        <v>2500.6</v>
      </c>
      <c r="J89" s="269">
        <f t="shared" si="9"/>
        <v>2701.74</v>
      </c>
      <c r="N89" s="1200">
        <f t="shared" si="10"/>
        <v>2900</v>
      </c>
      <c r="U89" s="1682">
        <f t="shared" si="11"/>
        <v>2980</v>
      </c>
    </row>
    <row r="90" spans="1:21" ht="13.5" customHeight="1" x14ac:dyDescent="0.25">
      <c r="A90" s="842"/>
      <c r="B90" s="1182" t="s">
        <v>580</v>
      </c>
      <c r="C90" s="1183"/>
      <c r="D90" s="409" t="s">
        <v>456</v>
      </c>
      <c r="E90" s="409" t="s">
        <v>464</v>
      </c>
      <c r="F90" s="409" t="s">
        <v>67</v>
      </c>
      <c r="G90" s="1662" t="s">
        <v>579</v>
      </c>
      <c r="H90" s="1682">
        <v>2870</v>
      </c>
      <c r="I90" s="529">
        <v>2500.6</v>
      </c>
      <c r="J90" s="269">
        <v>2701.74</v>
      </c>
      <c r="K90" s="1">
        <v>2870</v>
      </c>
      <c r="N90" s="1200">
        <v>2900</v>
      </c>
      <c r="U90" s="1682">
        <v>2980</v>
      </c>
    </row>
    <row r="91" spans="1:21" x14ac:dyDescent="0.25">
      <c r="A91" s="842"/>
      <c r="B91" s="1184" t="s">
        <v>93</v>
      </c>
      <c r="C91" s="1177"/>
      <c r="D91" s="408" t="s">
        <v>456</v>
      </c>
      <c r="E91" s="408" t="s">
        <v>573</v>
      </c>
      <c r="F91" s="408"/>
      <c r="G91" s="1661"/>
      <c r="H91" s="1683">
        <f>H92+H98</f>
        <v>894.24399999999991</v>
      </c>
      <c r="I91" s="841">
        <f>I92+I98</f>
        <v>812</v>
      </c>
      <c r="J91" s="276">
        <f>J92+J98</f>
        <v>812</v>
      </c>
      <c r="N91" s="1208">
        <f>N92+N98</f>
        <v>500</v>
      </c>
      <c r="U91" s="1683">
        <f>U92+U98</f>
        <v>600</v>
      </c>
    </row>
    <row r="92" spans="1:21" x14ac:dyDescent="0.25">
      <c r="A92" s="1179"/>
      <c r="B92" s="753" t="s">
        <v>102</v>
      </c>
      <c r="C92" s="1180"/>
      <c r="D92" s="409" t="s">
        <v>456</v>
      </c>
      <c r="E92" s="409" t="s">
        <v>573</v>
      </c>
      <c r="F92" s="409" t="s">
        <v>101</v>
      </c>
      <c r="G92" s="1662"/>
      <c r="H92" s="1682">
        <f t="shared" ref="H92:J94" si="12">H93</f>
        <v>894.24399999999991</v>
      </c>
      <c r="I92" s="529">
        <f t="shared" si="12"/>
        <v>213.5</v>
      </c>
      <c r="J92" s="269">
        <f t="shared" si="12"/>
        <v>213.5</v>
      </c>
      <c r="N92" s="1200">
        <f t="shared" ref="N92:N94" si="13">N93</f>
        <v>500</v>
      </c>
      <c r="U92" s="1682">
        <f t="shared" ref="U92:U94" si="14">U93</f>
        <v>600</v>
      </c>
    </row>
    <row r="93" spans="1:21" x14ac:dyDescent="0.25">
      <c r="A93" s="1179"/>
      <c r="B93" s="753" t="s">
        <v>109</v>
      </c>
      <c r="C93" s="1180"/>
      <c r="D93" s="409" t="s">
        <v>456</v>
      </c>
      <c r="E93" s="409" t="s">
        <v>573</v>
      </c>
      <c r="F93" s="409" t="s">
        <v>100</v>
      </c>
      <c r="G93" s="1662"/>
      <c r="H93" s="1682">
        <f t="shared" si="12"/>
        <v>894.24399999999991</v>
      </c>
      <c r="I93" s="529">
        <f t="shared" si="12"/>
        <v>213.5</v>
      </c>
      <c r="J93" s="269">
        <f t="shared" si="12"/>
        <v>213.5</v>
      </c>
      <c r="N93" s="1200">
        <f t="shared" si="13"/>
        <v>500</v>
      </c>
      <c r="U93" s="1682">
        <f t="shared" si="14"/>
        <v>600</v>
      </c>
    </row>
    <row r="94" spans="1:21" x14ac:dyDescent="0.25">
      <c r="A94" s="1179"/>
      <c r="B94" s="753" t="s">
        <v>109</v>
      </c>
      <c r="C94" s="1180"/>
      <c r="D94" s="409" t="s">
        <v>456</v>
      </c>
      <c r="E94" s="409" t="s">
        <v>573</v>
      </c>
      <c r="F94" s="409" t="s">
        <v>99</v>
      </c>
      <c r="G94" s="1662"/>
      <c r="H94" s="1682">
        <f t="shared" si="12"/>
        <v>894.24399999999991</v>
      </c>
      <c r="I94" s="529">
        <f t="shared" si="12"/>
        <v>213.5</v>
      </c>
      <c r="J94" s="269">
        <f t="shared" si="12"/>
        <v>213.5</v>
      </c>
      <c r="N94" s="1200">
        <f t="shared" si="13"/>
        <v>500</v>
      </c>
      <c r="U94" s="1682">
        <f t="shared" si="14"/>
        <v>600</v>
      </c>
    </row>
    <row r="95" spans="1:21" x14ac:dyDescent="0.25">
      <c r="A95" s="1179"/>
      <c r="B95" s="753" t="s">
        <v>577</v>
      </c>
      <c r="C95" s="1180"/>
      <c r="D95" s="409" t="s">
        <v>456</v>
      </c>
      <c r="E95" s="409" t="s">
        <v>573</v>
      </c>
      <c r="F95" s="409" t="s">
        <v>92</v>
      </c>
      <c r="G95" s="1662"/>
      <c r="H95" s="1682">
        <f>H96+H97</f>
        <v>894.24399999999991</v>
      </c>
      <c r="I95" s="529">
        <f>I96+I97</f>
        <v>213.5</v>
      </c>
      <c r="J95" s="269">
        <f>J96+J97</f>
        <v>213.5</v>
      </c>
      <c r="K95" s="1">
        <v>500</v>
      </c>
      <c r="L95" s="1" t="s">
        <v>959</v>
      </c>
      <c r="N95" s="1200">
        <f>N96+N97</f>
        <v>500</v>
      </c>
      <c r="U95" s="1682">
        <f>U96+U97</f>
        <v>600</v>
      </c>
    </row>
    <row r="96" spans="1:21" ht="21" x14ac:dyDescent="0.25">
      <c r="A96" s="842"/>
      <c r="B96" s="1182" t="s">
        <v>454</v>
      </c>
      <c r="C96" s="1183"/>
      <c r="D96" s="409" t="s">
        <v>456</v>
      </c>
      <c r="E96" s="409" t="s">
        <v>573</v>
      </c>
      <c r="F96" s="409" t="s">
        <v>92</v>
      </c>
      <c r="G96" s="1662" t="s">
        <v>1</v>
      </c>
      <c r="H96" s="1682">
        <f>K95+K96</f>
        <v>844.24399999999991</v>
      </c>
      <c r="I96" s="529">
        <v>178.5</v>
      </c>
      <c r="J96" s="269">
        <v>178.5</v>
      </c>
      <c r="K96" s="1">
        <f>462.085-117.841</f>
        <v>344.24399999999997</v>
      </c>
      <c r="N96" s="1200">
        <v>400</v>
      </c>
      <c r="U96" s="1682">
        <v>500</v>
      </c>
    </row>
    <row r="97" spans="1:25" x14ac:dyDescent="0.25">
      <c r="A97" s="842"/>
      <c r="B97" s="1182" t="s">
        <v>457</v>
      </c>
      <c r="C97" s="1183"/>
      <c r="D97" s="409" t="s">
        <v>456</v>
      </c>
      <c r="E97" s="409" t="s">
        <v>573</v>
      </c>
      <c r="F97" s="409" t="s">
        <v>92</v>
      </c>
      <c r="G97" s="1662" t="s">
        <v>91</v>
      </c>
      <c r="H97" s="1682">
        <f>100-50</f>
        <v>50</v>
      </c>
      <c r="I97" s="529">
        <v>35</v>
      </c>
      <c r="J97" s="269">
        <v>35</v>
      </c>
      <c r="K97" s="1">
        <f>100-50</f>
        <v>50</v>
      </c>
      <c r="N97" s="1200">
        <v>100</v>
      </c>
      <c r="U97" s="1682">
        <v>100</v>
      </c>
    </row>
    <row r="98" spans="1:25" ht="21" hidden="1" x14ac:dyDescent="0.25">
      <c r="A98" s="1211"/>
      <c r="B98" s="753" t="s">
        <v>583</v>
      </c>
      <c r="C98" s="1177"/>
      <c r="D98" s="408" t="s">
        <v>456</v>
      </c>
      <c r="E98" s="408" t="s">
        <v>573</v>
      </c>
      <c r="F98" s="408" t="s">
        <v>157</v>
      </c>
      <c r="G98" s="1661"/>
      <c r="H98" s="1683">
        <f t="shared" ref="H98:J99" si="15">H99</f>
        <v>0</v>
      </c>
      <c r="I98" s="841">
        <f t="shared" si="15"/>
        <v>598.5</v>
      </c>
      <c r="J98" s="276">
        <f t="shared" si="15"/>
        <v>598.5</v>
      </c>
      <c r="N98" s="1208">
        <f t="shared" ref="N98:N99" si="16">N99</f>
        <v>0</v>
      </c>
      <c r="U98" s="1683">
        <f t="shared" ref="U98:U99" si="17">U99</f>
        <v>0</v>
      </c>
    </row>
    <row r="99" spans="1:25" ht="21" hidden="1" x14ac:dyDescent="0.25">
      <c r="A99" s="1179"/>
      <c r="B99" s="1197" t="s">
        <v>156</v>
      </c>
      <c r="C99" s="1180"/>
      <c r="D99" s="409" t="s">
        <v>456</v>
      </c>
      <c r="E99" s="409" t="s">
        <v>573</v>
      </c>
      <c r="F99" s="409" t="s">
        <v>155</v>
      </c>
      <c r="G99" s="1662"/>
      <c r="H99" s="1682">
        <f t="shared" si="15"/>
        <v>0</v>
      </c>
      <c r="I99" s="529">
        <f t="shared" si="15"/>
        <v>598.5</v>
      </c>
      <c r="J99" s="269">
        <f t="shared" si="15"/>
        <v>598.5</v>
      </c>
      <c r="N99" s="1200">
        <f t="shared" si="16"/>
        <v>0</v>
      </c>
      <c r="U99" s="1682">
        <f t="shared" si="17"/>
        <v>0</v>
      </c>
    </row>
    <row r="100" spans="1:25" hidden="1" x14ac:dyDescent="0.25">
      <c r="A100" s="1179"/>
      <c r="B100" s="753" t="s">
        <v>109</v>
      </c>
      <c r="C100" s="1180"/>
      <c r="D100" s="409" t="s">
        <v>456</v>
      </c>
      <c r="E100" s="409" t="s">
        <v>573</v>
      </c>
      <c r="F100" s="409" t="s">
        <v>154</v>
      </c>
      <c r="G100" s="1662"/>
      <c r="H100" s="1682">
        <f>H105</f>
        <v>0</v>
      </c>
      <c r="I100" s="529">
        <f>I105</f>
        <v>598.5</v>
      </c>
      <c r="J100" s="269">
        <f>J105</f>
        <v>598.5</v>
      </c>
      <c r="N100" s="1200">
        <f>N105</f>
        <v>0</v>
      </c>
      <c r="U100" s="1682">
        <f>U105</f>
        <v>0</v>
      </c>
    </row>
    <row r="101" spans="1:25" hidden="1" x14ac:dyDescent="0.25">
      <c r="A101" s="1179"/>
      <c r="B101" s="753" t="s">
        <v>577</v>
      </c>
      <c r="C101" s="1180"/>
      <c r="D101" s="409" t="s">
        <v>456</v>
      </c>
      <c r="E101" s="409" t="s">
        <v>573</v>
      </c>
      <c r="F101" s="409" t="s">
        <v>576</v>
      </c>
      <c r="G101" s="1662"/>
      <c r="H101" s="1682">
        <f>H102</f>
        <v>0</v>
      </c>
      <c r="I101" s="529">
        <f>I102</f>
        <v>0</v>
      </c>
      <c r="J101" s="269">
        <f>J102</f>
        <v>0</v>
      </c>
      <c r="N101" s="1200">
        <f>N102</f>
        <v>0</v>
      </c>
      <c r="U101" s="1682">
        <f>U102</f>
        <v>0</v>
      </c>
    </row>
    <row r="102" spans="1:25" ht="21" hidden="1" x14ac:dyDescent="0.25">
      <c r="A102" s="842"/>
      <c r="B102" s="1182" t="s">
        <v>454</v>
      </c>
      <c r="C102" s="1183"/>
      <c r="D102" s="409" t="s">
        <v>456</v>
      </c>
      <c r="E102" s="409" t="s">
        <v>573</v>
      </c>
      <c r="F102" s="409" t="s">
        <v>576</v>
      </c>
      <c r="G102" s="1662" t="s">
        <v>1</v>
      </c>
      <c r="H102" s="1682"/>
      <c r="I102" s="529"/>
      <c r="J102" s="269"/>
      <c r="N102" s="1200"/>
      <c r="U102" s="1682"/>
    </row>
    <row r="103" spans="1:25" ht="21" hidden="1" x14ac:dyDescent="0.25">
      <c r="A103" s="842"/>
      <c r="B103" s="1199" t="s">
        <v>151</v>
      </c>
      <c r="C103" s="1188"/>
      <c r="D103" s="409" t="s">
        <v>456</v>
      </c>
      <c r="E103" s="409" t="s">
        <v>452</v>
      </c>
      <c r="F103" s="409" t="s">
        <v>150</v>
      </c>
      <c r="G103" s="1662"/>
      <c r="H103" s="1682">
        <f>H104</f>
        <v>0</v>
      </c>
      <c r="I103" s="529">
        <f>I104</f>
        <v>0</v>
      </c>
      <c r="J103" s="269">
        <f>J104</f>
        <v>0</v>
      </c>
      <c r="N103" s="1200">
        <f>N104</f>
        <v>0</v>
      </c>
      <c r="U103" s="1682">
        <f>U104</f>
        <v>0</v>
      </c>
    </row>
    <row r="104" spans="1:25" hidden="1" x14ac:dyDescent="0.25">
      <c r="A104" s="842"/>
      <c r="B104" s="1182" t="s">
        <v>575</v>
      </c>
      <c r="C104" s="1183"/>
      <c r="D104" s="409" t="s">
        <v>456</v>
      </c>
      <c r="E104" s="409" t="s">
        <v>452</v>
      </c>
      <c r="F104" s="409" t="s">
        <v>150</v>
      </c>
      <c r="G104" s="1662" t="s">
        <v>120</v>
      </c>
      <c r="H104" s="1682"/>
      <c r="I104" s="529"/>
      <c r="J104" s="269"/>
      <c r="N104" s="1200"/>
      <c r="U104" s="1682"/>
    </row>
    <row r="105" spans="1:25" ht="52" hidden="1" x14ac:dyDescent="0.25">
      <c r="A105" s="842"/>
      <c r="B105" s="398" t="s">
        <v>574</v>
      </c>
      <c r="C105" s="1188"/>
      <c r="D105" s="409" t="s">
        <v>456</v>
      </c>
      <c r="E105" s="409" t="s">
        <v>573</v>
      </c>
      <c r="F105" s="409" t="s">
        <v>127</v>
      </c>
      <c r="G105" s="1662"/>
      <c r="H105" s="1682">
        <f>H106+H107</f>
        <v>0</v>
      </c>
      <c r="I105" s="529">
        <f>I106+I107</f>
        <v>598.5</v>
      </c>
      <c r="J105" s="269">
        <f>J106+J107</f>
        <v>598.5</v>
      </c>
      <c r="N105" s="1200">
        <f>N106+N107</f>
        <v>0</v>
      </c>
      <c r="U105" s="1682">
        <f>U106+U107</f>
        <v>0</v>
      </c>
    </row>
    <row r="106" spans="1:25" hidden="1" x14ac:dyDescent="0.25">
      <c r="A106" s="842"/>
      <c r="B106" s="1182" t="s">
        <v>571</v>
      </c>
      <c r="C106" s="1183"/>
      <c r="D106" s="409" t="s">
        <v>456</v>
      </c>
      <c r="E106" s="409" t="s">
        <v>573</v>
      </c>
      <c r="F106" s="409" t="s">
        <v>127</v>
      </c>
      <c r="G106" s="1662" t="s">
        <v>5</v>
      </c>
      <c r="H106" s="1682"/>
      <c r="I106" s="529">
        <v>561.29999999999995</v>
      </c>
      <c r="J106" s="269">
        <v>561.29999999999995</v>
      </c>
      <c r="N106" s="1200"/>
      <c r="U106" s="1682"/>
    </row>
    <row r="107" spans="1:25" ht="21" hidden="1" x14ac:dyDescent="0.25">
      <c r="A107" s="842"/>
      <c r="B107" s="1182" t="s">
        <v>454</v>
      </c>
      <c r="C107" s="1183"/>
      <c r="D107" s="409" t="s">
        <v>456</v>
      </c>
      <c r="E107" s="409" t="s">
        <v>573</v>
      </c>
      <c r="F107" s="409" t="s">
        <v>127</v>
      </c>
      <c r="G107" s="1662" t="s">
        <v>1</v>
      </c>
      <c r="H107" s="1682"/>
      <c r="I107" s="529">
        <v>37.200000000000003</v>
      </c>
      <c r="J107" s="269">
        <v>37.200000000000003</v>
      </c>
      <c r="N107" s="1200"/>
      <c r="U107" s="1682"/>
    </row>
    <row r="108" spans="1:25" x14ac:dyDescent="0.25">
      <c r="A108" s="842"/>
      <c r="B108" s="1212" t="s">
        <v>412</v>
      </c>
      <c r="C108" s="1183"/>
      <c r="D108" s="408" t="s">
        <v>488</v>
      </c>
      <c r="E108" s="408" t="s">
        <v>459</v>
      </c>
      <c r="F108" s="409"/>
      <c r="G108" s="1662"/>
      <c r="H108" s="1683">
        <f>H109</f>
        <v>834.7</v>
      </c>
      <c r="I108" s="841">
        <f t="shared" ref="I108:J112" si="18">I109</f>
        <v>0</v>
      </c>
      <c r="J108" s="276">
        <f t="shared" si="18"/>
        <v>0</v>
      </c>
      <c r="N108" s="1208">
        <f>N109</f>
        <v>844.2</v>
      </c>
      <c r="U108" s="1683">
        <f>U109</f>
        <v>874.4</v>
      </c>
      <c r="V108" s="1784">
        <v>834.7</v>
      </c>
      <c r="W108" s="1784">
        <v>844.2</v>
      </c>
      <c r="X108" s="1784">
        <v>874.4</v>
      </c>
      <c r="Y108" s="239" t="s">
        <v>444</v>
      </c>
    </row>
    <row r="109" spans="1:25" x14ac:dyDescent="0.25">
      <c r="A109" s="842"/>
      <c r="B109" s="1212" t="s">
        <v>6</v>
      </c>
      <c r="C109" s="1183"/>
      <c r="D109" s="408" t="s">
        <v>488</v>
      </c>
      <c r="E109" s="408" t="s">
        <v>495</v>
      </c>
      <c r="F109" s="409"/>
      <c r="G109" s="1662"/>
      <c r="H109" s="1683">
        <f>H110</f>
        <v>834.7</v>
      </c>
      <c r="I109" s="841">
        <f t="shared" si="18"/>
        <v>0</v>
      </c>
      <c r="J109" s="276">
        <f t="shared" si="18"/>
        <v>0</v>
      </c>
      <c r="K109" s="1439">
        <v>727.8</v>
      </c>
      <c r="N109" s="1208">
        <f>N110</f>
        <v>844.2</v>
      </c>
      <c r="U109" s="1683">
        <f>U110</f>
        <v>874.4</v>
      </c>
    </row>
    <row r="110" spans="1:25" ht="21" x14ac:dyDescent="0.25">
      <c r="A110" s="842"/>
      <c r="B110" s="752" t="s">
        <v>572</v>
      </c>
      <c r="C110" s="1183"/>
      <c r="D110" s="408" t="s">
        <v>488</v>
      </c>
      <c r="E110" s="408" t="s">
        <v>495</v>
      </c>
      <c r="F110" s="408" t="s">
        <v>89</v>
      </c>
      <c r="G110" s="1662"/>
      <c r="H110" s="1683">
        <f>H111</f>
        <v>834.7</v>
      </c>
      <c r="I110" s="841">
        <f t="shared" si="18"/>
        <v>0</v>
      </c>
      <c r="J110" s="276">
        <f t="shared" si="18"/>
        <v>0</v>
      </c>
      <c r="N110" s="1208">
        <f>N111</f>
        <v>844.2</v>
      </c>
      <c r="U110" s="1683">
        <f>U111</f>
        <v>874.4</v>
      </c>
    </row>
    <row r="111" spans="1:25" x14ac:dyDescent="0.25">
      <c r="A111" s="842"/>
      <c r="B111" s="753" t="s">
        <v>109</v>
      </c>
      <c r="C111" s="1183"/>
      <c r="D111" s="409" t="s">
        <v>488</v>
      </c>
      <c r="E111" s="409" t="s">
        <v>495</v>
      </c>
      <c r="F111" s="409" t="s">
        <v>84</v>
      </c>
      <c r="G111" s="1662"/>
      <c r="H111" s="1682">
        <f>H112</f>
        <v>834.7</v>
      </c>
      <c r="I111" s="529">
        <f t="shared" si="18"/>
        <v>0</v>
      </c>
      <c r="J111" s="269">
        <f t="shared" si="18"/>
        <v>0</v>
      </c>
      <c r="N111" s="1200">
        <f>N112</f>
        <v>844.2</v>
      </c>
      <c r="U111" s="1682">
        <f>U112</f>
        <v>874.4</v>
      </c>
    </row>
    <row r="112" spans="1:25" x14ac:dyDescent="0.25">
      <c r="A112" s="842"/>
      <c r="B112" s="753" t="s">
        <v>109</v>
      </c>
      <c r="C112" s="1183"/>
      <c r="D112" s="409" t="s">
        <v>488</v>
      </c>
      <c r="E112" s="409" t="s">
        <v>495</v>
      </c>
      <c r="F112" s="409" t="s">
        <v>82</v>
      </c>
      <c r="G112" s="1662"/>
      <c r="H112" s="1682">
        <f>H113</f>
        <v>834.7</v>
      </c>
      <c r="I112" s="529">
        <f t="shared" si="18"/>
        <v>0</v>
      </c>
      <c r="J112" s="269">
        <f t="shared" si="18"/>
        <v>0</v>
      </c>
      <c r="N112" s="1200">
        <f>N113</f>
        <v>844.2</v>
      </c>
      <c r="U112" s="1682">
        <f>U113</f>
        <v>874.4</v>
      </c>
    </row>
    <row r="113" spans="1:24" ht="21" x14ac:dyDescent="0.25">
      <c r="A113" s="842"/>
      <c r="B113" s="1213" t="s">
        <v>8</v>
      </c>
      <c r="C113" s="1183"/>
      <c r="D113" s="409" t="s">
        <v>488</v>
      </c>
      <c r="E113" s="409" t="s">
        <v>495</v>
      </c>
      <c r="F113" s="409" t="s">
        <v>2</v>
      </c>
      <c r="G113" s="1662"/>
      <c r="H113" s="1682">
        <f>H114+H115</f>
        <v>834.7</v>
      </c>
      <c r="I113" s="529">
        <f>I114+I115</f>
        <v>0</v>
      </c>
      <c r="J113" s="269">
        <f>J114+J115</f>
        <v>0</v>
      </c>
      <c r="N113" s="1200">
        <f>N114+N115</f>
        <v>844.2</v>
      </c>
      <c r="U113" s="1682">
        <f>U114+U115</f>
        <v>874.4</v>
      </c>
    </row>
    <row r="114" spans="1:24" x14ac:dyDescent="0.25">
      <c r="A114" s="842"/>
      <c r="B114" s="1182" t="s">
        <v>571</v>
      </c>
      <c r="C114" s="1183"/>
      <c r="D114" s="409" t="s">
        <v>488</v>
      </c>
      <c r="E114" s="409" t="s">
        <v>495</v>
      </c>
      <c r="F114" s="409" t="s">
        <v>2</v>
      </c>
      <c r="G114" s="1662" t="s">
        <v>5</v>
      </c>
      <c r="H114" s="1682">
        <v>807.12400000000002</v>
      </c>
      <c r="I114" s="529"/>
      <c r="J114" s="269"/>
      <c r="K114" s="1">
        <v>700.22400000000005</v>
      </c>
      <c r="N114" s="1200">
        <v>816.62400000000002</v>
      </c>
      <c r="U114" s="1682">
        <v>846.82399999999996</v>
      </c>
      <c r="V114" s="2">
        <v>807.12400000000002</v>
      </c>
      <c r="W114" s="2">
        <v>816.62400000000002</v>
      </c>
      <c r="X114" s="2">
        <v>846.82399999999996</v>
      </c>
    </row>
    <row r="115" spans="1:24" ht="21" x14ac:dyDescent="0.25">
      <c r="A115" s="842"/>
      <c r="B115" s="1182" t="s">
        <v>454</v>
      </c>
      <c r="C115" s="1183"/>
      <c r="D115" s="409" t="s">
        <v>488</v>
      </c>
      <c r="E115" s="409" t="s">
        <v>495</v>
      </c>
      <c r="F115" s="409" t="s">
        <v>2</v>
      </c>
      <c r="G115" s="1662" t="s">
        <v>1</v>
      </c>
      <c r="H115" s="1682">
        <v>27.576000000000001</v>
      </c>
      <c r="I115" s="529"/>
      <c r="J115" s="269"/>
      <c r="K115" s="1">
        <v>27.576000000000001</v>
      </c>
      <c r="N115" s="1200">
        <v>27.576000000000001</v>
      </c>
      <c r="U115" s="1682">
        <v>27.576000000000001</v>
      </c>
      <c r="V115" s="2"/>
      <c r="W115" s="2"/>
      <c r="X115" s="2">
        <v>27.576000000000001</v>
      </c>
    </row>
    <row r="116" spans="1:24" x14ac:dyDescent="0.25">
      <c r="A116" s="1179"/>
      <c r="B116" s="1214" t="s">
        <v>407</v>
      </c>
      <c r="C116" s="1177"/>
      <c r="D116" s="408" t="s">
        <v>495</v>
      </c>
      <c r="E116" s="408" t="s">
        <v>459</v>
      </c>
      <c r="F116" s="408"/>
      <c r="G116" s="1661"/>
      <c r="H116" s="1683">
        <f>H118+H135</f>
        <v>843.1</v>
      </c>
      <c r="I116" s="841">
        <f>I117</f>
        <v>1202</v>
      </c>
      <c r="J116" s="276">
        <f>J117</f>
        <v>676</v>
      </c>
      <c r="N116" s="1683">
        <f>N118+N135</f>
        <v>1209.0999999999999</v>
      </c>
      <c r="U116" s="1683">
        <f>U118+U135</f>
        <v>1257.1399999999999</v>
      </c>
    </row>
    <row r="117" spans="1:24" ht="23" x14ac:dyDescent="0.25">
      <c r="A117" s="842"/>
      <c r="B117" s="1184" t="s">
        <v>570</v>
      </c>
      <c r="C117" s="1177"/>
      <c r="D117" s="408" t="s">
        <v>495</v>
      </c>
      <c r="E117" s="408" t="s">
        <v>539</v>
      </c>
      <c r="F117" s="408"/>
      <c r="G117" s="1661"/>
      <c r="H117" s="1708">
        <f>H118</f>
        <v>836</v>
      </c>
      <c r="I117" s="841">
        <f>I118+I138</f>
        <v>1202</v>
      </c>
      <c r="J117" s="276">
        <f>J118+J138</f>
        <v>676</v>
      </c>
      <c r="N117" s="1708">
        <f>N118</f>
        <v>1202</v>
      </c>
      <c r="U117" s="1708">
        <f>U118</f>
        <v>1250.04</v>
      </c>
    </row>
    <row r="118" spans="1:24" ht="21" x14ac:dyDescent="0.25">
      <c r="A118" s="1179"/>
      <c r="B118" s="1205" t="s">
        <v>912</v>
      </c>
      <c r="C118" s="1215"/>
      <c r="D118" s="409" t="s">
        <v>495</v>
      </c>
      <c r="E118" s="409" t="s">
        <v>539</v>
      </c>
      <c r="F118" s="409" t="s">
        <v>240</v>
      </c>
      <c r="G118" s="1662"/>
      <c r="H118" s="1682">
        <f>H122+H129+H134</f>
        <v>836</v>
      </c>
      <c r="I118" s="529">
        <f>I119+I131</f>
        <v>1202</v>
      </c>
      <c r="J118" s="269">
        <f>J119+J131</f>
        <v>676</v>
      </c>
      <c r="K118" s="1439">
        <f>K122+K129+K134</f>
        <v>836</v>
      </c>
      <c r="N118" s="1200">
        <f>N122+N129+N134</f>
        <v>1202</v>
      </c>
      <c r="U118" s="1682">
        <f>U122+U129+U134</f>
        <v>1250.04</v>
      </c>
    </row>
    <row r="119" spans="1:24" ht="42" x14ac:dyDescent="0.25">
      <c r="A119" s="1179"/>
      <c r="B119" s="1216" t="s">
        <v>926</v>
      </c>
      <c r="C119" s="1215"/>
      <c r="D119" s="1217" t="s">
        <v>495</v>
      </c>
      <c r="E119" s="1217" t="s">
        <v>539</v>
      </c>
      <c r="F119" s="1217" t="s">
        <v>238</v>
      </c>
      <c r="G119" s="1664"/>
      <c r="H119" s="1682">
        <f>H120+H127</f>
        <v>443.32</v>
      </c>
      <c r="I119" s="529">
        <f>I120+I127</f>
        <v>506</v>
      </c>
      <c r="J119" s="269">
        <f>J120+J127</f>
        <v>646</v>
      </c>
      <c r="N119" s="1200">
        <f>N120+N127</f>
        <v>606</v>
      </c>
      <c r="U119" s="1682">
        <f>U120+U127</f>
        <v>630.20000000000005</v>
      </c>
    </row>
    <row r="120" spans="1:24" ht="21" x14ac:dyDescent="0.25">
      <c r="A120" s="1179"/>
      <c r="B120" s="1197" t="s">
        <v>236</v>
      </c>
      <c r="C120" s="1215"/>
      <c r="D120" s="1217" t="s">
        <v>495</v>
      </c>
      <c r="E120" s="1217" t="s">
        <v>539</v>
      </c>
      <c r="F120" s="1217" t="s">
        <v>235</v>
      </c>
      <c r="G120" s="1664"/>
      <c r="H120" s="1682">
        <f>H121+H123+H125</f>
        <v>133.32</v>
      </c>
      <c r="I120" s="529">
        <f>I121+I123+I125</f>
        <v>320</v>
      </c>
      <c r="J120" s="269">
        <f>J121+J123+J125</f>
        <v>340</v>
      </c>
      <c r="N120" s="1200">
        <f>N121+N123+N125</f>
        <v>376</v>
      </c>
      <c r="U120" s="1682">
        <f>U121+U123+U125</f>
        <v>391</v>
      </c>
    </row>
    <row r="121" spans="1:24" ht="21" x14ac:dyDescent="0.25">
      <c r="A121" s="1179"/>
      <c r="B121" s="1218" t="s">
        <v>237</v>
      </c>
      <c r="C121" s="1215"/>
      <c r="D121" s="1217" t="s">
        <v>495</v>
      </c>
      <c r="E121" s="1217" t="s">
        <v>539</v>
      </c>
      <c r="F121" s="1217" t="s">
        <v>233</v>
      </c>
      <c r="G121" s="1664"/>
      <c r="H121" s="1682">
        <f>H122</f>
        <v>133.32</v>
      </c>
      <c r="I121" s="529">
        <f>I122</f>
        <v>320</v>
      </c>
      <c r="J121" s="269">
        <f>J122</f>
        <v>340</v>
      </c>
      <c r="N121" s="1200">
        <f>N122</f>
        <v>376</v>
      </c>
      <c r="U121" s="1682">
        <f>U122</f>
        <v>391</v>
      </c>
    </row>
    <row r="122" spans="1:24" ht="21" x14ac:dyDescent="0.25">
      <c r="A122" s="1179"/>
      <c r="B122" s="1182" t="s">
        <v>454</v>
      </c>
      <c r="C122" s="1183"/>
      <c r="D122" s="1217" t="s">
        <v>495</v>
      </c>
      <c r="E122" s="1217" t="s">
        <v>539</v>
      </c>
      <c r="F122" s="1217" t="s">
        <v>233</v>
      </c>
      <c r="G122" s="1662" t="s">
        <v>1</v>
      </c>
      <c r="H122" s="1682">
        <v>133.32</v>
      </c>
      <c r="I122" s="529">
        <v>320</v>
      </c>
      <c r="J122" s="269">
        <v>340</v>
      </c>
      <c r="K122" s="1">
        <v>133.32</v>
      </c>
      <c r="N122" s="1200">
        <v>376</v>
      </c>
      <c r="U122" s="1682">
        <v>391</v>
      </c>
    </row>
    <row r="123" spans="1:24" hidden="1" x14ac:dyDescent="0.25">
      <c r="A123" s="1179"/>
      <c r="B123" s="1219" t="s">
        <v>568</v>
      </c>
      <c r="C123" s="1215"/>
      <c r="D123" s="1217" t="s">
        <v>495</v>
      </c>
      <c r="E123" s="1217" t="s">
        <v>539</v>
      </c>
      <c r="F123" s="1217" t="s">
        <v>567</v>
      </c>
      <c r="G123" s="1664"/>
      <c r="H123" s="1682">
        <f>H124</f>
        <v>0</v>
      </c>
      <c r="I123" s="529">
        <f>I124</f>
        <v>0</v>
      </c>
      <c r="J123" s="269">
        <f>J124</f>
        <v>0</v>
      </c>
      <c r="N123" s="1200">
        <f>N124</f>
        <v>0</v>
      </c>
      <c r="U123" s="1682">
        <f>U124</f>
        <v>0</v>
      </c>
    </row>
    <row r="124" spans="1:24" ht="21" hidden="1" x14ac:dyDescent="0.25">
      <c r="A124" s="1179"/>
      <c r="B124" s="1182" t="s">
        <v>454</v>
      </c>
      <c r="C124" s="1183"/>
      <c r="D124" s="1217" t="s">
        <v>495</v>
      </c>
      <c r="E124" s="1217" t="s">
        <v>539</v>
      </c>
      <c r="F124" s="1217" t="s">
        <v>567</v>
      </c>
      <c r="G124" s="1662" t="s">
        <v>1</v>
      </c>
      <c r="H124" s="1682"/>
      <c r="I124" s="529"/>
      <c r="J124" s="269"/>
      <c r="N124" s="1200"/>
      <c r="U124" s="1682"/>
    </row>
    <row r="125" spans="1:24" hidden="1" x14ac:dyDescent="0.25">
      <c r="A125" s="1179"/>
      <c r="B125" s="1219" t="s">
        <v>566</v>
      </c>
      <c r="C125" s="1215"/>
      <c r="D125" s="1217" t="s">
        <v>495</v>
      </c>
      <c r="E125" s="1217" t="s">
        <v>539</v>
      </c>
      <c r="F125" s="1217" t="s">
        <v>565</v>
      </c>
      <c r="G125" s="1664"/>
      <c r="H125" s="1682">
        <f>H126</f>
        <v>0</v>
      </c>
      <c r="I125" s="529">
        <f>I126</f>
        <v>0</v>
      </c>
      <c r="J125" s="269">
        <f>J126</f>
        <v>0</v>
      </c>
      <c r="N125" s="1200">
        <f>N126</f>
        <v>0</v>
      </c>
      <c r="U125" s="1682">
        <f>U126</f>
        <v>0</v>
      </c>
    </row>
    <row r="126" spans="1:24" ht="21" hidden="1" x14ac:dyDescent="0.25">
      <c r="A126" s="1179"/>
      <c r="B126" s="1182" t="s">
        <v>454</v>
      </c>
      <c r="C126" s="1183"/>
      <c r="D126" s="1217" t="s">
        <v>495</v>
      </c>
      <c r="E126" s="1217" t="s">
        <v>539</v>
      </c>
      <c r="F126" s="1217" t="s">
        <v>565</v>
      </c>
      <c r="G126" s="1662" t="s">
        <v>1</v>
      </c>
      <c r="H126" s="1682"/>
      <c r="I126" s="529"/>
      <c r="J126" s="269"/>
      <c r="N126" s="1200"/>
      <c r="U126" s="1682"/>
    </row>
    <row r="127" spans="1:24" x14ac:dyDescent="0.25">
      <c r="A127" s="1179"/>
      <c r="B127" s="1219" t="s">
        <v>564</v>
      </c>
      <c r="C127" s="1215"/>
      <c r="D127" s="1217" t="s">
        <v>495</v>
      </c>
      <c r="E127" s="1217" t="s">
        <v>539</v>
      </c>
      <c r="F127" s="1217" t="s">
        <v>231</v>
      </c>
      <c r="G127" s="1664"/>
      <c r="H127" s="1682">
        <f>H128</f>
        <v>310</v>
      </c>
      <c r="I127" s="529">
        <f>I128</f>
        <v>186</v>
      </c>
      <c r="J127" s="269">
        <f>J128</f>
        <v>306</v>
      </c>
      <c r="N127" s="1200">
        <f>N128</f>
        <v>230</v>
      </c>
      <c r="U127" s="1682">
        <f>U128</f>
        <v>239.2</v>
      </c>
    </row>
    <row r="128" spans="1:24" x14ac:dyDescent="0.25">
      <c r="A128" s="1179"/>
      <c r="B128" s="1117" t="s">
        <v>563</v>
      </c>
      <c r="C128" s="1188"/>
      <c r="D128" s="409" t="s">
        <v>495</v>
      </c>
      <c r="E128" s="409" t="s">
        <v>539</v>
      </c>
      <c r="F128" s="1217" t="s">
        <v>229</v>
      </c>
      <c r="G128" s="1664"/>
      <c r="H128" s="1682">
        <f>H129+H130</f>
        <v>310</v>
      </c>
      <c r="I128" s="529">
        <f>I129+I130</f>
        <v>186</v>
      </c>
      <c r="J128" s="269">
        <f>J129+J130</f>
        <v>306</v>
      </c>
      <c r="N128" s="1200">
        <f>N129+N130</f>
        <v>230</v>
      </c>
      <c r="U128" s="1682">
        <f>U129+U130</f>
        <v>239.2</v>
      </c>
    </row>
    <row r="129" spans="1:25" ht="21" x14ac:dyDescent="0.25">
      <c r="A129" s="1179"/>
      <c r="B129" s="1182" t="s">
        <v>454</v>
      </c>
      <c r="C129" s="1183"/>
      <c r="D129" s="409" t="s">
        <v>495</v>
      </c>
      <c r="E129" s="409" t="s">
        <v>539</v>
      </c>
      <c r="F129" s="1217" t="s">
        <v>229</v>
      </c>
      <c r="G129" s="1664">
        <v>240</v>
      </c>
      <c r="H129" s="1682">
        <v>310</v>
      </c>
      <c r="I129" s="529">
        <v>186</v>
      </c>
      <c r="J129" s="269">
        <v>306</v>
      </c>
      <c r="K129" s="1">
        <v>310</v>
      </c>
      <c r="N129" s="1200">
        <v>230</v>
      </c>
      <c r="U129" s="1682">
        <v>239.2</v>
      </c>
    </row>
    <row r="130" spans="1:25" ht="21" hidden="1" x14ac:dyDescent="0.25">
      <c r="A130" s="1179"/>
      <c r="B130" s="1183" t="s">
        <v>562</v>
      </c>
      <c r="C130" s="1183"/>
      <c r="D130" s="409" t="s">
        <v>495</v>
      </c>
      <c r="E130" s="409" t="s">
        <v>539</v>
      </c>
      <c r="F130" s="1217" t="s">
        <v>229</v>
      </c>
      <c r="G130" s="1664" t="s">
        <v>561</v>
      </c>
      <c r="H130" s="1682"/>
      <c r="I130" s="529"/>
      <c r="J130" s="269"/>
      <c r="N130" s="1200"/>
      <c r="U130" s="1682"/>
    </row>
    <row r="131" spans="1:25" x14ac:dyDescent="0.25">
      <c r="A131" s="1179"/>
      <c r="B131" s="1219" t="s">
        <v>560</v>
      </c>
      <c r="C131" s="1215"/>
      <c r="D131" s="1217" t="s">
        <v>495</v>
      </c>
      <c r="E131" s="1217" t="s">
        <v>539</v>
      </c>
      <c r="F131" s="1217" t="s">
        <v>227</v>
      </c>
      <c r="G131" s="1664"/>
      <c r="H131" s="1682">
        <f>H132</f>
        <v>392.68</v>
      </c>
      <c r="I131" s="529">
        <f>I132</f>
        <v>696</v>
      </c>
      <c r="J131" s="269">
        <f>J132</f>
        <v>30</v>
      </c>
      <c r="N131" s="1200">
        <f>N132</f>
        <v>596</v>
      </c>
      <c r="U131" s="1682">
        <f>U132</f>
        <v>619.84</v>
      </c>
    </row>
    <row r="132" spans="1:25" ht="21" x14ac:dyDescent="0.25">
      <c r="A132" s="1179"/>
      <c r="B132" s="1219" t="s">
        <v>559</v>
      </c>
      <c r="C132" s="1215"/>
      <c r="D132" s="1217" t="s">
        <v>495</v>
      </c>
      <c r="E132" s="1217" t="s">
        <v>539</v>
      </c>
      <c r="F132" s="1217" t="s">
        <v>225</v>
      </c>
      <c r="G132" s="1664"/>
      <c r="H132" s="1682">
        <f>H133</f>
        <v>392.68</v>
      </c>
      <c r="I132" s="529">
        <f>I133+I135</f>
        <v>696</v>
      </c>
      <c r="J132" s="269">
        <f>J133+J135</f>
        <v>30</v>
      </c>
      <c r="N132" s="1200">
        <f>N133</f>
        <v>596</v>
      </c>
      <c r="U132" s="1682">
        <f>U133</f>
        <v>619.84</v>
      </c>
    </row>
    <row r="133" spans="1:25" x14ac:dyDescent="0.25">
      <c r="A133" s="1179"/>
      <c r="B133" s="1220" t="s">
        <v>224</v>
      </c>
      <c r="C133" s="1188"/>
      <c r="D133" s="1217" t="s">
        <v>495</v>
      </c>
      <c r="E133" s="1217" t="s">
        <v>539</v>
      </c>
      <c r="F133" s="1217" t="s">
        <v>220</v>
      </c>
      <c r="G133" s="1664"/>
      <c r="H133" s="1682">
        <f>H134</f>
        <v>392.68</v>
      </c>
      <c r="I133" s="529">
        <f>I134</f>
        <v>696</v>
      </c>
      <c r="J133" s="269">
        <f>J134</f>
        <v>30</v>
      </c>
      <c r="N133" s="1200">
        <f>N134</f>
        <v>596</v>
      </c>
      <c r="U133" s="1682">
        <f>U134</f>
        <v>619.84</v>
      </c>
    </row>
    <row r="134" spans="1:25" ht="21" x14ac:dyDescent="0.25">
      <c r="A134" s="1179"/>
      <c r="B134" s="1182" t="s">
        <v>454</v>
      </c>
      <c r="C134" s="1183"/>
      <c r="D134" s="1217" t="s">
        <v>495</v>
      </c>
      <c r="E134" s="1217" t="s">
        <v>539</v>
      </c>
      <c r="F134" s="1217" t="s">
        <v>220</v>
      </c>
      <c r="G134" s="1662" t="s">
        <v>1</v>
      </c>
      <c r="H134" s="1682">
        <v>392.68</v>
      </c>
      <c r="I134" s="529">
        <v>696</v>
      </c>
      <c r="J134" s="269">
        <v>30</v>
      </c>
      <c r="K134" s="1">
        <v>392.68</v>
      </c>
      <c r="N134" s="1200">
        <v>596</v>
      </c>
      <c r="U134" s="1682">
        <v>619.84</v>
      </c>
    </row>
    <row r="135" spans="1:25" ht="27" customHeight="1" x14ac:dyDescent="0.25">
      <c r="A135" s="1179"/>
      <c r="B135" s="1214" t="s">
        <v>833</v>
      </c>
      <c r="C135" s="1188"/>
      <c r="D135" s="1221" t="s">
        <v>495</v>
      </c>
      <c r="E135" s="1221" t="s">
        <v>832</v>
      </c>
      <c r="F135" s="408"/>
      <c r="G135" s="1769"/>
      <c r="H135" s="1683">
        <f>H137</f>
        <v>7.1</v>
      </c>
      <c r="I135" s="529">
        <f>I137</f>
        <v>0</v>
      </c>
      <c r="J135" s="269">
        <f>J137</f>
        <v>0</v>
      </c>
      <c r="N135" s="1208">
        <f>N137</f>
        <v>7.1</v>
      </c>
      <c r="U135" s="1683">
        <f>U137</f>
        <v>7.1</v>
      </c>
      <c r="V135" s="1784">
        <v>7.1</v>
      </c>
      <c r="W135" s="1784">
        <v>7.1</v>
      </c>
      <c r="X135" s="1784">
        <v>7.1</v>
      </c>
      <c r="Y135" s="239" t="s">
        <v>444</v>
      </c>
    </row>
    <row r="136" spans="1:25" ht="26.25" customHeight="1" x14ac:dyDescent="0.25">
      <c r="A136" s="1179"/>
      <c r="B136" s="753" t="s">
        <v>583</v>
      </c>
      <c r="C136" s="1188"/>
      <c r="D136" s="1217" t="s">
        <v>495</v>
      </c>
      <c r="E136" s="1217" t="s">
        <v>832</v>
      </c>
      <c r="F136" s="409" t="s">
        <v>157</v>
      </c>
      <c r="G136" s="1664"/>
      <c r="H136" s="1682">
        <f>H137</f>
        <v>7.1</v>
      </c>
      <c r="I136" s="529"/>
      <c r="J136" s="269"/>
      <c r="N136" s="1200">
        <f>N137</f>
        <v>7.1</v>
      </c>
      <c r="U136" s="1682">
        <f>U137</f>
        <v>7.1</v>
      </c>
    </row>
    <row r="137" spans="1:25" ht="27.75" customHeight="1" x14ac:dyDescent="0.25">
      <c r="A137" s="1179"/>
      <c r="B137" s="1197" t="s">
        <v>156</v>
      </c>
      <c r="C137" s="1183"/>
      <c r="D137" s="1217" t="s">
        <v>495</v>
      </c>
      <c r="E137" s="1217" t="s">
        <v>832</v>
      </c>
      <c r="F137" s="409" t="s">
        <v>155</v>
      </c>
      <c r="G137" s="1662"/>
      <c r="H137" s="1682">
        <f>H138</f>
        <v>7.1</v>
      </c>
      <c r="I137" s="529"/>
      <c r="J137" s="269"/>
      <c r="N137" s="1200">
        <f>N138</f>
        <v>7.1</v>
      </c>
      <c r="U137" s="1682">
        <f>U138</f>
        <v>7.1</v>
      </c>
    </row>
    <row r="138" spans="1:25" x14ac:dyDescent="0.25">
      <c r="A138" s="842"/>
      <c r="B138" s="1219" t="s">
        <v>109</v>
      </c>
      <c r="C138" s="1222"/>
      <c r="D138" s="409" t="s">
        <v>495</v>
      </c>
      <c r="E138" s="409" t="s">
        <v>832</v>
      </c>
      <c r="F138" s="409" t="s">
        <v>154</v>
      </c>
      <c r="G138" s="1662"/>
      <c r="H138" s="1682">
        <f>H139</f>
        <v>7.1</v>
      </c>
      <c r="I138" s="841">
        <f t="shared" ref="I138:J139" si="19">I139</f>
        <v>0</v>
      </c>
      <c r="J138" s="276">
        <f t="shared" si="19"/>
        <v>0</v>
      </c>
      <c r="N138" s="1200">
        <f>N139</f>
        <v>7.1</v>
      </c>
      <c r="U138" s="1682">
        <f>U139</f>
        <v>7.1</v>
      </c>
    </row>
    <row r="139" spans="1:25" ht="31.5" x14ac:dyDescent="0.25">
      <c r="A139" s="1179"/>
      <c r="B139" s="1219" t="s">
        <v>834</v>
      </c>
      <c r="C139" s="1223"/>
      <c r="D139" s="409" t="s">
        <v>495</v>
      </c>
      <c r="E139" s="409" t="s">
        <v>832</v>
      </c>
      <c r="F139" s="409" t="s">
        <v>127</v>
      </c>
      <c r="G139" s="1662"/>
      <c r="H139" s="1682">
        <f>H140+H141</f>
        <v>7.1</v>
      </c>
      <c r="I139" s="529">
        <f t="shared" si="19"/>
        <v>0</v>
      </c>
      <c r="J139" s="269">
        <f t="shared" si="19"/>
        <v>0</v>
      </c>
      <c r="K139" s="1439">
        <f>K140+K141</f>
        <v>37.200000000000003</v>
      </c>
      <c r="N139" s="1200">
        <f>N140+N141</f>
        <v>7.1</v>
      </c>
      <c r="U139" s="1682">
        <f>U140+U141</f>
        <v>7.1</v>
      </c>
    </row>
    <row r="140" spans="1:25" x14ac:dyDescent="0.25">
      <c r="A140" s="842"/>
      <c r="B140" s="753" t="s">
        <v>571</v>
      </c>
      <c r="C140" s="1224"/>
      <c r="D140" s="1217" t="s">
        <v>495</v>
      </c>
      <c r="E140" s="1217" t="s">
        <v>832</v>
      </c>
      <c r="F140" s="409" t="s">
        <v>127</v>
      </c>
      <c r="G140" s="1662" t="s">
        <v>5</v>
      </c>
      <c r="H140" s="1682"/>
      <c r="I140" s="529"/>
      <c r="J140" s="269"/>
      <c r="N140" s="1200"/>
      <c r="U140" s="1682"/>
    </row>
    <row r="141" spans="1:25" ht="21" x14ac:dyDescent="0.25">
      <c r="A141" s="1179"/>
      <c r="B141" s="1182" t="s">
        <v>454</v>
      </c>
      <c r="C141" s="1183"/>
      <c r="D141" s="1217" t="s">
        <v>495</v>
      </c>
      <c r="E141" s="1217" t="s">
        <v>832</v>
      </c>
      <c r="F141" s="409" t="s">
        <v>127</v>
      </c>
      <c r="G141" s="1662" t="s">
        <v>1</v>
      </c>
      <c r="H141" s="1682">
        <v>7.1</v>
      </c>
      <c r="I141" s="529"/>
      <c r="J141" s="269"/>
      <c r="K141" s="1">
        <v>37.200000000000003</v>
      </c>
      <c r="N141" s="1200">
        <v>7.1</v>
      </c>
      <c r="U141" s="1682">
        <v>7.1</v>
      </c>
      <c r="V141" s="1784">
        <v>7.1</v>
      </c>
      <c r="W141" s="1784">
        <v>7.1</v>
      </c>
      <c r="X141" s="1784">
        <v>7.1</v>
      </c>
    </row>
    <row r="142" spans="1:25" x14ac:dyDescent="0.25">
      <c r="A142" s="1179"/>
      <c r="B142" s="1225" t="s">
        <v>396</v>
      </c>
      <c r="C142" s="1226"/>
      <c r="D142" s="1227" t="s">
        <v>452</v>
      </c>
      <c r="E142" s="1227" t="s">
        <v>459</v>
      </c>
      <c r="F142" s="1227"/>
      <c r="G142" s="1665"/>
      <c r="H142" s="1684">
        <f>H143+H176</f>
        <v>7119.9639999999999</v>
      </c>
      <c r="I142" s="853">
        <f>I143+I176</f>
        <v>6055</v>
      </c>
      <c r="J142" s="400">
        <f>J143+J176</f>
        <v>6300</v>
      </c>
      <c r="N142" s="1228">
        <f>N143+N176</f>
        <v>5644.7219999999998</v>
      </c>
      <c r="U142" s="1684">
        <f>U143+U176</f>
        <v>3924.0209999999997</v>
      </c>
    </row>
    <row r="143" spans="1:25" x14ac:dyDescent="0.25">
      <c r="A143" s="1229"/>
      <c r="B143" s="1225" t="s">
        <v>60</v>
      </c>
      <c r="C143" s="1227"/>
      <c r="D143" s="1227" t="s">
        <v>452</v>
      </c>
      <c r="E143" s="1227" t="s">
        <v>539</v>
      </c>
      <c r="F143" s="1227"/>
      <c r="G143" s="1665"/>
      <c r="H143" s="1684">
        <f>H148+H150+H156+H158+H175</f>
        <v>5289.9639999999999</v>
      </c>
      <c r="I143" s="853">
        <f>I144</f>
        <v>5740</v>
      </c>
      <c r="J143" s="400">
        <f>J144</f>
        <v>5980</v>
      </c>
      <c r="N143" s="1228">
        <f>N148+N150+N156+N158+N175</f>
        <v>3908.3220000000001</v>
      </c>
      <c r="U143" s="1684">
        <f>U148+U150+U156+U158+U175</f>
        <v>3021.3209999999999</v>
      </c>
    </row>
    <row r="144" spans="1:25" ht="30" customHeight="1" x14ac:dyDescent="0.25">
      <c r="A144" s="1179"/>
      <c r="B144" s="1205" t="s">
        <v>927</v>
      </c>
      <c r="C144" s="409"/>
      <c r="D144" s="409" t="s">
        <v>452</v>
      </c>
      <c r="E144" s="409" t="s">
        <v>539</v>
      </c>
      <c r="F144" s="409" t="s">
        <v>218</v>
      </c>
      <c r="G144" s="1662"/>
      <c r="H144" s="1682">
        <f>H145+H153</f>
        <v>5289.9639999999999</v>
      </c>
      <c r="I144" s="529">
        <f>I145+I153</f>
        <v>5740</v>
      </c>
      <c r="J144" s="270">
        <f>J145+J153</f>
        <v>5980</v>
      </c>
      <c r="N144" s="1200">
        <f>N145+N153</f>
        <v>2182.1999999999998</v>
      </c>
      <c r="U144" s="1682">
        <f>U145+U153</f>
        <v>1295.1990000000001</v>
      </c>
    </row>
    <row r="145" spans="1:24" ht="21" x14ac:dyDescent="0.25">
      <c r="A145" s="1179"/>
      <c r="B145" s="1205" t="s">
        <v>217</v>
      </c>
      <c r="C145" s="1217"/>
      <c r="D145" s="1217" t="s">
        <v>452</v>
      </c>
      <c r="E145" s="1217" t="s">
        <v>539</v>
      </c>
      <c r="F145" s="409" t="s">
        <v>216</v>
      </c>
      <c r="G145" s="1664"/>
      <c r="H145" s="1682">
        <f>H146</f>
        <v>4099.9639999999999</v>
      </c>
      <c r="I145" s="529">
        <f>I146</f>
        <v>0</v>
      </c>
      <c r="J145" s="270">
        <f>J146</f>
        <v>0</v>
      </c>
      <c r="K145" s="1440">
        <f>K148+K150+K156+K158+K175</f>
        <v>5289.9639999999999</v>
      </c>
      <c r="N145" s="1200"/>
      <c r="U145" s="1682"/>
    </row>
    <row r="146" spans="1:24" ht="52.5" x14ac:dyDescent="0.25">
      <c r="A146" s="1179"/>
      <c r="B146" s="1197" t="s">
        <v>986</v>
      </c>
      <c r="C146" s="1217"/>
      <c r="D146" s="1217" t="s">
        <v>452</v>
      </c>
      <c r="E146" s="1217" t="s">
        <v>539</v>
      </c>
      <c r="F146" s="1217" t="s">
        <v>214</v>
      </c>
      <c r="G146" s="1664"/>
      <c r="H146" s="1682">
        <f>H147+H149+H152</f>
        <v>4099.9639999999999</v>
      </c>
      <c r="I146" s="529">
        <f>I147+I149+I152</f>
        <v>0</v>
      </c>
      <c r="J146" s="270">
        <f>J147+J149+J152</f>
        <v>0</v>
      </c>
      <c r="N146" s="1200"/>
      <c r="U146" s="1682"/>
    </row>
    <row r="147" spans="1:24" x14ac:dyDescent="0.25">
      <c r="A147" s="1179"/>
      <c r="B147" s="1197" t="s">
        <v>619</v>
      </c>
      <c r="C147" s="1217"/>
      <c r="D147" s="1217" t="s">
        <v>452</v>
      </c>
      <c r="E147" s="1217" t="s">
        <v>539</v>
      </c>
      <c r="F147" s="1217" t="s">
        <v>213</v>
      </c>
      <c r="G147" s="1662"/>
      <c r="H147" s="1682">
        <f>H148</f>
        <v>2404.9500000000003</v>
      </c>
      <c r="I147" s="529">
        <f>I148</f>
        <v>0</v>
      </c>
      <c r="J147" s="270">
        <f>J148</f>
        <v>0</v>
      </c>
      <c r="N147" s="1200"/>
      <c r="U147" s="1682"/>
    </row>
    <row r="148" spans="1:24" ht="21" x14ac:dyDescent="0.25">
      <c r="A148" s="1179"/>
      <c r="B148" s="1182" t="s">
        <v>454</v>
      </c>
      <c r="C148" s="1217"/>
      <c r="D148" s="1217" t="s">
        <v>452</v>
      </c>
      <c r="E148" s="1217" t="s">
        <v>539</v>
      </c>
      <c r="F148" s="1217" t="s">
        <v>213</v>
      </c>
      <c r="G148" s="1662" t="s">
        <v>1</v>
      </c>
      <c r="H148" s="1682">
        <f>2821.65-416.7</f>
        <v>2404.9500000000003</v>
      </c>
      <c r="I148" s="529"/>
      <c r="J148" s="269"/>
      <c r="K148" s="1">
        <v>2043.85</v>
      </c>
      <c r="N148" s="1200"/>
      <c r="U148" s="1682"/>
      <c r="V148" s="237">
        <f>H143-V150-V156-V158</f>
        <v>2404.9499999999998</v>
      </c>
      <c r="W148" s="237"/>
      <c r="X148" s="237"/>
    </row>
    <row r="149" spans="1:24" ht="21" x14ac:dyDescent="0.25">
      <c r="A149" s="1179"/>
      <c r="B149" s="1197" t="s">
        <v>212</v>
      </c>
      <c r="C149" s="1217"/>
      <c r="D149" s="1217" t="s">
        <v>452</v>
      </c>
      <c r="E149" s="1217" t="s">
        <v>539</v>
      </c>
      <c r="F149" s="1217" t="s">
        <v>984</v>
      </c>
      <c r="G149" s="1662"/>
      <c r="H149" s="1682">
        <f>H150</f>
        <v>1695.0139999999999</v>
      </c>
      <c r="I149" s="529">
        <f>I150</f>
        <v>0</v>
      </c>
      <c r="J149" s="269">
        <f>J150</f>
        <v>0</v>
      </c>
      <c r="N149" s="1200"/>
      <c r="U149" s="1682"/>
    </row>
    <row r="150" spans="1:24" ht="21" x14ac:dyDescent="0.25">
      <c r="A150" s="1179"/>
      <c r="B150" s="1182" t="s">
        <v>454</v>
      </c>
      <c r="C150" s="1217"/>
      <c r="D150" s="1217" t="s">
        <v>452</v>
      </c>
      <c r="E150" s="1217" t="s">
        <v>539</v>
      </c>
      <c r="F150" s="1217" t="s">
        <v>984</v>
      </c>
      <c r="G150" s="1662" t="s">
        <v>1</v>
      </c>
      <c r="H150" s="1682">
        <v>1695.0139999999999</v>
      </c>
      <c r="I150" s="529"/>
      <c r="J150" s="269"/>
      <c r="K150" s="1">
        <v>750</v>
      </c>
      <c r="N150" s="1200">
        <v>1726.1220000000001</v>
      </c>
      <c r="U150" s="1682">
        <v>1726.1220000000001</v>
      </c>
      <c r="V150" s="1">
        <v>1695.0139999999999</v>
      </c>
      <c r="W150" s="1">
        <v>1726.1220000000001</v>
      </c>
      <c r="X150" s="1">
        <v>1726.1220000000001</v>
      </c>
    </row>
    <row r="151" spans="1:24" ht="26" hidden="1" x14ac:dyDescent="0.3">
      <c r="A151" s="1179"/>
      <c r="B151" s="336" t="s">
        <v>206</v>
      </c>
      <c r="C151" s="1217"/>
      <c r="D151" s="1217" t="s">
        <v>452</v>
      </c>
      <c r="E151" s="1217" t="s">
        <v>539</v>
      </c>
      <c r="F151" s="1217" t="s">
        <v>205</v>
      </c>
      <c r="G151" s="1662"/>
      <c r="H151" s="1682">
        <f>H152</f>
        <v>0</v>
      </c>
      <c r="I151" s="529">
        <f>I152</f>
        <v>0</v>
      </c>
      <c r="J151" s="269">
        <f>J152</f>
        <v>0</v>
      </c>
      <c r="N151" s="1200">
        <f>N152</f>
        <v>0</v>
      </c>
      <c r="U151" s="1682">
        <f>U152</f>
        <v>0</v>
      </c>
    </row>
    <row r="152" spans="1:24" ht="21" hidden="1" x14ac:dyDescent="0.25">
      <c r="A152" s="1179"/>
      <c r="B152" s="1182" t="s">
        <v>454</v>
      </c>
      <c r="C152" s="1217"/>
      <c r="D152" s="1217" t="s">
        <v>452</v>
      </c>
      <c r="E152" s="1217" t="s">
        <v>539</v>
      </c>
      <c r="F152" s="1217" t="s">
        <v>205</v>
      </c>
      <c r="G152" s="1662" t="s">
        <v>1</v>
      </c>
      <c r="H152" s="1682"/>
      <c r="I152" s="529"/>
      <c r="J152" s="269"/>
      <c r="N152" s="1200"/>
      <c r="U152" s="1682"/>
    </row>
    <row r="153" spans="1:24" ht="31.5" x14ac:dyDescent="0.25">
      <c r="A153" s="1179"/>
      <c r="B153" s="1205" t="s">
        <v>837</v>
      </c>
      <c r="C153" s="1217"/>
      <c r="D153" s="1217" t="s">
        <v>452</v>
      </c>
      <c r="E153" s="1217" t="s">
        <v>539</v>
      </c>
      <c r="F153" s="409" t="s">
        <v>204</v>
      </c>
      <c r="G153" s="1662"/>
      <c r="H153" s="1682">
        <f>H154</f>
        <v>1190</v>
      </c>
      <c r="I153" s="529">
        <f>I154</f>
        <v>5740</v>
      </c>
      <c r="J153" s="269">
        <f>J154</f>
        <v>5980</v>
      </c>
      <c r="N153" s="1200">
        <f>N154</f>
        <v>2182.1999999999998</v>
      </c>
      <c r="U153" s="1682">
        <f>U154</f>
        <v>1295.1990000000001</v>
      </c>
    </row>
    <row r="154" spans="1:24" x14ac:dyDescent="0.25">
      <c r="A154" s="1179"/>
      <c r="B154" s="1197" t="s">
        <v>203</v>
      </c>
      <c r="C154" s="1217"/>
      <c r="D154" s="1217" t="s">
        <v>452</v>
      </c>
      <c r="E154" s="1217" t="s">
        <v>539</v>
      </c>
      <c r="F154" s="1217" t="s">
        <v>202</v>
      </c>
      <c r="G154" s="1662"/>
      <c r="H154" s="1682">
        <f>H155+H157</f>
        <v>1190</v>
      </c>
      <c r="I154" s="529">
        <f>I155+I157</f>
        <v>5740</v>
      </c>
      <c r="J154" s="269">
        <f>J155+J157</f>
        <v>5980</v>
      </c>
      <c r="N154" s="1200">
        <f>N155+N157</f>
        <v>2182.1999999999998</v>
      </c>
      <c r="U154" s="1682">
        <f>U155+U157</f>
        <v>1295.1990000000001</v>
      </c>
    </row>
    <row r="155" spans="1:24" x14ac:dyDescent="0.25">
      <c r="A155" s="1179"/>
      <c r="B155" s="1197" t="s">
        <v>619</v>
      </c>
      <c r="C155" s="1217"/>
      <c r="D155" s="1217" t="s">
        <v>452</v>
      </c>
      <c r="E155" s="1217" t="s">
        <v>539</v>
      </c>
      <c r="F155" s="1217" t="s">
        <v>200</v>
      </c>
      <c r="G155" s="1662"/>
      <c r="H155" s="1682">
        <f>H156</f>
        <v>750</v>
      </c>
      <c r="I155" s="529">
        <f>I156</f>
        <v>5240</v>
      </c>
      <c r="J155" s="269">
        <f>J156</f>
        <v>5380</v>
      </c>
      <c r="N155" s="1200">
        <f>N156</f>
        <v>1722.2</v>
      </c>
      <c r="U155" s="1682">
        <f>U156</f>
        <v>775.19899999999996</v>
      </c>
    </row>
    <row r="156" spans="1:24" ht="21" x14ac:dyDescent="0.25">
      <c r="A156" s="1179"/>
      <c r="B156" s="1182" t="s">
        <v>454</v>
      </c>
      <c r="C156" s="1217"/>
      <c r="D156" s="1217" t="s">
        <v>452</v>
      </c>
      <c r="E156" s="1217" t="s">
        <v>539</v>
      </c>
      <c r="F156" s="1217" t="s">
        <v>200</v>
      </c>
      <c r="G156" s="1662" t="s">
        <v>1</v>
      </c>
      <c r="H156" s="1682">
        <v>750</v>
      </c>
      <c r="I156" s="529">
        <v>5240</v>
      </c>
      <c r="J156" s="269">
        <v>5380</v>
      </c>
      <c r="K156" s="1">
        <v>1667.2139999999999</v>
      </c>
      <c r="N156" s="1200">
        <v>1722.2</v>
      </c>
      <c r="U156" s="1682">
        <v>775.19899999999996</v>
      </c>
      <c r="V156" s="1">
        <v>750</v>
      </c>
    </row>
    <row r="157" spans="1:24" ht="21" x14ac:dyDescent="0.25">
      <c r="A157" s="1179"/>
      <c r="B157" s="1197" t="s">
        <v>199</v>
      </c>
      <c r="C157" s="1217"/>
      <c r="D157" s="1217" t="s">
        <v>452</v>
      </c>
      <c r="E157" s="1217" t="s">
        <v>539</v>
      </c>
      <c r="F157" s="1217" t="s">
        <v>198</v>
      </c>
      <c r="G157" s="1662"/>
      <c r="H157" s="1682">
        <f>H158</f>
        <v>440</v>
      </c>
      <c r="I157" s="529">
        <f>I158</f>
        <v>500</v>
      </c>
      <c r="J157" s="269">
        <f>J158</f>
        <v>600</v>
      </c>
      <c r="N157" s="1200">
        <f>N158</f>
        <v>460</v>
      </c>
      <c r="U157" s="1682">
        <f>U158</f>
        <v>520</v>
      </c>
    </row>
    <row r="158" spans="1:24" ht="21" x14ac:dyDescent="0.25">
      <c r="A158" s="1179"/>
      <c r="B158" s="1182" t="s">
        <v>454</v>
      </c>
      <c r="C158" s="1217"/>
      <c r="D158" s="1217" t="s">
        <v>452</v>
      </c>
      <c r="E158" s="1217" t="s">
        <v>539</v>
      </c>
      <c r="F158" s="1217" t="s">
        <v>198</v>
      </c>
      <c r="G158" s="1662" t="s">
        <v>1</v>
      </c>
      <c r="H158" s="1682">
        <v>440</v>
      </c>
      <c r="I158" s="529">
        <v>500</v>
      </c>
      <c r="J158" s="269">
        <v>600</v>
      </c>
      <c r="K158" s="1">
        <v>440</v>
      </c>
      <c r="N158" s="1200">
        <v>460</v>
      </c>
      <c r="U158" s="1682">
        <v>520</v>
      </c>
      <c r="V158" s="1">
        <v>440</v>
      </c>
      <c r="W158" s="1">
        <v>460</v>
      </c>
      <c r="X158" s="1">
        <v>520</v>
      </c>
    </row>
    <row r="159" spans="1:24" ht="31.5" hidden="1" x14ac:dyDescent="0.25">
      <c r="A159" s="842"/>
      <c r="B159" s="1230" t="s">
        <v>557</v>
      </c>
      <c r="C159" s="408"/>
      <c r="D159" s="408" t="s">
        <v>452</v>
      </c>
      <c r="E159" s="408" t="s">
        <v>539</v>
      </c>
      <c r="F159" s="408" t="s">
        <v>556</v>
      </c>
      <c r="G159" s="1661"/>
      <c r="H159" s="1683">
        <f>H160</f>
        <v>0</v>
      </c>
      <c r="I159" s="841">
        <f>I160</f>
        <v>0</v>
      </c>
      <c r="J159" s="276">
        <f>J160</f>
        <v>0</v>
      </c>
      <c r="N159" s="1208">
        <f>N160</f>
        <v>0</v>
      </c>
      <c r="U159" s="1683">
        <f>U160</f>
        <v>0</v>
      </c>
    </row>
    <row r="160" spans="1:24" ht="21" hidden="1" x14ac:dyDescent="0.25">
      <c r="A160" s="1179"/>
      <c r="B160" s="1219" t="s">
        <v>555</v>
      </c>
      <c r="C160" s="1217"/>
      <c r="D160" s="1217" t="s">
        <v>452</v>
      </c>
      <c r="E160" s="1217" t="s">
        <v>539</v>
      </c>
      <c r="F160" s="1217" t="s">
        <v>554</v>
      </c>
      <c r="G160" s="1664"/>
      <c r="H160" s="1682">
        <f>H161+H164</f>
        <v>0</v>
      </c>
      <c r="I160" s="529">
        <f>I161+I164</f>
        <v>0</v>
      </c>
      <c r="J160" s="269">
        <f>J161+J164</f>
        <v>0</v>
      </c>
      <c r="N160" s="1200">
        <f>N161+N164</f>
        <v>0</v>
      </c>
      <c r="U160" s="1682">
        <f>U161+U164</f>
        <v>0</v>
      </c>
    </row>
    <row r="161" spans="1:21" ht="31.5" hidden="1" x14ac:dyDescent="0.25">
      <c r="A161" s="1179"/>
      <c r="B161" s="1219" t="s">
        <v>553</v>
      </c>
      <c r="C161" s="1217"/>
      <c r="D161" s="1217" t="s">
        <v>452</v>
      </c>
      <c r="E161" s="1217" t="s">
        <v>539</v>
      </c>
      <c r="F161" s="1217" t="s">
        <v>552</v>
      </c>
      <c r="G161" s="1664"/>
      <c r="H161" s="1682">
        <f t="shared" ref="H161:J162" si="20">H162</f>
        <v>0</v>
      </c>
      <c r="I161" s="529">
        <f t="shared" si="20"/>
        <v>0</v>
      </c>
      <c r="J161" s="269">
        <f t="shared" si="20"/>
        <v>0</v>
      </c>
      <c r="N161" s="1200">
        <f t="shared" ref="N161:N162" si="21">N162</f>
        <v>0</v>
      </c>
      <c r="U161" s="1682">
        <f t="shared" ref="U161:U162" si="22">U162</f>
        <v>0</v>
      </c>
    </row>
    <row r="162" spans="1:21" ht="31.5" hidden="1" x14ac:dyDescent="0.25">
      <c r="A162" s="1179"/>
      <c r="B162" s="753" t="s">
        <v>551</v>
      </c>
      <c r="C162" s="1217"/>
      <c r="D162" s="1217" t="s">
        <v>452</v>
      </c>
      <c r="E162" s="1217" t="s">
        <v>539</v>
      </c>
      <c r="F162" s="1217" t="s">
        <v>550</v>
      </c>
      <c r="G162" s="1664"/>
      <c r="H162" s="1682">
        <f t="shared" si="20"/>
        <v>0</v>
      </c>
      <c r="I162" s="529">
        <f t="shared" si="20"/>
        <v>0</v>
      </c>
      <c r="J162" s="269">
        <f t="shared" si="20"/>
        <v>0</v>
      </c>
      <c r="N162" s="1200">
        <f t="shared" si="21"/>
        <v>0</v>
      </c>
      <c r="U162" s="1682">
        <f t="shared" si="22"/>
        <v>0</v>
      </c>
    </row>
    <row r="163" spans="1:21" hidden="1" x14ac:dyDescent="0.25">
      <c r="A163" s="1179"/>
      <c r="B163" s="1182" t="s">
        <v>481</v>
      </c>
      <c r="C163" s="1217"/>
      <c r="D163" s="1217" t="s">
        <v>452</v>
      </c>
      <c r="E163" s="1217" t="s">
        <v>539</v>
      </c>
      <c r="F163" s="1217" t="s">
        <v>550</v>
      </c>
      <c r="G163" s="1662" t="s">
        <v>26</v>
      </c>
      <c r="H163" s="1682">
        <v>0</v>
      </c>
      <c r="I163" s="529">
        <v>0</v>
      </c>
      <c r="J163" s="269">
        <v>0</v>
      </c>
      <c r="N163" s="1200">
        <v>0</v>
      </c>
      <c r="U163" s="1682">
        <v>0</v>
      </c>
    </row>
    <row r="164" spans="1:21" ht="42" hidden="1" x14ac:dyDescent="0.25">
      <c r="A164" s="1179"/>
      <c r="B164" s="1219" t="s">
        <v>549</v>
      </c>
      <c r="C164" s="1217"/>
      <c r="D164" s="1217" t="s">
        <v>548</v>
      </c>
      <c r="E164" s="1217" t="s">
        <v>539</v>
      </c>
      <c r="F164" s="1217" t="s">
        <v>547</v>
      </c>
      <c r="G164" s="1664"/>
      <c r="H164" s="1682">
        <f>H165+H167+H169</f>
        <v>0</v>
      </c>
      <c r="I164" s="529">
        <f>I165+I167+I169</f>
        <v>0</v>
      </c>
      <c r="J164" s="269">
        <f>J165+J167+J169</f>
        <v>0</v>
      </c>
      <c r="N164" s="1200">
        <f>N165+N167+N169</f>
        <v>0</v>
      </c>
      <c r="U164" s="1682">
        <f>U165+U167+U169</f>
        <v>0</v>
      </c>
    </row>
    <row r="165" spans="1:21" ht="21" hidden="1" x14ac:dyDescent="0.25">
      <c r="A165" s="1179"/>
      <c r="B165" s="753" t="s">
        <v>546</v>
      </c>
      <c r="C165" s="1217"/>
      <c r="D165" s="1217" t="s">
        <v>452</v>
      </c>
      <c r="E165" s="1217" t="s">
        <v>539</v>
      </c>
      <c r="F165" s="1217" t="s">
        <v>545</v>
      </c>
      <c r="G165" s="1664"/>
      <c r="H165" s="1682">
        <f>H166</f>
        <v>0</v>
      </c>
      <c r="I165" s="529">
        <f>I166</f>
        <v>0</v>
      </c>
      <c r="J165" s="269">
        <f>J166</f>
        <v>0</v>
      </c>
      <c r="N165" s="1200">
        <f>N166</f>
        <v>0</v>
      </c>
      <c r="U165" s="1682">
        <f>U166</f>
        <v>0</v>
      </c>
    </row>
    <row r="166" spans="1:21" ht="21" hidden="1" x14ac:dyDescent="0.25">
      <c r="A166" s="1179"/>
      <c r="B166" s="1182" t="s">
        <v>454</v>
      </c>
      <c r="C166" s="1217"/>
      <c r="D166" s="1217" t="s">
        <v>452</v>
      </c>
      <c r="E166" s="1217" t="s">
        <v>539</v>
      </c>
      <c r="F166" s="1217" t="s">
        <v>545</v>
      </c>
      <c r="G166" s="1662" t="s">
        <v>1</v>
      </c>
      <c r="H166" s="1682"/>
      <c r="I166" s="529"/>
      <c r="J166" s="269"/>
      <c r="N166" s="1200"/>
      <c r="U166" s="1682"/>
    </row>
    <row r="167" spans="1:21" ht="31.5" hidden="1" x14ac:dyDescent="0.25">
      <c r="A167" s="1229"/>
      <c r="B167" s="753" t="s">
        <v>544</v>
      </c>
      <c r="C167" s="1217"/>
      <c r="D167" s="1217" t="s">
        <v>452</v>
      </c>
      <c r="E167" s="1217" t="s">
        <v>539</v>
      </c>
      <c r="F167" s="1217" t="s">
        <v>543</v>
      </c>
      <c r="G167" s="1664"/>
      <c r="H167" s="1682">
        <f>H168</f>
        <v>0</v>
      </c>
      <c r="I167" s="529">
        <f>I168</f>
        <v>0</v>
      </c>
      <c r="J167" s="269">
        <f>J168</f>
        <v>0</v>
      </c>
      <c r="N167" s="1200">
        <f>N168</f>
        <v>0</v>
      </c>
      <c r="U167" s="1682">
        <f>U168</f>
        <v>0</v>
      </c>
    </row>
    <row r="168" spans="1:21" ht="21" hidden="1" x14ac:dyDescent="0.25">
      <c r="A168" s="1229"/>
      <c r="B168" s="1182" t="s">
        <v>454</v>
      </c>
      <c r="C168" s="1217"/>
      <c r="D168" s="1217" t="s">
        <v>452</v>
      </c>
      <c r="E168" s="1217" t="s">
        <v>539</v>
      </c>
      <c r="F168" s="1217" t="s">
        <v>543</v>
      </c>
      <c r="G168" s="1662" t="s">
        <v>1</v>
      </c>
      <c r="H168" s="1682"/>
      <c r="I168" s="529"/>
      <c r="J168" s="269"/>
      <c r="N168" s="1200"/>
      <c r="U168" s="1682"/>
    </row>
    <row r="169" spans="1:21" ht="31.5" hidden="1" x14ac:dyDescent="0.25">
      <c r="A169" s="1229"/>
      <c r="B169" s="753" t="s">
        <v>542</v>
      </c>
      <c r="C169" s="1217"/>
      <c r="D169" s="1217" t="s">
        <v>452</v>
      </c>
      <c r="E169" s="1217" t="s">
        <v>539</v>
      </c>
      <c r="F169" s="1217" t="s">
        <v>541</v>
      </c>
      <c r="G169" s="1664"/>
      <c r="H169" s="1682">
        <f>H170</f>
        <v>0</v>
      </c>
      <c r="I169" s="529">
        <f>I170</f>
        <v>0</v>
      </c>
      <c r="J169" s="269">
        <f>J170</f>
        <v>0</v>
      </c>
      <c r="N169" s="1200">
        <f>N170</f>
        <v>0</v>
      </c>
      <c r="U169" s="1682">
        <f>U170</f>
        <v>0</v>
      </c>
    </row>
    <row r="170" spans="1:21" ht="21" hidden="1" x14ac:dyDescent="0.25">
      <c r="A170" s="1229"/>
      <c r="B170" s="1182" t="s">
        <v>454</v>
      </c>
      <c r="C170" s="1217"/>
      <c r="D170" s="1217" t="s">
        <v>452</v>
      </c>
      <c r="E170" s="1217" t="s">
        <v>539</v>
      </c>
      <c r="F170" s="1217" t="s">
        <v>541</v>
      </c>
      <c r="G170" s="1662" t="s">
        <v>1</v>
      </c>
      <c r="H170" s="1682"/>
      <c r="I170" s="529"/>
      <c r="J170" s="269"/>
      <c r="N170" s="1200"/>
      <c r="U170" s="1682"/>
    </row>
    <row r="171" spans="1:21" ht="21" hidden="1" x14ac:dyDescent="0.25">
      <c r="A171" s="1211"/>
      <c r="B171" s="753" t="s">
        <v>499</v>
      </c>
      <c r="C171" s="1177"/>
      <c r="D171" s="409" t="s">
        <v>452</v>
      </c>
      <c r="E171" s="409" t="s">
        <v>539</v>
      </c>
      <c r="F171" s="409" t="s">
        <v>89</v>
      </c>
      <c r="G171" s="1662"/>
      <c r="H171" s="1682">
        <f t="shared" ref="H171:J174" si="23">H172</f>
        <v>0</v>
      </c>
      <c r="I171" s="841">
        <f t="shared" si="23"/>
        <v>0</v>
      </c>
      <c r="J171" s="276">
        <f t="shared" si="23"/>
        <v>0</v>
      </c>
      <c r="N171" s="1200">
        <f t="shared" ref="N171:N174" si="24">N172</f>
        <v>0</v>
      </c>
      <c r="U171" s="1682">
        <f t="shared" ref="U171:U174" si="25">U172</f>
        <v>0</v>
      </c>
    </row>
    <row r="172" spans="1:21" hidden="1" x14ac:dyDescent="0.25">
      <c r="A172" s="842"/>
      <c r="B172" s="753" t="s">
        <v>109</v>
      </c>
      <c r="C172" s="1177"/>
      <c r="D172" s="409" t="s">
        <v>452</v>
      </c>
      <c r="E172" s="409" t="s">
        <v>539</v>
      </c>
      <c r="F172" s="409" t="s">
        <v>84</v>
      </c>
      <c r="G172" s="1662"/>
      <c r="H172" s="1682">
        <f t="shared" si="23"/>
        <v>0</v>
      </c>
      <c r="I172" s="841">
        <f t="shared" si="23"/>
        <v>0</v>
      </c>
      <c r="J172" s="276">
        <f t="shared" si="23"/>
        <v>0</v>
      </c>
      <c r="N172" s="1200">
        <f t="shared" si="24"/>
        <v>0</v>
      </c>
      <c r="U172" s="1682">
        <f t="shared" si="25"/>
        <v>0</v>
      </c>
    </row>
    <row r="173" spans="1:21" hidden="1" x14ac:dyDescent="0.25">
      <c r="A173" s="842"/>
      <c r="B173" s="753" t="s">
        <v>109</v>
      </c>
      <c r="C173" s="1177"/>
      <c r="D173" s="409" t="s">
        <v>452</v>
      </c>
      <c r="E173" s="409" t="s">
        <v>539</v>
      </c>
      <c r="F173" s="409" t="s">
        <v>82</v>
      </c>
      <c r="G173" s="1662"/>
      <c r="H173" s="1682">
        <f>H174</f>
        <v>0</v>
      </c>
      <c r="I173" s="841">
        <f t="shared" si="23"/>
        <v>0</v>
      </c>
      <c r="J173" s="276">
        <f t="shared" si="23"/>
        <v>0</v>
      </c>
      <c r="K173" s="1">
        <v>388.9</v>
      </c>
      <c r="N173" s="1200">
        <f>N174</f>
        <v>0</v>
      </c>
      <c r="U173" s="1682">
        <f>U174</f>
        <v>0</v>
      </c>
    </row>
    <row r="174" spans="1:21" ht="21" hidden="1" x14ac:dyDescent="0.25">
      <c r="A174" s="1229"/>
      <c r="B174" s="1481" t="s">
        <v>967</v>
      </c>
      <c r="C174" s="409"/>
      <c r="D174" s="409" t="s">
        <v>452</v>
      </c>
      <c r="E174" s="409" t="s">
        <v>539</v>
      </c>
      <c r="F174" s="1231" t="s">
        <v>965</v>
      </c>
      <c r="G174" s="1662"/>
      <c r="H174" s="1682">
        <f t="shared" si="23"/>
        <v>0</v>
      </c>
      <c r="I174" s="529">
        <f t="shared" si="23"/>
        <v>0</v>
      </c>
      <c r="J174" s="269">
        <f t="shared" si="23"/>
        <v>0</v>
      </c>
      <c r="N174" s="1200">
        <f t="shared" si="24"/>
        <v>0</v>
      </c>
      <c r="U174" s="1682">
        <f t="shared" si="25"/>
        <v>0</v>
      </c>
    </row>
    <row r="175" spans="1:21" ht="21" hidden="1" x14ac:dyDescent="0.25">
      <c r="A175" s="1229"/>
      <c r="B175" s="1182" t="s">
        <v>454</v>
      </c>
      <c r="C175" s="1217"/>
      <c r="D175" s="1217" t="s">
        <v>452</v>
      </c>
      <c r="E175" s="1217" t="s">
        <v>539</v>
      </c>
      <c r="F175" s="1231" t="s">
        <v>965</v>
      </c>
      <c r="G175" s="1662" t="s">
        <v>1</v>
      </c>
      <c r="H175" s="1682"/>
      <c r="I175" s="529"/>
      <c r="J175" s="269"/>
      <c r="K175" s="1">
        <v>388.9</v>
      </c>
      <c r="N175" s="1200"/>
      <c r="U175" s="1682"/>
    </row>
    <row r="176" spans="1:21" x14ac:dyDescent="0.25">
      <c r="A176" s="1229"/>
      <c r="B176" s="1225" t="s">
        <v>51</v>
      </c>
      <c r="C176" s="1227"/>
      <c r="D176" s="1227" t="s">
        <v>452</v>
      </c>
      <c r="E176" s="1227" t="s">
        <v>534</v>
      </c>
      <c r="F176" s="1227"/>
      <c r="G176" s="1665"/>
      <c r="H176" s="1684">
        <f>H177+H181</f>
        <v>1830</v>
      </c>
      <c r="I176" s="853">
        <f>I177+I181</f>
        <v>315</v>
      </c>
      <c r="J176" s="400">
        <f>J177+J181</f>
        <v>320</v>
      </c>
      <c r="N176" s="1228">
        <f>N177+N181</f>
        <v>1736.4</v>
      </c>
      <c r="U176" s="1684">
        <f>U177+U181</f>
        <v>902.69999999999993</v>
      </c>
    </row>
    <row r="177" spans="1:21" ht="31.5" x14ac:dyDescent="0.25">
      <c r="A177" s="1179"/>
      <c r="B177" s="1205" t="s">
        <v>907</v>
      </c>
      <c r="C177" s="409"/>
      <c r="D177" s="409" t="s">
        <v>452</v>
      </c>
      <c r="E177" s="409" t="s">
        <v>534</v>
      </c>
      <c r="F177" s="409" t="s">
        <v>292</v>
      </c>
      <c r="G177" s="1662"/>
      <c r="H177" s="1682">
        <f t="shared" ref="H177:J179" si="26">H178</f>
        <v>330</v>
      </c>
      <c r="I177" s="529">
        <f t="shared" si="26"/>
        <v>315</v>
      </c>
      <c r="J177" s="270">
        <f t="shared" si="26"/>
        <v>320</v>
      </c>
      <c r="K177" s="1439">
        <f>330</f>
        <v>330</v>
      </c>
      <c r="N177" s="1200">
        <f t="shared" ref="N177:N179" si="27">N178</f>
        <v>330</v>
      </c>
      <c r="U177" s="1682">
        <f t="shared" ref="U177:U179" si="28">U178</f>
        <v>350</v>
      </c>
    </row>
    <row r="178" spans="1:21" ht="31.5" x14ac:dyDescent="0.25">
      <c r="A178" s="1179"/>
      <c r="B178" s="1197" t="s">
        <v>289</v>
      </c>
      <c r="C178" s="409"/>
      <c r="D178" s="409" t="s">
        <v>452</v>
      </c>
      <c r="E178" s="409" t="s">
        <v>534</v>
      </c>
      <c r="F178" s="409" t="s">
        <v>286</v>
      </c>
      <c r="G178" s="1662"/>
      <c r="H178" s="1682">
        <f t="shared" si="26"/>
        <v>330</v>
      </c>
      <c r="I178" s="529">
        <f t="shared" si="26"/>
        <v>315</v>
      </c>
      <c r="J178" s="270">
        <f t="shared" si="26"/>
        <v>320</v>
      </c>
      <c r="N178" s="1200">
        <f t="shared" si="27"/>
        <v>330</v>
      </c>
      <c r="U178" s="1682">
        <f t="shared" si="28"/>
        <v>350</v>
      </c>
    </row>
    <row r="179" spans="1:21" ht="21" x14ac:dyDescent="0.25">
      <c r="A179" s="1179"/>
      <c r="B179" s="1232" t="s">
        <v>287</v>
      </c>
      <c r="C179" s="1217"/>
      <c r="D179" s="1217" t="s">
        <v>452</v>
      </c>
      <c r="E179" s="1217" t="s">
        <v>534</v>
      </c>
      <c r="F179" s="1217" t="s">
        <v>275</v>
      </c>
      <c r="G179" s="1664"/>
      <c r="H179" s="1682">
        <f t="shared" si="26"/>
        <v>330</v>
      </c>
      <c r="I179" s="529">
        <f t="shared" si="26"/>
        <v>315</v>
      </c>
      <c r="J179" s="270">
        <f t="shared" si="26"/>
        <v>320</v>
      </c>
      <c r="N179" s="1200">
        <f t="shared" si="27"/>
        <v>330</v>
      </c>
      <c r="U179" s="1682">
        <f t="shared" si="28"/>
        <v>350</v>
      </c>
    </row>
    <row r="180" spans="1:21" ht="21" x14ac:dyDescent="0.25">
      <c r="A180" s="1179"/>
      <c r="B180" s="1182" t="s">
        <v>454</v>
      </c>
      <c r="C180" s="1217"/>
      <c r="D180" s="1217" t="s">
        <v>452</v>
      </c>
      <c r="E180" s="1217" t="s">
        <v>534</v>
      </c>
      <c r="F180" s="1217" t="s">
        <v>275</v>
      </c>
      <c r="G180" s="1662" t="s">
        <v>1</v>
      </c>
      <c r="H180" s="1682">
        <v>330</v>
      </c>
      <c r="I180" s="529">
        <v>315</v>
      </c>
      <c r="J180" s="269">
        <v>320</v>
      </c>
      <c r="K180" s="1">
        <v>330</v>
      </c>
      <c r="N180" s="1200">
        <v>330</v>
      </c>
      <c r="U180" s="1682">
        <v>350</v>
      </c>
    </row>
    <row r="181" spans="1:21" ht="21" x14ac:dyDescent="0.25">
      <c r="A181" s="1233"/>
      <c r="B181" s="753" t="s">
        <v>499</v>
      </c>
      <c r="C181" s="1180"/>
      <c r="D181" s="409" t="s">
        <v>452</v>
      </c>
      <c r="E181" s="409" t="s">
        <v>534</v>
      </c>
      <c r="F181" s="409" t="s">
        <v>89</v>
      </c>
      <c r="G181" s="1662"/>
      <c r="H181" s="1682">
        <f>H182</f>
        <v>1500</v>
      </c>
      <c r="I181" s="529">
        <f t="shared" ref="H181:J182" si="29">I182</f>
        <v>0</v>
      </c>
      <c r="J181" s="270">
        <f t="shared" si="29"/>
        <v>0</v>
      </c>
      <c r="N181" s="1200">
        <f>N182</f>
        <v>1406.4</v>
      </c>
      <c r="U181" s="1682">
        <f>U182</f>
        <v>552.69999999999993</v>
      </c>
    </row>
    <row r="182" spans="1:21" x14ac:dyDescent="0.25">
      <c r="A182" s="1179"/>
      <c r="B182" s="753" t="s">
        <v>109</v>
      </c>
      <c r="C182" s="1180"/>
      <c r="D182" s="409" t="s">
        <v>452</v>
      </c>
      <c r="E182" s="409" t="s">
        <v>534</v>
      </c>
      <c r="F182" s="409" t="s">
        <v>84</v>
      </c>
      <c r="G182" s="1662"/>
      <c r="H182" s="1682">
        <f t="shared" si="29"/>
        <v>1500</v>
      </c>
      <c r="I182" s="529">
        <f t="shared" si="29"/>
        <v>0</v>
      </c>
      <c r="J182" s="270">
        <f t="shared" si="29"/>
        <v>0</v>
      </c>
      <c r="N182" s="1200">
        <f t="shared" ref="N182" si="30">N183</f>
        <v>1406.4</v>
      </c>
      <c r="U182" s="1682">
        <f t="shared" ref="U182" si="31">U183</f>
        <v>552.69999999999993</v>
      </c>
    </row>
    <row r="183" spans="1:21" x14ac:dyDescent="0.25">
      <c r="A183" s="1179"/>
      <c r="B183" s="753" t="s">
        <v>109</v>
      </c>
      <c r="C183" s="1180"/>
      <c r="D183" s="409" t="s">
        <v>452</v>
      </c>
      <c r="E183" s="409" t="s">
        <v>534</v>
      </c>
      <c r="F183" s="409" t="s">
        <v>82</v>
      </c>
      <c r="G183" s="1662"/>
      <c r="H183" s="1682">
        <f>H184+H186+H189+H190</f>
        <v>1500</v>
      </c>
      <c r="I183" s="529">
        <f>I184+I186+I189</f>
        <v>0</v>
      </c>
      <c r="J183" s="270">
        <f>J184+J186+J189</f>
        <v>0</v>
      </c>
      <c r="K183" s="1439">
        <f>K185+K187+K189</f>
        <v>1500</v>
      </c>
      <c r="N183" s="1200">
        <f>N184+N186+N189+N190</f>
        <v>1406.4</v>
      </c>
      <c r="U183" s="1682">
        <f>U184+U186+U189+U190</f>
        <v>552.69999999999993</v>
      </c>
    </row>
    <row r="184" spans="1:21" x14ac:dyDescent="0.25">
      <c r="A184" s="842"/>
      <c r="B184" s="753" t="s">
        <v>537</v>
      </c>
      <c r="C184" s="409"/>
      <c r="D184" s="409" t="s">
        <v>452</v>
      </c>
      <c r="E184" s="409" t="s">
        <v>534</v>
      </c>
      <c r="F184" s="409" t="s">
        <v>536</v>
      </c>
      <c r="G184" s="1662"/>
      <c r="H184" s="1682">
        <f>H185</f>
        <v>500</v>
      </c>
      <c r="I184" s="529">
        <f>I185</f>
        <v>0</v>
      </c>
      <c r="J184" s="270">
        <f>J185</f>
        <v>0</v>
      </c>
      <c r="N184" s="1200">
        <f>N185</f>
        <v>902.4</v>
      </c>
      <c r="U184" s="1682">
        <f>U185</f>
        <v>248.69999999999993</v>
      </c>
    </row>
    <row r="185" spans="1:21" ht="21" x14ac:dyDescent="0.25">
      <c r="A185" s="1229"/>
      <c r="B185" s="1182" t="s">
        <v>454</v>
      </c>
      <c r="C185" s="1217"/>
      <c r="D185" s="1217" t="s">
        <v>452</v>
      </c>
      <c r="E185" s="1217" t="s">
        <v>534</v>
      </c>
      <c r="F185" s="1217" t="s">
        <v>536</v>
      </c>
      <c r="G185" s="1662" t="s">
        <v>1</v>
      </c>
      <c r="H185" s="1682">
        <v>500</v>
      </c>
      <c r="I185" s="529"/>
      <c r="J185" s="270"/>
      <c r="K185" s="1031">
        <v>500</v>
      </c>
      <c r="N185" s="1200">
        <f>1054.5-152.1</f>
        <v>902.4</v>
      </c>
      <c r="U185" s="1682">
        <f>586.8-338.1</f>
        <v>248.69999999999993</v>
      </c>
    </row>
    <row r="186" spans="1:21" x14ac:dyDescent="0.25">
      <c r="A186" s="842"/>
      <c r="B186" s="753" t="s">
        <v>535</v>
      </c>
      <c r="C186" s="409"/>
      <c r="D186" s="409" t="s">
        <v>452</v>
      </c>
      <c r="E186" s="409" t="s">
        <v>534</v>
      </c>
      <c r="F186" s="409" t="s">
        <v>54</v>
      </c>
      <c r="G186" s="1662"/>
      <c r="H186" s="1682">
        <f>H187</f>
        <v>94.8</v>
      </c>
      <c r="I186" s="529">
        <f>I187</f>
        <v>0</v>
      </c>
      <c r="J186" s="270">
        <f>J187</f>
        <v>0</v>
      </c>
      <c r="N186" s="1200"/>
      <c r="U186" s="1682"/>
    </row>
    <row r="187" spans="1:21" ht="21" x14ac:dyDescent="0.25">
      <c r="A187" s="1234"/>
      <c r="B187" s="1182" t="s">
        <v>454</v>
      </c>
      <c r="C187" s="1217"/>
      <c r="D187" s="1217" t="s">
        <v>452</v>
      </c>
      <c r="E187" s="1217" t="s">
        <v>534</v>
      </c>
      <c r="F187" s="1217" t="s">
        <v>54</v>
      </c>
      <c r="G187" s="1662" t="s">
        <v>1</v>
      </c>
      <c r="H187" s="1682">
        <v>94.8</v>
      </c>
      <c r="I187" s="529"/>
      <c r="J187" s="269"/>
      <c r="K187" s="1">
        <v>94.8</v>
      </c>
      <c r="N187" s="1200"/>
      <c r="U187" s="1682"/>
    </row>
    <row r="188" spans="1:21" x14ac:dyDescent="0.25">
      <c r="A188" s="1234"/>
      <c r="B188" s="753" t="s">
        <v>53</v>
      </c>
      <c r="C188" s="409"/>
      <c r="D188" s="409" t="s">
        <v>452</v>
      </c>
      <c r="E188" s="409" t="s">
        <v>534</v>
      </c>
      <c r="F188" s="409" t="s">
        <v>50</v>
      </c>
      <c r="G188" s="1662"/>
      <c r="H188" s="1682">
        <f>H189+H190</f>
        <v>905.2</v>
      </c>
      <c r="I188" s="529">
        <f>I189</f>
        <v>0</v>
      </c>
      <c r="J188" s="269">
        <f>J189</f>
        <v>0</v>
      </c>
      <c r="N188" s="1200">
        <f>N189+N190</f>
        <v>504</v>
      </c>
      <c r="U188" s="1682">
        <f>U189+U190</f>
        <v>304</v>
      </c>
    </row>
    <row r="189" spans="1:21" ht="21" x14ac:dyDescent="0.25">
      <c r="A189" s="1234"/>
      <c r="B189" s="1182" t="s">
        <v>454</v>
      </c>
      <c r="C189" s="1217"/>
      <c r="D189" s="1217" t="s">
        <v>452</v>
      </c>
      <c r="E189" s="1217" t="s">
        <v>534</v>
      </c>
      <c r="F189" s="1217" t="s">
        <v>50</v>
      </c>
      <c r="G189" s="1662" t="s">
        <v>1</v>
      </c>
      <c r="H189" s="1682">
        <v>905.2</v>
      </c>
      <c r="I189" s="529"/>
      <c r="J189" s="269"/>
      <c r="K189" s="1031">
        <v>905.2</v>
      </c>
      <c r="N189" s="1200">
        <v>504</v>
      </c>
      <c r="U189" s="1682">
        <f>904-600</f>
        <v>304</v>
      </c>
    </row>
    <row r="190" spans="1:21" hidden="1" x14ac:dyDescent="0.25">
      <c r="A190" s="1234"/>
      <c r="B190" s="1182" t="s">
        <v>622</v>
      </c>
      <c r="C190" s="1217"/>
      <c r="D190" s="1217"/>
      <c r="E190" s="1217"/>
      <c r="F190" s="1217"/>
      <c r="G190" s="1662"/>
      <c r="H190" s="1682"/>
      <c r="I190" s="529"/>
      <c r="J190" s="404"/>
      <c r="N190" s="1200"/>
      <c r="U190" s="1682"/>
    </row>
    <row r="191" spans="1:21" x14ac:dyDescent="0.25">
      <c r="A191" s="1234"/>
      <c r="B191" s="1225" t="s">
        <v>378</v>
      </c>
      <c r="C191" s="1226"/>
      <c r="D191" s="1227" t="s">
        <v>463</v>
      </c>
      <c r="E191" s="1227" t="s">
        <v>459</v>
      </c>
      <c r="F191" s="1227"/>
      <c r="G191" s="1665"/>
      <c r="H191" s="1684">
        <f>H192+H212+H240</f>
        <v>43676.213000000003</v>
      </c>
      <c r="I191" s="853">
        <f>I192+I212+I240</f>
        <v>40536.79</v>
      </c>
      <c r="J191" s="400">
        <f>J192+J212+J240</f>
        <v>40253.18</v>
      </c>
      <c r="N191" s="1228">
        <f>N192+N212+N240</f>
        <v>43860.957999999999</v>
      </c>
      <c r="U191" s="1684">
        <f>U192+U212+U240</f>
        <v>44010.890000000007</v>
      </c>
    </row>
    <row r="192" spans="1:21" x14ac:dyDescent="0.25">
      <c r="A192" s="1229"/>
      <c r="B192" s="1225" t="s">
        <v>11</v>
      </c>
      <c r="C192" s="1227"/>
      <c r="D192" s="1227" t="s">
        <v>463</v>
      </c>
      <c r="E192" s="1227" t="s">
        <v>456</v>
      </c>
      <c r="F192" s="1227"/>
      <c r="G192" s="1665"/>
      <c r="H192" s="1684">
        <f>H202+H193</f>
        <v>947.01</v>
      </c>
      <c r="I192" s="853">
        <f>I202</f>
        <v>799.11500000000001</v>
      </c>
      <c r="J192" s="400">
        <f>J202</f>
        <v>895.01</v>
      </c>
      <c r="N192" s="1228">
        <f>N202+N193</f>
        <v>947.01</v>
      </c>
      <c r="U192" s="1684">
        <f>U202+U193</f>
        <v>947.01</v>
      </c>
    </row>
    <row r="193" spans="1:21" ht="31.5" hidden="1" x14ac:dyDescent="0.25">
      <c r="A193" s="1229"/>
      <c r="B193" s="931" t="s">
        <v>861</v>
      </c>
      <c r="C193" s="1177"/>
      <c r="D193" s="408" t="s">
        <v>463</v>
      </c>
      <c r="E193" s="408" t="s">
        <v>456</v>
      </c>
      <c r="F193" s="408" t="s">
        <v>468</v>
      </c>
      <c r="G193" s="1661"/>
      <c r="H193" s="1683">
        <f>H194+H198</f>
        <v>0</v>
      </c>
      <c r="I193" s="853"/>
      <c r="J193" s="400"/>
      <c r="N193" s="1208"/>
      <c r="U193" s="1683"/>
    </row>
    <row r="194" spans="1:21" hidden="1" x14ac:dyDescent="0.25">
      <c r="A194" s="1229"/>
      <c r="B194" s="1203" t="s">
        <v>849</v>
      </c>
      <c r="C194" s="1180"/>
      <c r="D194" s="409" t="s">
        <v>463</v>
      </c>
      <c r="E194" s="409" t="s">
        <v>456</v>
      </c>
      <c r="F194" s="409" t="s">
        <v>854</v>
      </c>
      <c r="G194" s="1662"/>
      <c r="H194" s="1682">
        <f>H195</f>
        <v>0</v>
      </c>
      <c r="I194" s="853"/>
      <c r="J194" s="400"/>
      <c r="K194" s="1439">
        <v>186.20699999999999</v>
      </c>
      <c r="N194" s="1200"/>
      <c r="U194" s="1682"/>
    </row>
    <row r="195" spans="1:21" hidden="1" x14ac:dyDescent="0.25">
      <c r="A195" s="1229"/>
      <c r="B195" s="1203" t="s">
        <v>850</v>
      </c>
      <c r="C195" s="1180"/>
      <c r="D195" s="409" t="s">
        <v>463</v>
      </c>
      <c r="E195" s="409" t="s">
        <v>456</v>
      </c>
      <c r="F195" s="409" t="s">
        <v>855</v>
      </c>
      <c r="G195" s="1662"/>
      <c r="H195" s="1682">
        <f>H196</f>
        <v>0</v>
      </c>
      <c r="I195" s="853"/>
      <c r="J195" s="400"/>
      <c r="N195" s="1200"/>
      <c r="U195" s="1682"/>
    </row>
    <row r="196" spans="1:21" ht="31.5" hidden="1" x14ac:dyDescent="0.25">
      <c r="A196" s="1229"/>
      <c r="B196" s="1232" t="s">
        <v>851</v>
      </c>
      <c r="C196" s="1180"/>
      <c r="D196" s="409" t="s">
        <v>463</v>
      </c>
      <c r="E196" s="409" t="s">
        <v>456</v>
      </c>
      <c r="F196" s="1235" t="s">
        <v>856</v>
      </c>
      <c r="G196" s="1662"/>
      <c r="H196" s="1682">
        <f>H197</f>
        <v>0</v>
      </c>
      <c r="I196" s="853"/>
      <c r="J196" s="400"/>
      <c r="N196" s="1200"/>
      <c r="U196" s="1682"/>
    </row>
    <row r="197" spans="1:21" hidden="1" x14ac:dyDescent="0.25">
      <c r="A197" s="1229"/>
      <c r="B197" s="1236" t="s">
        <v>497</v>
      </c>
      <c r="C197" s="1183"/>
      <c r="D197" s="409" t="s">
        <v>463</v>
      </c>
      <c r="E197" s="409" t="s">
        <v>456</v>
      </c>
      <c r="F197" s="1235" t="s">
        <v>856</v>
      </c>
      <c r="G197" s="1662" t="s">
        <v>77</v>
      </c>
      <c r="H197" s="1685"/>
      <c r="I197" s="853"/>
      <c r="J197" s="400"/>
      <c r="K197" s="1">
        <v>130.441</v>
      </c>
      <c r="N197" s="1237"/>
      <c r="U197" s="1685"/>
    </row>
    <row r="198" spans="1:21" ht="21" hidden="1" x14ac:dyDescent="0.25">
      <c r="A198" s="1229"/>
      <c r="B198" s="1203" t="s">
        <v>853</v>
      </c>
      <c r="C198" s="1183"/>
      <c r="D198" s="409" t="s">
        <v>463</v>
      </c>
      <c r="E198" s="409" t="s">
        <v>456</v>
      </c>
      <c r="F198" s="1235" t="s">
        <v>857</v>
      </c>
      <c r="G198" s="1662"/>
      <c r="H198" s="1685">
        <f>H199</f>
        <v>0</v>
      </c>
      <c r="I198" s="853"/>
      <c r="J198" s="400"/>
      <c r="N198" s="1237"/>
      <c r="U198" s="1685"/>
    </row>
    <row r="199" spans="1:21" hidden="1" x14ac:dyDescent="0.25">
      <c r="A199" s="1229"/>
      <c r="B199" s="1203" t="s">
        <v>850</v>
      </c>
      <c r="C199" s="1183"/>
      <c r="D199" s="409" t="s">
        <v>463</v>
      </c>
      <c r="E199" s="409" t="s">
        <v>456</v>
      </c>
      <c r="F199" s="409" t="s">
        <v>858</v>
      </c>
      <c r="G199" s="1662"/>
      <c r="H199" s="1685">
        <f>H200</f>
        <v>0</v>
      </c>
      <c r="I199" s="853"/>
      <c r="J199" s="400"/>
      <c r="N199" s="1237"/>
      <c r="U199" s="1685"/>
    </row>
    <row r="200" spans="1:21" ht="31.5" hidden="1" x14ac:dyDescent="0.25">
      <c r="A200" s="1229"/>
      <c r="B200" s="1203" t="s">
        <v>851</v>
      </c>
      <c r="C200" s="1183"/>
      <c r="D200" s="409" t="s">
        <v>463</v>
      </c>
      <c r="E200" s="409" t="s">
        <v>456</v>
      </c>
      <c r="F200" s="1235" t="s">
        <v>859</v>
      </c>
      <c r="G200" s="1662"/>
      <c r="H200" s="1685">
        <f>H201</f>
        <v>0</v>
      </c>
      <c r="I200" s="853"/>
      <c r="J200" s="400"/>
      <c r="N200" s="1237"/>
      <c r="U200" s="1685"/>
    </row>
    <row r="201" spans="1:21" hidden="1" x14ac:dyDescent="0.25">
      <c r="A201" s="1229"/>
      <c r="B201" s="1236" t="s">
        <v>497</v>
      </c>
      <c r="C201" s="1183"/>
      <c r="D201" s="409" t="s">
        <v>463</v>
      </c>
      <c r="E201" s="409" t="s">
        <v>456</v>
      </c>
      <c r="F201" s="1235" t="s">
        <v>859</v>
      </c>
      <c r="G201" s="1662" t="s">
        <v>77</v>
      </c>
      <c r="H201" s="1685"/>
      <c r="I201" s="853"/>
      <c r="J201" s="400"/>
      <c r="K201" s="1">
        <v>55.765999999999998</v>
      </c>
      <c r="N201" s="1237"/>
      <c r="U201" s="1685"/>
    </row>
    <row r="202" spans="1:21" ht="22.5" customHeight="1" x14ac:dyDescent="0.25">
      <c r="A202" s="1233"/>
      <c r="B202" s="753" t="s">
        <v>499</v>
      </c>
      <c r="C202" s="1180"/>
      <c r="D202" s="409" t="s">
        <v>463</v>
      </c>
      <c r="E202" s="409" t="s">
        <v>456</v>
      </c>
      <c r="F202" s="409" t="s">
        <v>89</v>
      </c>
      <c r="G202" s="1662"/>
      <c r="H202" s="1682">
        <f t="shared" ref="H202:J203" si="32">H203</f>
        <v>947.01</v>
      </c>
      <c r="I202" s="529">
        <f t="shared" si="32"/>
        <v>799.11500000000001</v>
      </c>
      <c r="J202" s="270">
        <f t="shared" si="32"/>
        <v>895.01</v>
      </c>
      <c r="N202" s="1200">
        <f t="shared" ref="N202:N203" si="33">N203</f>
        <v>947.01</v>
      </c>
      <c r="U202" s="1682">
        <f t="shared" ref="U202:U203" si="34">U203</f>
        <v>947.01</v>
      </c>
    </row>
    <row r="203" spans="1:21" x14ac:dyDescent="0.25">
      <c r="A203" s="1179"/>
      <c r="B203" s="753" t="s">
        <v>109</v>
      </c>
      <c r="C203" s="1180"/>
      <c r="D203" s="409" t="s">
        <v>463</v>
      </c>
      <c r="E203" s="409" t="s">
        <v>456</v>
      </c>
      <c r="F203" s="409" t="s">
        <v>84</v>
      </c>
      <c r="G203" s="1662"/>
      <c r="H203" s="1682">
        <f t="shared" si="32"/>
        <v>947.01</v>
      </c>
      <c r="I203" s="529">
        <f t="shared" si="32"/>
        <v>799.11500000000001</v>
      </c>
      <c r="J203" s="270">
        <f t="shared" si="32"/>
        <v>895.01</v>
      </c>
      <c r="N203" s="1200">
        <f t="shared" si="33"/>
        <v>947.01</v>
      </c>
      <c r="U203" s="1682">
        <f t="shared" si="34"/>
        <v>947.01</v>
      </c>
    </row>
    <row r="204" spans="1:21" x14ac:dyDescent="0.25">
      <c r="A204" s="1179"/>
      <c r="B204" s="753" t="s">
        <v>109</v>
      </c>
      <c r="C204" s="1180"/>
      <c r="D204" s="409" t="s">
        <v>463</v>
      </c>
      <c r="E204" s="409" t="s">
        <v>456</v>
      </c>
      <c r="F204" s="409" t="s">
        <v>82</v>
      </c>
      <c r="G204" s="1662"/>
      <c r="H204" s="1682">
        <f>H205+H207+H209</f>
        <v>947.01</v>
      </c>
      <c r="I204" s="529">
        <f>I205+I207+I209</f>
        <v>799.11500000000001</v>
      </c>
      <c r="J204" s="270">
        <f>J205+J207+J209</f>
        <v>895.01</v>
      </c>
      <c r="N204" s="1200">
        <f>N205+N207+N209</f>
        <v>947.01</v>
      </c>
      <c r="U204" s="1682">
        <f>U205+U207+U209</f>
        <v>947.01</v>
      </c>
    </row>
    <row r="205" spans="1:21" hidden="1" x14ac:dyDescent="0.25">
      <c r="A205" s="842"/>
      <c r="B205" s="753" t="s">
        <v>533</v>
      </c>
      <c r="C205" s="409"/>
      <c r="D205" s="409" t="s">
        <v>463</v>
      </c>
      <c r="E205" s="409" t="s">
        <v>456</v>
      </c>
      <c r="F205" s="409" t="s">
        <v>30</v>
      </c>
      <c r="G205" s="1662"/>
      <c r="H205" s="1682">
        <f>H206</f>
        <v>0</v>
      </c>
      <c r="I205" s="529">
        <f>I206</f>
        <v>0</v>
      </c>
      <c r="J205" s="270">
        <f>J206</f>
        <v>0</v>
      </c>
      <c r="N205" s="1200">
        <f>N206</f>
        <v>0</v>
      </c>
      <c r="U205" s="1682">
        <f>U206</f>
        <v>0</v>
      </c>
    </row>
    <row r="206" spans="1:21" ht="21" hidden="1" x14ac:dyDescent="0.25">
      <c r="A206" s="1229"/>
      <c r="B206" s="1182" t="s">
        <v>454</v>
      </c>
      <c r="C206" s="409"/>
      <c r="D206" s="1217" t="s">
        <v>463</v>
      </c>
      <c r="E206" s="1217" t="s">
        <v>456</v>
      </c>
      <c r="F206" s="409" t="s">
        <v>30</v>
      </c>
      <c r="G206" s="1662" t="s">
        <v>1</v>
      </c>
      <c r="H206" s="1682">
        <v>0</v>
      </c>
      <c r="I206" s="529"/>
      <c r="J206" s="269"/>
      <c r="N206" s="1200">
        <v>0</v>
      </c>
      <c r="U206" s="1682">
        <v>0</v>
      </c>
    </row>
    <row r="207" spans="1:21" hidden="1" x14ac:dyDescent="0.25">
      <c r="A207" s="842"/>
      <c r="B207" s="753" t="s">
        <v>532</v>
      </c>
      <c r="C207" s="409"/>
      <c r="D207" s="409" t="s">
        <v>463</v>
      </c>
      <c r="E207" s="409" t="s">
        <v>456</v>
      </c>
      <c r="F207" s="409" t="s">
        <v>531</v>
      </c>
      <c r="G207" s="1662"/>
      <c r="H207" s="1682">
        <f>H208</f>
        <v>0</v>
      </c>
      <c r="I207" s="529">
        <f>I208</f>
        <v>0</v>
      </c>
      <c r="J207" s="269">
        <f>J208</f>
        <v>0</v>
      </c>
      <c r="N207" s="1200">
        <f>N208</f>
        <v>0</v>
      </c>
      <c r="U207" s="1682">
        <f>U208</f>
        <v>0</v>
      </c>
    </row>
    <row r="208" spans="1:21" ht="21" hidden="1" x14ac:dyDescent="0.25">
      <c r="A208" s="1229"/>
      <c r="B208" s="1182" t="s">
        <v>454</v>
      </c>
      <c r="C208" s="409"/>
      <c r="D208" s="1217" t="s">
        <v>463</v>
      </c>
      <c r="E208" s="1217" t="s">
        <v>456</v>
      </c>
      <c r="F208" s="1217" t="s">
        <v>531</v>
      </c>
      <c r="G208" s="1662" t="s">
        <v>1</v>
      </c>
      <c r="H208" s="1682"/>
      <c r="I208" s="529"/>
      <c r="J208" s="269"/>
      <c r="N208" s="1200"/>
      <c r="U208" s="1682"/>
    </row>
    <row r="209" spans="1:21" x14ac:dyDescent="0.25">
      <c r="A209" s="842"/>
      <c r="B209" s="753" t="s">
        <v>12</v>
      </c>
      <c r="C209" s="409"/>
      <c r="D209" s="409" t="s">
        <v>463</v>
      </c>
      <c r="E209" s="409" t="s">
        <v>456</v>
      </c>
      <c r="F209" s="409" t="s">
        <v>10</v>
      </c>
      <c r="G209" s="1662"/>
      <c r="H209" s="1682">
        <f>H210</f>
        <v>947.01</v>
      </c>
      <c r="I209" s="529">
        <f>I210</f>
        <v>799.11500000000001</v>
      </c>
      <c r="J209" s="269">
        <f>J210</f>
        <v>895.01</v>
      </c>
      <c r="N209" s="1200">
        <f>N210</f>
        <v>947.01</v>
      </c>
      <c r="U209" s="1682">
        <f>U210</f>
        <v>947.01</v>
      </c>
    </row>
    <row r="210" spans="1:21" ht="21" x14ac:dyDescent="0.25">
      <c r="A210" s="1229"/>
      <c r="B210" s="1182" t="s">
        <v>454</v>
      </c>
      <c r="C210" s="409"/>
      <c r="D210" s="1217" t="s">
        <v>463</v>
      </c>
      <c r="E210" s="1217" t="s">
        <v>456</v>
      </c>
      <c r="F210" s="1217" t="s">
        <v>10</v>
      </c>
      <c r="G210" s="1662" t="s">
        <v>1</v>
      </c>
      <c r="H210" s="1682">
        <v>947.01</v>
      </c>
      <c r="I210" s="529">
        <v>799.11500000000001</v>
      </c>
      <c r="J210" s="269">
        <v>895.01</v>
      </c>
      <c r="K210" s="1439">
        <v>947.01</v>
      </c>
      <c r="N210" s="1200">
        <v>947.01</v>
      </c>
      <c r="U210" s="1682">
        <v>947.01</v>
      </c>
    </row>
    <row r="211" spans="1:21" hidden="1" x14ac:dyDescent="0.25">
      <c r="A211" s="1179"/>
      <c r="B211" s="1184" t="s">
        <v>45</v>
      </c>
      <c r="C211" s="1177"/>
      <c r="D211" s="408" t="s">
        <v>496</v>
      </c>
      <c r="E211" s="408" t="s">
        <v>495</v>
      </c>
      <c r="F211" s="408"/>
      <c r="G211" s="1661"/>
      <c r="H211" s="1683" t="e">
        <f>#REF!</f>
        <v>#REF!</v>
      </c>
      <c r="I211" s="529"/>
      <c r="J211" s="404"/>
      <c r="N211" s="1208" t="e">
        <f>#REF!</f>
        <v>#REF!</v>
      </c>
      <c r="U211" s="1683" t="e">
        <f>#REF!</f>
        <v>#REF!</v>
      </c>
    </row>
    <row r="212" spans="1:21" x14ac:dyDescent="0.25">
      <c r="A212" s="1234"/>
      <c r="B212" s="1225" t="s">
        <v>530</v>
      </c>
      <c r="C212" s="1227"/>
      <c r="D212" s="1227" t="s">
        <v>463</v>
      </c>
      <c r="E212" s="1227" t="s">
        <v>488</v>
      </c>
      <c r="F212" s="1227"/>
      <c r="G212" s="1665"/>
      <c r="H212" s="1684">
        <f>H213+H217+H225+H230</f>
        <v>10500.703</v>
      </c>
      <c r="I212" s="853">
        <f>I213+I217+I225</f>
        <v>3718.8</v>
      </c>
      <c r="J212" s="400">
        <f>J213+J217+J225</f>
        <v>4854</v>
      </c>
      <c r="N212" s="1228">
        <f>N213+N217+N225+N230</f>
        <v>8590.3080000000009</v>
      </c>
      <c r="U212" s="1684">
        <f>U213+U217+U225+U230</f>
        <v>6975.5</v>
      </c>
    </row>
    <row r="213" spans="1:21" ht="21" x14ac:dyDescent="0.25">
      <c r="A213" s="1234"/>
      <c r="B213" s="1238" t="s">
        <v>884</v>
      </c>
      <c r="C213" s="409"/>
      <c r="D213" s="409" t="s">
        <v>463</v>
      </c>
      <c r="E213" s="409" t="s">
        <v>488</v>
      </c>
      <c r="F213" s="409" t="s">
        <v>196</v>
      </c>
      <c r="G213" s="1662"/>
      <c r="H213" s="1682">
        <f t="shared" ref="H213:J215" si="35">H214</f>
        <v>3500.703</v>
      </c>
      <c r="I213" s="529">
        <f t="shared" si="35"/>
        <v>48</v>
      </c>
      <c r="J213" s="270">
        <f t="shared" si="35"/>
        <v>816.12</v>
      </c>
      <c r="K213" s="1439">
        <f>K216</f>
        <v>3500.703</v>
      </c>
      <c r="N213" s="1200">
        <f t="shared" ref="N213:N215" si="36">N214</f>
        <v>4981.808</v>
      </c>
      <c r="U213" s="1682">
        <f t="shared" ref="U213:U215" si="37">U214</f>
        <v>3700</v>
      </c>
    </row>
    <row r="214" spans="1:21" x14ac:dyDescent="0.25">
      <c r="A214" s="1234"/>
      <c r="B214" s="1203" t="s">
        <v>195</v>
      </c>
      <c r="C214" s="409"/>
      <c r="D214" s="1217" t="s">
        <v>463</v>
      </c>
      <c r="E214" s="1217" t="s">
        <v>488</v>
      </c>
      <c r="F214" s="409" t="s">
        <v>194</v>
      </c>
      <c r="G214" s="1662"/>
      <c r="H214" s="1682">
        <f t="shared" si="35"/>
        <v>3500.703</v>
      </c>
      <c r="I214" s="529">
        <f t="shared" si="35"/>
        <v>48</v>
      </c>
      <c r="J214" s="270">
        <f t="shared" si="35"/>
        <v>816.12</v>
      </c>
      <c r="N214" s="1200">
        <f t="shared" si="36"/>
        <v>4981.808</v>
      </c>
      <c r="U214" s="1682">
        <f t="shared" si="37"/>
        <v>3700</v>
      </c>
    </row>
    <row r="215" spans="1:21" ht="21" x14ac:dyDescent="0.25">
      <c r="A215" s="1234"/>
      <c r="B215" s="1239" t="s">
        <v>193</v>
      </c>
      <c r="C215" s="1217"/>
      <c r="D215" s="1217" t="s">
        <v>463</v>
      </c>
      <c r="E215" s="1217" t="s">
        <v>488</v>
      </c>
      <c r="F215" s="1217" t="s">
        <v>191</v>
      </c>
      <c r="G215" s="1664"/>
      <c r="H215" s="1682">
        <f t="shared" si="35"/>
        <v>3500.703</v>
      </c>
      <c r="I215" s="529">
        <f t="shared" si="35"/>
        <v>48</v>
      </c>
      <c r="J215" s="270">
        <f t="shared" si="35"/>
        <v>816.12</v>
      </c>
      <c r="N215" s="1200">
        <f t="shared" si="36"/>
        <v>4981.808</v>
      </c>
      <c r="U215" s="1682">
        <f t="shared" si="37"/>
        <v>3700</v>
      </c>
    </row>
    <row r="216" spans="1:21" x14ac:dyDescent="0.25">
      <c r="A216" s="1234"/>
      <c r="B216" s="1182" t="s">
        <v>481</v>
      </c>
      <c r="C216" s="409"/>
      <c r="D216" s="1217" t="s">
        <v>463</v>
      </c>
      <c r="E216" s="1217" t="s">
        <v>488</v>
      </c>
      <c r="F216" s="1217" t="s">
        <v>191</v>
      </c>
      <c r="G216" s="1662" t="s">
        <v>26</v>
      </c>
      <c r="H216" s="1682">
        <v>3500.703</v>
      </c>
      <c r="I216" s="529">
        <v>48</v>
      </c>
      <c r="J216" s="269">
        <v>816.12</v>
      </c>
      <c r="K216" s="1">
        <v>3500.703</v>
      </c>
      <c r="N216" s="1200">
        <v>4981.808</v>
      </c>
      <c r="U216" s="1682">
        <v>3700</v>
      </c>
    </row>
    <row r="217" spans="1:21" ht="45.65" customHeight="1" x14ac:dyDescent="0.25">
      <c r="A217" s="1179"/>
      <c r="B217" s="1203" t="s">
        <v>928</v>
      </c>
      <c r="C217" s="409"/>
      <c r="D217" s="409" t="s">
        <v>463</v>
      </c>
      <c r="E217" s="409" t="s">
        <v>488</v>
      </c>
      <c r="F217" s="409" t="s">
        <v>181</v>
      </c>
      <c r="G217" s="1662"/>
      <c r="H217" s="1682">
        <f>H220+H224</f>
        <v>7000</v>
      </c>
      <c r="I217" s="529">
        <f>I218</f>
        <v>3670.8</v>
      </c>
      <c r="J217" s="270">
        <f>J218</f>
        <v>4037.88</v>
      </c>
      <c r="N217" s="1200">
        <f>N220+N224</f>
        <v>3608.5</v>
      </c>
      <c r="U217" s="1682">
        <f>U220+U224</f>
        <v>3275.5</v>
      </c>
    </row>
    <row r="218" spans="1:21" ht="21" x14ac:dyDescent="0.25">
      <c r="A218" s="1240"/>
      <c r="B218" s="1197" t="s">
        <v>180</v>
      </c>
      <c r="C218" s="1217"/>
      <c r="D218" s="1217" t="s">
        <v>463</v>
      </c>
      <c r="E218" s="1217" t="s">
        <v>488</v>
      </c>
      <c r="F218" s="1217" t="s">
        <v>179</v>
      </c>
      <c r="G218" s="1664"/>
      <c r="H218" s="1682">
        <f>H219</f>
        <v>7000</v>
      </c>
      <c r="I218" s="529">
        <f>I219</f>
        <v>3670.8</v>
      </c>
      <c r="J218" s="270">
        <f>J219</f>
        <v>4037.88</v>
      </c>
      <c r="K218" s="1439">
        <f>K220</f>
        <v>7000</v>
      </c>
      <c r="N218" s="1200">
        <f>N219</f>
        <v>3608.5</v>
      </c>
      <c r="U218" s="1682">
        <f>U219</f>
        <v>3275.5</v>
      </c>
    </row>
    <row r="219" spans="1:21" ht="30" customHeight="1" x14ac:dyDescent="0.25">
      <c r="A219" s="1240"/>
      <c r="B219" s="1197" t="s">
        <v>23</v>
      </c>
      <c r="C219" s="1217"/>
      <c r="D219" s="1217" t="s">
        <v>463</v>
      </c>
      <c r="E219" s="1217" t="s">
        <v>488</v>
      </c>
      <c r="F219" s="1217" t="s">
        <v>178</v>
      </c>
      <c r="G219" s="1664"/>
      <c r="H219" s="1682">
        <f>H220+H221</f>
        <v>7000</v>
      </c>
      <c r="I219" s="529">
        <f>I220+I221</f>
        <v>3670.8</v>
      </c>
      <c r="J219" s="270">
        <f>J220+J221</f>
        <v>4037.88</v>
      </c>
      <c r="N219" s="1200">
        <f>N220+N221</f>
        <v>3608.5</v>
      </c>
      <c r="U219" s="1682">
        <f>U220+U221</f>
        <v>3275.5</v>
      </c>
    </row>
    <row r="220" spans="1:21" x14ac:dyDescent="0.25">
      <c r="A220" s="1229"/>
      <c r="B220" s="1182" t="s">
        <v>481</v>
      </c>
      <c r="C220" s="1217"/>
      <c r="D220" s="1217" t="s">
        <v>463</v>
      </c>
      <c r="E220" s="1217" t="s">
        <v>488</v>
      </c>
      <c r="F220" s="1217" t="s">
        <v>178</v>
      </c>
      <c r="G220" s="1662" t="s">
        <v>26</v>
      </c>
      <c r="H220" s="1682">
        <v>7000</v>
      </c>
      <c r="I220" s="529">
        <v>3670.8</v>
      </c>
      <c r="J220" s="269">
        <v>4037.88</v>
      </c>
      <c r="K220" s="1">
        <v>7000</v>
      </c>
      <c r="N220" s="1200">
        <v>3608.5</v>
      </c>
      <c r="U220" s="1682">
        <v>3275.5</v>
      </c>
    </row>
    <row r="221" spans="1:21" hidden="1" x14ac:dyDescent="0.25">
      <c r="A221" s="1229"/>
      <c r="B221" s="753" t="s">
        <v>528</v>
      </c>
      <c r="C221" s="1217"/>
      <c r="D221" s="1217" t="s">
        <v>463</v>
      </c>
      <c r="E221" s="1217" t="s">
        <v>488</v>
      </c>
      <c r="F221" s="1217" t="s">
        <v>527</v>
      </c>
      <c r="G221" s="1664"/>
      <c r="H221" s="1682">
        <f>H222</f>
        <v>0</v>
      </c>
      <c r="I221" s="529">
        <f>I222</f>
        <v>0</v>
      </c>
      <c r="J221" s="269">
        <f>J222</f>
        <v>0</v>
      </c>
      <c r="N221" s="1200">
        <f>N222</f>
        <v>0</v>
      </c>
      <c r="U221" s="1682">
        <f>U222</f>
        <v>0</v>
      </c>
    </row>
    <row r="222" spans="1:21" ht="21" hidden="1" x14ac:dyDescent="0.25">
      <c r="A222" s="1229"/>
      <c r="B222" s="1182" t="s">
        <v>454</v>
      </c>
      <c r="C222" s="409"/>
      <c r="D222" s="1217" t="s">
        <v>463</v>
      </c>
      <c r="E222" s="1217" t="s">
        <v>488</v>
      </c>
      <c r="F222" s="1217" t="s">
        <v>526</v>
      </c>
      <c r="G222" s="1662" t="s">
        <v>1</v>
      </c>
      <c r="H222" s="1682"/>
      <c r="I222" s="529"/>
      <c r="J222" s="269"/>
      <c r="N222" s="1200"/>
      <c r="U222" s="1682"/>
    </row>
    <row r="223" spans="1:21" hidden="1" x14ac:dyDescent="0.25">
      <c r="A223" s="1229"/>
      <c r="B223" s="1241" t="s">
        <v>40</v>
      </c>
      <c r="C223" s="409"/>
      <c r="D223" s="1217" t="s">
        <v>463</v>
      </c>
      <c r="E223" s="1217" t="s">
        <v>488</v>
      </c>
      <c r="F223" s="1217" t="s">
        <v>177</v>
      </c>
      <c r="G223" s="1662"/>
      <c r="H223" s="1682">
        <f>H224</f>
        <v>0</v>
      </c>
      <c r="I223" s="529"/>
      <c r="J223" s="404"/>
      <c r="N223" s="1200"/>
      <c r="U223" s="1682"/>
    </row>
    <row r="224" spans="1:21" ht="21" hidden="1" x14ac:dyDescent="0.25">
      <c r="A224" s="1229"/>
      <c r="B224" s="1182" t="s">
        <v>454</v>
      </c>
      <c r="C224" s="409"/>
      <c r="D224" s="1217" t="s">
        <v>463</v>
      </c>
      <c r="E224" s="1217" t="s">
        <v>488</v>
      </c>
      <c r="F224" s="1217" t="s">
        <v>177</v>
      </c>
      <c r="G224" s="1662" t="s">
        <v>1</v>
      </c>
      <c r="H224" s="1682"/>
      <c r="I224" s="529"/>
      <c r="J224" s="404"/>
      <c r="N224" s="1200"/>
      <c r="U224" s="1682"/>
    </row>
    <row r="225" spans="1:21" ht="27.75" hidden="1" customHeight="1" x14ac:dyDescent="0.25">
      <c r="A225" s="1240"/>
      <c r="B225" s="753" t="s">
        <v>499</v>
      </c>
      <c r="C225" s="1217"/>
      <c r="D225" s="1217" t="s">
        <v>463</v>
      </c>
      <c r="E225" s="1217" t="s">
        <v>488</v>
      </c>
      <c r="F225" s="409" t="s">
        <v>89</v>
      </c>
      <c r="G225" s="1664"/>
      <c r="H225" s="1682">
        <f>H226</f>
        <v>0</v>
      </c>
      <c r="I225" s="529">
        <f>I226</f>
        <v>0</v>
      </c>
      <c r="J225" s="270">
        <f>J226</f>
        <v>0</v>
      </c>
      <c r="N225" s="1200"/>
      <c r="U225" s="1682"/>
    </row>
    <row r="226" spans="1:21" hidden="1" x14ac:dyDescent="0.25">
      <c r="A226" s="1240"/>
      <c r="B226" s="1180" t="s">
        <v>109</v>
      </c>
      <c r="C226" s="1217"/>
      <c r="D226" s="1217" t="s">
        <v>463</v>
      </c>
      <c r="E226" s="1217" t="s">
        <v>488</v>
      </c>
      <c r="F226" s="409" t="s">
        <v>581</v>
      </c>
      <c r="G226" s="1664"/>
      <c r="H226" s="1682">
        <f>H227</f>
        <v>0</v>
      </c>
      <c r="I226" s="529">
        <f t="shared" ref="I226:J228" si="38">I227</f>
        <v>0</v>
      </c>
      <c r="J226" s="270">
        <f t="shared" si="38"/>
        <v>0</v>
      </c>
      <c r="N226" s="1200"/>
      <c r="U226" s="1682"/>
    </row>
    <row r="227" spans="1:21" hidden="1" x14ac:dyDescent="0.25">
      <c r="A227" s="1229"/>
      <c r="B227" s="1180" t="s">
        <v>109</v>
      </c>
      <c r="C227" s="1217"/>
      <c r="D227" s="1217" t="s">
        <v>463</v>
      </c>
      <c r="E227" s="1217" t="s">
        <v>488</v>
      </c>
      <c r="F227" s="409" t="s">
        <v>82</v>
      </c>
      <c r="G227" s="1664"/>
      <c r="H227" s="1682">
        <f>H228</f>
        <v>0</v>
      </c>
      <c r="I227" s="529">
        <f t="shared" si="38"/>
        <v>0</v>
      </c>
      <c r="J227" s="270">
        <f t="shared" si="38"/>
        <v>0</v>
      </c>
      <c r="N227" s="1200"/>
      <c r="U227" s="1682"/>
    </row>
    <row r="228" spans="1:21" ht="21" hidden="1" x14ac:dyDescent="0.25">
      <c r="A228" s="1234"/>
      <c r="B228" s="1218" t="s">
        <v>525</v>
      </c>
      <c r="C228" s="409"/>
      <c r="D228" s="1217" t="s">
        <v>463</v>
      </c>
      <c r="E228" s="1217" t="s">
        <v>488</v>
      </c>
      <c r="F228" s="409" t="s">
        <v>524</v>
      </c>
      <c r="G228" s="1662"/>
      <c r="H228" s="1682">
        <f>H229</f>
        <v>0</v>
      </c>
      <c r="I228" s="529">
        <f t="shared" si="38"/>
        <v>0</v>
      </c>
      <c r="J228" s="270">
        <f t="shared" si="38"/>
        <v>0</v>
      </c>
      <c r="N228" s="1200"/>
      <c r="U228" s="1682"/>
    </row>
    <row r="229" spans="1:21" hidden="1" x14ac:dyDescent="0.25">
      <c r="A229" s="1234"/>
      <c r="B229" s="1182" t="s">
        <v>481</v>
      </c>
      <c r="C229" s="1217"/>
      <c r="D229" s="1217" t="s">
        <v>463</v>
      </c>
      <c r="E229" s="1217" t="s">
        <v>488</v>
      </c>
      <c r="F229" s="409" t="s">
        <v>524</v>
      </c>
      <c r="G229" s="1662" t="s">
        <v>26</v>
      </c>
      <c r="H229" s="1682">
        <f>4900-4900</f>
        <v>0</v>
      </c>
      <c r="I229" s="529"/>
      <c r="J229" s="269"/>
      <c r="N229" s="1200"/>
      <c r="U229" s="1682"/>
    </row>
    <row r="230" spans="1:21" ht="21" hidden="1" x14ac:dyDescent="0.25">
      <c r="A230" s="1234"/>
      <c r="B230" s="1242" t="s">
        <v>929</v>
      </c>
      <c r="C230" s="409"/>
      <c r="D230" s="1217" t="s">
        <v>463</v>
      </c>
      <c r="E230" s="1217" t="s">
        <v>488</v>
      </c>
      <c r="F230" s="1217" t="s">
        <v>89</v>
      </c>
      <c r="G230" s="1662"/>
      <c r="H230" s="1682">
        <f>H231</f>
        <v>0</v>
      </c>
      <c r="I230" s="529"/>
      <c r="J230" s="269"/>
      <c r="N230" s="1200"/>
      <c r="U230" s="1682"/>
    </row>
    <row r="231" spans="1:21" hidden="1" x14ac:dyDescent="0.25">
      <c r="A231" s="1234"/>
      <c r="B231" s="753" t="s">
        <v>109</v>
      </c>
      <c r="C231" s="409"/>
      <c r="D231" s="1217" t="s">
        <v>463</v>
      </c>
      <c r="E231" s="1217" t="s">
        <v>488</v>
      </c>
      <c r="F231" s="1217" t="s">
        <v>84</v>
      </c>
      <c r="G231" s="1662"/>
      <c r="H231" s="1682">
        <f>H232</f>
        <v>0</v>
      </c>
      <c r="I231" s="529"/>
      <c r="J231" s="269"/>
      <c r="N231" s="1200"/>
      <c r="U231" s="1682"/>
    </row>
    <row r="232" spans="1:21" hidden="1" x14ac:dyDescent="0.25">
      <c r="A232" s="1234"/>
      <c r="B232" s="753" t="s">
        <v>109</v>
      </c>
      <c r="C232" s="409"/>
      <c r="D232" s="1217" t="s">
        <v>463</v>
      </c>
      <c r="E232" s="1217" t="s">
        <v>488</v>
      </c>
      <c r="F232" s="1217" t="s">
        <v>82</v>
      </c>
      <c r="G232" s="1662"/>
      <c r="H232" s="1682">
        <f>H234+H239</f>
        <v>0</v>
      </c>
      <c r="I232" s="529"/>
      <c r="J232" s="269"/>
      <c r="N232" s="1200"/>
      <c r="U232" s="1682"/>
    </row>
    <row r="233" spans="1:21" ht="34.5" hidden="1" customHeight="1" x14ac:dyDescent="0.25">
      <c r="A233" s="1234"/>
      <c r="B233" s="753" t="s">
        <v>922</v>
      </c>
      <c r="C233" s="409"/>
      <c r="D233" s="1217" t="s">
        <v>463</v>
      </c>
      <c r="E233" s="1217" t="s">
        <v>488</v>
      </c>
      <c r="F233" s="1217" t="s">
        <v>923</v>
      </c>
      <c r="G233" s="1662"/>
      <c r="H233" s="1682">
        <f>H234</f>
        <v>0</v>
      </c>
      <c r="I233" s="529"/>
      <c r="J233" s="269"/>
      <c r="N233" s="1200"/>
      <c r="U233" s="1682"/>
    </row>
    <row r="234" spans="1:21" ht="21" hidden="1" x14ac:dyDescent="0.25">
      <c r="A234" s="1234"/>
      <c r="B234" s="1182" t="s">
        <v>523</v>
      </c>
      <c r="C234" s="409"/>
      <c r="D234" s="1217" t="s">
        <v>463</v>
      </c>
      <c r="E234" s="1217" t="s">
        <v>488</v>
      </c>
      <c r="F234" s="1217" t="s">
        <v>923</v>
      </c>
      <c r="G234" s="1662" t="s">
        <v>521</v>
      </c>
      <c r="H234" s="1682"/>
      <c r="I234" s="529"/>
      <c r="J234" s="269"/>
      <c r="N234" s="1200"/>
      <c r="U234" s="1682"/>
    </row>
    <row r="235" spans="1:21" ht="24.75" hidden="1" customHeight="1" x14ac:dyDescent="0.25">
      <c r="A235" s="1234"/>
      <c r="B235" s="1242" t="s">
        <v>930</v>
      </c>
      <c r="C235" s="409"/>
      <c r="D235" s="1217" t="s">
        <v>463</v>
      </c>
      <c r="E235" s="1217" t="s">
        <v>488</v>
      </c>
      <c r="F235" s="1217" t="s">
        <v>925</v>
      </c>
      <c r="G235" s="1662"/>
      <c r="H235" s="1682"/>
      <c r="I235" s="529"/>
      <c r="J235" s="404"/>
      <c r="N235" s="1200"/>
      <c r="U235" s="1682"/>
    </row>
    <row r="236" spans="1:21" hidden="1" x14ac:dyDescent="0.25">
      <c r="A236" s="1234"/>
      <c r="B236" s="753" t="s">
        <v>109</v>
      </c>
      <c r="C236" s="409"/>
      <c r="D236" s="1217" t="s">
        <v>463</v>
      </c>
      <c r="E236" s="1217" t="s">
        <v>488</v>
      </c>
      <c r="F236" s="1217" t="s">
        <v>925</v>
      </c>
      <c r="G236" s="1662"/>
      <c r="H236" s="1682"/>
      <c r="I236" s="529"/>
      <c r="J236" s="404"/>
      <c r="N236" s="1200"/>
      <c r="U236" s="1682"/>
    </row>
    <row r="237" spans="1:21" hidden="1" x14ac:dyDescent="0.25">
      <c r="A237" s="1234"/>
      <c r="B237" s="753" t="s">
        <v>109</v>
      </c>
      <c r="C237" s="409"/>
      <c r="D237" s="1217" t="s">
        <v>463</v>
      </c>
      <c r="E237" s="1217" t="s">
        <v>488</v>
      </c>
      <c r="F237" s="1217" t="s">
        <v>925</v>
      </c>
      <c r="G237" s="1662"/>
      <c r="H237" s="1682"/>
      <c r="I237" s="529"/>
      <c r="J237" s="404"/>
      <c r="N237" s="1200"/>
      <c r="U237" s="1682"/>
    </row>
    <row r="238" spans="1:21" ht="21" hidden="1" x14ac:dyDescent="0.25">
      <c r="A238" s="1234"/>
      <c r="B238" s="1242" t="s">
        <v>930</v>
      </c>
      <c r="C238" s="409"/>
      <c r="D238" s="1217" t="s">
        <v>463</v>
      </c>
      <c r="E238" s="1217" t="s">
        <v>488</v>
      </c>
      <c r="F238" s="1217" t="s">
        <v>925</v>
      </c>
      <c r="G238" s="1662"/>
      <c r="H238" s="1682">
        <f>H239</f>
        <v>0</v>
      </c>
      <c r="I238" s="529"/>
      <c r="J238" s="404"/>
      <c r="N238" s="1200">
        <f>N239</f>
        <v>0</v>
      </c>
      <c r="U238" s="1682">
        <f>U239</f>
        <v>0</v>
      </c>
    </row>
    <row r="239" spans="1:21" ht="21" hidden="1" x14ac:dyDescent="0.25">
      <c r="A239" s="1234"/>
      <c r="B239" s="1182" t="s">
        <v>523</v>
      </c>
      <c r="C239" s="409"/>
      <c r="D239" s="1217" t="s">
        <v>463</v>
      </c>
      <c r="E239" s="1217" t="s">
        <v>488</v>
      </c>
      <c r="F239" s="1217" t="s">
        <v>925</v>
      </c>
      <c r="G239" s="1662" t="s">
        <v>521</v>
      </c>
      <c r="H239" s="1682"/>
      <c r="I239" s="529"/>
      <c r="J239" s="404"/>
      <c r="N239" s="1200"/>
      <c r="U239" s="1682"/>
    </row>
    <row r="240" spans="1:21" x14ac:dyDescent="0.25">
      <c r="A240" s="1229"/>
      <c r="B240" s="1225" t="s">
        <v>34</v>
      </c>
      <c r="C240" s="1227"/>
      <c r="D240" s="1227" t="s">
        <v>463</v>
      </c>
      <c r="E240" s="1227" t="s">
        <v>495</v>
      </c>
      <c r="F240" s="1227"/>
      <c r="G240" s="1665"/>
      <c r="H240" s="1684">
        <f>H244+H246+H269+H274</f>
        <v>32228.5</v>
      </c>
      <c r="I240" s="853">
        <f>I241+I247</f>
        <v>36018.875</v>
      </c>
      <c r="J240" s="400">
        <f>J241+J247</f>
        <v>34504.17</v>
      </c>
      <c r="K240" s="1441"/>
      <c r="N240" s="1228">
        <f>N244+N246+N269+N274</f>
        <v>34323.64</v>
      </c>
      <c r="U240" s="1684">
        <f>U244+U246+U269+U274</f>
        <v>36088.380000000005</v>
      </c>
    </row>
    <row r="241" spans="1:21" ht="24" customHeight="1" x14ac:dyDescent="0.25">
      <c r="A241" s="1179"/>
      <c r="B241" s="1243" t="s">
        <v>931</v>
      </c>
      <c r="C241" s="409"/>
      <c r="D241" s="409" t="s">
        <v>463</v>
      </c>
      <c r="E241" s="409" t="s">
        <v>495</v>
      </c>
      <c r="F241" s="409" t="s">
        <v>189</v>
      </c>
      <c r="G241" s="1662"/>
      <c r="H241" s="1682">
        <f>H242</f>
        <v>31428.5</v>
      </c>
      <c r="I241" s="529">
        <f>I242</f>
        <v>32518.875</v>
      </c>
      <c r="J241" s="270">
        <f>J242</f>
        <v>31004.17</v>
      </c>
      <c r="K241" s="1440">
        <f>K244+K246+K269+K274+K276</f>
        <v>32228.5</v>
      </c>
      <c r="N241" s="1200">
        <f>N242</f>
        <v>33058.639999999999</v>
      </c>
      <c r="U241" s="1682">
        <f>U242</f>
        <v>34696.880000000005</v>
      </c>
    </row>
    <row r="242" spans="1:21" ht="31.5" x14ac:dyDescent="0.25">
      <c r="A242" s="842"/>
      <c r="B242" s="1197" t="s">
        <v>188</v>
      </c>
      <c r="C242" s="408"/>
      <c r="D242" s="409" t="s">
        <v>463</v>
      </c>
      <c r="E242" s="409" t="s">
        <v>495</v>
      </c>
      <c r="F242" s="409" t="s">
        <v>187</v>
      </c>
      <c r="G242" s="1661"/>
      <c r="H242" s="1682">
        <f>H243+H245</f>
        <v>31428.5</v>
      </c>
      <c r="I242" s="529">
        <f>I243+I245</f>
        <v>32518.875</v>
      </c>
      <c r="J242" s="270">
        <f>J243+J245</f>
        <v>31004.17</v>
      </c>
      <c r="N242" s="1200">
        <f>N243+N245</f>
        <v>33058.639999999999</v>
      </c>
      <c r="U242" s="1682">
        <f>U243+U245</f>
        <v>34696.880000000005</v>
      </c>
    </row>
    <row r="243" spans="1:21" ht="28.5" customHeight="1" x14ac:dyDescent="0.25">
      <c r="A243" s="1179"/>
      <c r="B243" s="1205" t="s">
        <v>186</v>
      </c>
      <c r="C243" s="1217"/>
      <c r="D243" s="1217" t="s">
        <v>463</v>
      </c>
      <c r="E243" s="1217" t="s">
        <v>495</v>
      </c>
      <c r="F243" s="1217" t="s">
        <v>185</v>
      </c>
      <c r="G243" s="1664"/>
      <c r="H243" s="1682">
        <f>H244</f>
        <v>2300</v>
      </c>
      <c r="I243" s="529">
        <f>I244</f>
        <v>10043.379999999999</v>
      </c>
      <c r="J243" s="270">
        <f>J244</f>
        <v>6288.7259999999997</v>
      </c>
      <c r="N243" s="1200">
        <f>N244</f>
        <v>2500</v>
      </c>
      <c r="U243" s="1682">
        <f>U244</f>
        <v>2800</v>
      </c>
    </row>
    <row r="244" spans="1:21" ht="21" x14ac:dyDescent="0.25">
      <c r="A244" s="1179"/>
      <c r="B244" s="1182" t="s">
        <v>454</v>
      </c>
      <c r="C244" s="409"/>
      <c r="D244" s="1217" t="s">
        <v>463</v>
      </c>
      <c r="E244" s="1217" t="s">
        <v>495</v>
      </c>
      <c r="F244" s="1217" t="s">
        <v>185</v>
      </c>
      <c r="G244" s="1662" t="s">
        <v>1</v>
      </c>
      <c r="H244" s="1682">
        <v>2300</v>
      </c>
      <c r="I244" s="529">
        <v>10043.379999999999</v>
      </c>
      <c r="J244" s="269">
        <v>6288.7259999999997</v>
      </c>
      <c r="K244" s="1">
        <v>2300</v>
      </c>
      <c r="N244" s="1200">
        <v>2500</v>
      </c>
      <c r="U244" s="1682">
        <v>2800</v>
      </c>
    </row>
    <row r="245" spans="1:21" ht="25.5" customHeight="1" x14ac:dyDescent="0.25">
      <c r="A245" s="1179"/>
      <c r="B245" s="1205" t="s">
        <v>184</v>
      </c>
      <c r="C245" s="409"/>
      <c r="D245" s="1217" t="s">
        <v>463</v>
      </c>
      <c r="E245" s="1217" t="s">
        <v>495</v>
      </c>
      <c r="F245" s="1217" t="s">
        <v>183</v>
      </c>
      <c r="G245" s="1662"/>
      <c r="H245" s="1682">
        <f>H246+H264</f>
        <v>29128.5</v>
      </c>
      <c r="I245" s="529">
        <f>I246</f>
        <v>22475.494999999999</v>
      </c>
      <c r="J245" s="269">
        <f>J246</f>
        <v>24715.444</v>
      </c>
      <c r="N245" s="1200">
        <f>N246+N264</f>
        <v>30558.639999999999</v>
      </c>
      <c r="U245" s="1682">
        <f>U246+U264</f>
        <v>31896.880000000001</v>
      </c>
    </row>
    <row r="246" spans="1:21" ht="21.75" customHeight="1" x14ac:dyDescent="0.25">
      <c r="A246" s="1179"/>
      <c r="B246" s="1182" t="s">
        <v>454</v>
      </c>
      <c r="C246" s="409"/>
      <c r="D246" s="1217" t="s">
        <v>463</v>
      </c>
      <c r="E246" s="1217" t="s">
        <v>495</v>
      </c>
      <c r="F246" s="1217" t="s">
        <v>183</v>
      </c>
      <c r="G246" s="1662" t="s">
        <v>1</v>
      </c>
      <c r="H246" s="1682">
        <v>29128.5</v>
      </c>
      <c r="I246" s="529">
        <v>22475.494999999999</v>
      </c>
      <c r="J246" s="269">
        <v>24715.444</v>
      </c>
      <c r="K246" s="1032">
        <f>21590+6438.5+800+300</f>
        <v>29128.5</v>
      </c>
      <c r="N246" s="1200">
        <v>30558.639999999999</v>
      </c>
      <c r="U246" s="1682">
        <v>31896.880000000001</v>
      </c>
    </row>
    <row r="247" spans="1:21" ht="31.5" hidden="1" x14ac:dyDescent="0.25">
      <c r="A247" s="842"/>
      <c r="B247" s="1244" t="s">
        <v>176</v>
      </c>
      <c r="C247" s="408"/>
      <c r="D247" s="408" t="s">
        <v>463</v>
      </c>
      <c r="E247" s="408" t="s">
        <v>495</v>
      </c>
      <c r="F247" s="408" t="s">
        <v>175</v>
      </c>
      <c r="G247" s="1661"/>
      <c r="H247" s="1683">
        <f>H248+H252</f>
        <v>0</v>
      </c>
      <c r="I247" s="841">
        <f>I248+I252</f>
        <v>3500</v>
      </c>
      <c r="J247" s="276">
        <f>J248+J252</f>
        <v>3500</v>
      </c>
      <c r="N247" s="1208">
        <f>N248+N252</f>
        <v>0</v>
      </c>
      <c r="U247" s="1683">
        <f>U248+U252</f>
        <v>0</v>
      </c>
    </row>
    <row r="248" spans="1:21" ht="31.5" hidden="1" x14ac:dyDescent="0.25">
      <c r="A248" s="1245"/>
      <c r="B248" s="1197" t="s">
        <v>174</v>
      </c>
      <c r="C248" s="1217"/>
      <c r="D248" s="1217" t="s">
        <v>463</v>
      </c>
      <c r="E248" s="1217" t="s">
        <v>495</v>
      </c>
      <c r="F248" s="1217" t="s">
        <v>173</v>
      </c>
      <c r="G248" s="1664"/>
      <c r="H248" s="1682">
        <f>H250</f>
        <v>0</v>
      </c>
      <c r="I248" s="529">
        <f t="shared" ref="H248:J250" si="39">I249</f>
        <v>3500</v>
      </c>
      <c r="J248" s="269">
        <f t="shared" si="39"/>
        <v>3500</v>
      </c>
      <c r="N248" s="1200">
        <f>N250</f>
        <v>0</v>
      </c>
      <c r="U248" s="1682">
        <f>U250</f>
        <v>0</v>
      </c>
    </row>
    <row r="249" spans="1:21" hidden="1" x14ac:dyDescent="0.25">
      <c r="A249" s="842"/>
      <c r="B249" s="1219" t="s">
        <v>520</v>
      </c>
      <c r="C249" s="408"/>
      <c r="D249" s="409" t="s">
        <v>463</v>
      </c>
      <c r="E249" s="409" t="s">
        <v>495</v>
      </c>
      <c r="F249" s="1217" t="s">
        <v>173</v>
      </c>
      <c r="G249" s="1661"/>
      <c r="H249" s="1682">
        <f t="shared" si="39"/>
        <v>0</v>
      </c>
      <c r="I249" s="529">
        <f t="shared" si="39"/>
        <v>3500</v>
      </c>
      <c r="J249" s="269">
        <f t="shared" si="39"/>
        <v>3500</v>
      </c>
      <c r="N249" s="1200">
        <f t="shared" ref="N249:N250" si="40">N250</f>
        <v>0</v>
      </c>
      <c r="U249" s="1682">
        <f t="shared" ref="U249:U250" si="41">U250</f>
        <v>0</v>
      </c>
    </row>
    <row r="250" spans="1:21" hidden="1" x14ac:dyDescent="0.25">
      <c r="A250" s="1245"/>
      <c r="B250" s="1246" t="s">
        <v>172</v>
      </c>
      <c r="C250" s="1217"/>
      <c r="D250" s="1217" t="s">
        <v>463</v>
      </c>
      <c r="E250" s="1217" t="s">
        <v>495</v>
      </c>
      <c r="F250" s="1217" t="s">
        <v>159</v>
      </c>
      <c r="G250" s="1664"/>
      <c r="H250" s="1682">
        <f t="shared" si="39"/>
        <v>0</v>
      </c>
      <c r="I250" s="529">
        <f t="shared" si="39"/>
        <v>3500</v>
      </c>
      <c r="J250" s="269">
        <f t="shared" si="39"/>
        <v>3500</v>
      </c>
      <c r="N250" s="1200">
        <f t="shared" si="40"/>
        <v>0</v>
      </c>
      <c r="U250" s="1682">
        <f t="shared" si="41"/>
        <v>0</v>
      </c>
    </row>
    <row r="251" spans="1:21" ht="21" hidden="1" x14ac:dyDescent="0.25">
      <c r="A251" s="1229"/>
      <c r="B251" s="1182" t="s">
        <v>454</v>
      </c>
      <c r="C251" s="409"/>
      <c r="D251" s="1217" t="s">
        <v>463</v>
      </c>
      <c r="E251" s="1217" t="s">
        <v>495</v>
      </c>
      <c r="F251" s="1217" t="s">
        <v>159</v>
      </c>
      <c r="G251" s="1662" t="s">
        <v>1</v>
      </c>
      <c r="H251" s="1682">
        <v>0</v>
      </c>
      <c r="I251" s="529">
        <v>3500</v>
      </c>
      <c r="J251" s="269">
        <v>3500</v>
      </c>
      <c r="N251" s="1200">
        <v>0</v>
      </c>
      <c r="U251" s="1682">
        <v>0</v>
      </c>
    </row>
    <row r="252" spans="1:21" ht="21" hidden="1" x14ac:dyDescent="0.25">
      <c r="A252" s="1240"/>
      <c r="B252" s="1219" t="s">
        <v>519</v>
      </c>
      <c r="C252" s="1217"/>
      <c r="D252" s="1217" t="s">
        <v>463</v>
      </c>
      <c r="E252" s="1217" t="s">
        <v>495</v>
      </c>
      <c r="F252" s="1217" t="s">
        <v>518</v>
      </c>
      <c r="G252" s="1664"/>
      <c r="H252" s="1682">
        <f>H253+H258</f>
        <v>0</v>
      </c>
      <c r="I252" s="529">
        <f>I253+I258</f>
        <v>0</v>
      </c>
      <c r="J252" s="269">
        <f>J253+J258</f>
        <v>0</v>
      </c>
      <c r="N252" s="1200">
        <f>N253+N258</f>
        <v>0</v>
      </c>
      <c r="U252" s="1682">
        <f>U253+U258</f>
        <v>0</v>
      </c>
    </row>
    <row r="253" spans="1:21" ht="31.5" hidden="1" x14ac:dyDescent="0.25">
      <c r="A253" s="1240"/>
      <c r="B253" s="1219" t="s">
        <v>517</v>
      </c>
      <c r="C253" s="1217"/>
      <c r="D253" s="1217" t="s">
        <v>463</v>
      </c>
      <c r="E253" s="1217" t="s">
        <v>495</v>
      </c>
      <c r="F253" s="1217" t="s">
        <v>516</v>
      </c>
      <c r="G253" s="1664"/>
      <c r="H253" s="1682">
        <f>H254+H256</f>
        <v>0</v>
      </c>
      <c r="I253" s="529">
        <f>I254+I256</f>
        <v>0</v>
      </c>
      <c r="J253" s="269">
        <f>J254+J256</f>
        <v>0</v>
      </c>
      <c r="N253" s="1200">
        <f>N254+N256</f>
        <v>0</v>
      </c>
      <c r="U253" s="1682">
        <f>U254+U256</f>
        <v>0</v>
      </c>
    </row>
    <row r="254" spans="1:21" hidden="1" x14ac:dyDescent="0.25">
      <c r="A254" s="1229"/>
      <c r="B254" s="753" t="s">
        <v>515</v>
      </c>
      <c r="C254" s="1217"/>
      <c r="D254" s="1217" t="s">
        <v>463</v>
      </c>
      <c r="E254" s="1217" t="s">
        <v>495</v>
      </c>
      <c r="F254" s="1217" t="s">
        <v>514</v>
      </c>
      <c r="G254" s="1664"/>
      <c r="H254" s="1682">
        <f>H255</f>
        <v>0</v>
      </c>
      <c r="I254" s="529">
        <f>I255</f>
        <v>0</v>
      </c>
      <c r="J254" s="269">
        <f>J255</f>
        <v>0</v>
      </c>
      <c r="N254" s="1200">
        <f>N255</f>
        <v>0</v>
      </c>
      <c r="U254" s="1682">
        <f>U255</f>
        <v>0</v>
      </c>
    </row>
    <row r="255" spans="1:21" ht="21" hidden="1" x14ac:dyDescent="0.25">
      <c r="A255" s="1229"/>
      <c r="B255" s="1182" t="s">
        <v>454</v>
      </c>
      <c r="C255" s="409"/>
      <c r="D255" s="1217" t="s">
        <v>463</v>
      </c>
      <c r="E255" s="1217" t="s">
        <v>495</v>
      </c>
      <c r="F255" s="1217" t="s">
        <v>514</v>
      </c>
      <c r="G255" s="1662" t="s">
        <v>1</v>
      </c>
      <c r="H255" s="1682"/>
      <c r="I255" s="529"/>
      <c r="J255" s="269"/>
      <c r="N255" s="1200"/>
      <c r="U255" s="1682"/>
    </row>
    <row r="256" spans="1:21" hidden="1" x14ac:dyDescent="0.25">
      <c r="A256" s="1229"/>
      <c r="B256" s="753" t="s">
        <v>513</v>
      </c>
      <c r="C256" s="1217"/>
      <c r="D256" s="1217" t="s">
        <v>463</v>
      </c>
      <c r="E256" s="1217" t="s">
        <v>495</v>
      </c>
      <c r="F256" s="1217" t="s">
        <v>512</v>
      </c>
      <c r="G256" s="1664"/>
      <c r="H256" s="1682">
        <f>H257</f>
        <v>0</v>
      </c>
      <c r="I256" s="529">
        <f>I257</f>
        <v>0</v>
      </c>
      <c r="J256" s="269">
        <f>J257</f>
        <v>0</v>
      </c>
      <c r="N256" s="1200">
        <f>N257</f>
        <v>0</v>
      </c>
      <c r="U256" s="1682">
        <f>U257</f>
        <v>0</v>
      </c>
    </row>
    <row r="257" spans="1:21" ht="21" hidden="1" x14ac:dyDescent="0.25">
      <c r="A257" s="1229"/>
      <c r="B257" s="1182" t="s">
        <v>454</v>
      </c>
      <c r="C257" s="409"/>
      <c r="D257" s="1217" t="s">
        <v>463</v>
      </c>
      <c r="E257" s="1217" t="s">
        <v>495</v>
      </c>
      <c r="F257" s="1217" t="s">
        <v>512</v>
      </c>
      <c r="G257" s="1662" t="s">
        <v>1</v>
      </c>
      <c r="H257" s="1682"/>
      <c r="I257" s="529"/>
      <c r="J257" s="269"/>
      <c r="N257" s="1200"/>
      <c r="U257" s="1682"/>
    </row>
    <row r="258" spans="1:21" ht="21" hidden="1" x14ac:dyDescent="0.25">
      <c r="A258" s="1179"/>
      <c r="B258" s="1247" t="s">
        <v>511</v>
      </c>
      <c r="C258" s="1227"/>
      <c r="D258" s="1248" t="s">
        <v>463</v>
      </c>
      <c r="E258" s="1248" t="s">
        <v>495</v>
      </c>
      <c r="F258" s="1248" t="s">
        <v>510</v>
      </c>
      <c r="G258" s="1666"/>
      <c r="H258" s="1686">
        <f>H259+H263</f>
        <v>0</v>
      </c>
      <c r="I258" s="854">
        <f>I259+I263</f>
        <v>0</v>
      </c>
      <c r="J258" s="406">
        <f>J259+J263</f>
        <v>0</v>
      </c>
      <c r="N258" s="1249">
        <f>N259+N263</f>
        <v>0</v>
      </c>
      <c r="U258" s="1686">
        <f>U259+U263</f>
        <v>0</v>
      </c>
    </row>
    <row r="259" spans="1:21" hidden="1" x14ac:dyDescent="0.25">
      <c r="A259" s="842"/>
      <c r="B259" s="1224" t="s">
        <v>351</v>
      </c>
      <c r="C259" s="1217"/>
      <c r="D259" s="1217" t="s">
        <v>463</v>
      </c>
      <c r="E259" s="1217" t="s">
        <v>495</v>
      </c>
      <c r="F259" s="1217" t="s">
        <v>508</v>
      </c>
      <c r="G259" s="1664"/>
      <c r="H259" s="1682">
        <f>H260+H261+H262</f>
        <v>0</v>
      </c>
      <c r="I259" s="529">
        <f>I260+I261+I262</f>
        <v>0</v>
      </c>
      <c r="J259" s="269">
        <f>J260+J261+J262</f>
        <v>0</v>
      </c>
      <c r="N259" s="1200">
        <f>N260+N261+N262</f>
        <v>0</v>
      </c>
      <c r="U259" s="1682">
        <f>U260+U261+U262</f>
        <v>0</v>
      </c>
    </row>
    <row r="260" spans="1:21" hidden="1" x14ac:dyDescent="0.25">
      <c r="A260" s="1179"/>
      <c r="B260" s="1182" t="s">
        <v>458</v>
      </c>
      <c r="C260" s="409"/>
      <c r="D260" s="1217" t="s">
        <v>463</v>
      </c>
      <c r="E260" s="1217" t="s">
        <v>495</v>
      </c>
      <c r="F260" s="1217" t="s">
        <v>508</v>
      </c>
      <c r="G260" s="1662" t="s">
        <v>255</v>
      </c>
      <c r="H260" s="1682"/>
      <c r="I260" s="529"/>
      <c r="J260" s="269"/>
      <c r="N260" s="1200"/>
      <c r="U260" s="1682"/>
    </row>
    <row r="261" spans="1:21" ht="21" hidden="1" x14ac:dyDescent="0.25">
      <c r="A261" s="1179"/>
      <c r="B261" s="1182" t="s">
        <v>454</v>
      </c>
      <c r="C261" s="409"/>
      <c r="D261" s="1217" t="s">
        <v>463</v>
      </c>
      <c r="E261" s="1217" t="s">
        <v>495</v>
      </c>
      <c r="F261" s="1217" t="s">
        <v>508</v>
      </c>
      <c r="G261" s="1662" t="s">
        <v>1</v>
      </c>
      <c r="H261" s="1682"/>
      <c r="I261" s="529"/>
      <c r="J261" s="269"/>
      <c r="N261" s="1200"/>
      <c r="U261" s="1682"/>
    </row>
    <row r="262" spans="1:21" hidden="1" x14ac:dyDescent="0.25">
      <c r="A262" s="1179"/>
      <c r="B262" s="1182" t="s">
        <v>457</v>
      </c>
      <c r="C262" s="409"/>
      <c r="D262" s="1217" t="s">
        <v>463</v>
      </c>
      <c r="E262" s="1217" t="s">
        <v>495</v>
      </c>
      <c r="F262" s="1217" t="s">
        <v>508</v>
      </c>
      <c r="G262" s="1662" t="s">
        <v>91</v>
      </c>
      <c r="H262" s="1682"/>
      <c r="I262" s="529"/>
      <c r="J262" s="269"/>
      <c r="N262" s="1200"/>
      <c r="U262" s="1682"/>
    </row>
    <row r="263" spans="1:21" ht="15" hidden="1" customHeight="1" x14ac:dyDescent="0.25">
      <c r="A263" s="842"/>
      <c r="B263" s="1180"/>
      <c r="C263" s="1217"/>
      <c r="D263" s="1217" t="s">
        <v>463</v>
      </c>
      <c r="E263" s="1217" t="s">
        <v>495</v>
      </c>
      <c r="F263" s="1217" t="s">
        <v>183</v>
      </c>
      <c r="G263" s="1664"/>
      <c r="H263" s="1682">
        <f>H264</f>
        <v>0</v>
      </c>
      <c r="I263" s="529">
        <f>I264</f>
        <v>0</v>
      </c>
      <c r="J263" s="269">
        <f>J264</f>
        <v>0</v>
      </c>
      <c r="N263" s="1200">
        <f>N264</f>
        <v>0</v>
      </c>
      <c r="U263" s="1682">
        <f>U264</f>
        <v>0</v>
      </c>
    </row>
    <row r="264" spans="1:21" ht="30.75" hidden="1" customHeight="1" thickBot="1" x14ac:dyDescent="0.3">
      <c r="A264" s="1179"/>
      <c r="B264" s="1191" t="s">
        <v>916</v>
      </c>
      <c r="C264" s="1193"/>
      <c r="D264" s="1531" t="s">
        <v>463</v>
      </c>
      <c r="E264" s="1531" t="s">
        <v>495</v>
      </c>
      <c r="F264" s="1531" t="s">
        <v>183</v>
      </c>
      <c r="G264" s="1663" t="s">
        <v>521</v>
      </c>
      <c r="H264" s="1682">
        <f>722.93+5324.558+935-6982.488</f>
        <v>0</v>
      </c>
      <c r="I264" s="529"/>
      <c r="J264" s="269"/>
      <c r="N264" s="1200">
        <f>722.93+5324.558+935-6982.488</f>
        <v>0</v>
      </c>
      <c r="U264" s="1682">
        <f>722.93+5324.558+935-6982.488</f>
        <v>0</v>
      </c>
    </row>
    <row r="265" spans="1:21" ht="30.75" customHeight="1" x14ac:dyDescent="0.25">
      <c r="A265" s="732"/>
      <c r="B265" s="1532" t="s">
        <v>949</v>
      </c>
      <c r="C265" s="409"/>
      <c r="D265" s="1227" t="s">
        <v>463</v>
      </c>
      <c r="E265" s="1227" t="s">
        <v>495</v>
      </c>
      <c r="F265" s="409" t="s">
        <v>952</v>
      </c>
      <c r="G265" s="1667"/>
      <c r="H265" s="1682">
        <f>H269+H271</f>
        <v>800</v>
      </c>
      <c r="I265" s="529"/>
      <c r="J265" s="269"/>
      <c r="N265" s="1530">
        <f>N269+N271</f>
        <v>1265</v>
      </c>
      <c r="U265" s="1682">
        <f>U269+U271</f>
        <v>1391.5</v>
      </c>
    </row>
    <row r="266" spans="1:21" ht="30.75" customHeight="1" x14ac:dyDescent="0.25">
      <c r="A266" s="732"/>
      <c r="B266" s="1533" t="s">
        <v>947</v>
      </c>
      <c r="C266" s="409"/>
      <c r="D266" s="409" t="s">
        <v>463</v>
      </c>
      <c r="E266" s="409" t="s">
        <v>495</v>
      </c>
      <c r="F266" s="1534" t="s">
        <v>953</v>
      </c>
      <c r="G266" s="1668"/>
      <c r="H266" s="1682">
        <f>H267</f>
        <v>450</v>
      </c>
      <c r="I266" s="529"/>
      <c r="J266" s="269"/>
      <c r="N266" s="1530">
        <f>N267</f>
        <v>880</v>
      </c>
      <c r="U266" s="1682">
        <f>U267</f>
        <v>968</v>
      </c>
    </row>
    <row r="267" spans="1:21" ht="30.75" customHeight="1" x14ac:dyDescent="0.25">
      <c r="A267" s="732"/>
      <c r="B267" s="1535" t="s">
        <v>950</v>
      </c>
      <c r="C267" s="409"/>
      <c r="D267" s="409" t="s">
        <v>463</v>
      </c>
      <c r="E267" s="409" t="s">
        <v>495</v>
      </c>
      <c r="F267" s="1235" t="s">
        <v>954</v>
      </c>
      <c r="G267" s="1669"/>
      <c r="H267" s="1682">
        <f>H269</f>
        <v>450</v>
      </c>
      <c r="I267" s="529"/>
      <c r="J267" s="269"/>
      <c r="N267" s="1530">
        <f>N269</f>
        <v>880</v>
      </c>
      <c r="U267" s="1682">
        <f>U269</f>
        <v>968</v>
      </c>
    </row>
    <row r="268" spans="1:21" ht="30.75" hidden="1" customHeight="1" x14ac:dyDescent="0.25">
      <c r="A268" s="732"/>
      <c r="B268" s="753" t="s">
        <v>948</v>
      </c>
      <c r="C268" s="409"/>
      <c r="D268" s="1217" t="s">
        <v>463</v>
      </c>
      <c r="E268" s="1217" t="s">
        <v>495</v>
      </c>
      <c r="F268" s="1235" t="s">
        <v>954</v>
      </c>
      <c r="G268" s="1670" t="s">
        <v>955</v>
      </c>
      <c r="H268" s="1682"/>
      <c r="I268" s="529"/>
      <c r="J268" s="269"/>
      <c r="N268" s="1530"/>
      <c r="U268" s="1682"/>
    </row>
    <row r="269" spans="1:21" ht="30.75" customHeight="1" x14ac:dyDescent="0.25">
      <c r="A269" s="732"/>
      <c r="B269" s="1182" t="s">
        <v>454</v>
      </c>
      <c r="C269" s="409"/>
      <c r="D269" s="1217" t="s">
        <v>463</v>
      </c>
      <c r="E269" s="1217" t="s">
        <v>495</v>
      </c>
      <c r="F269" s="1235" t="s">
        <v>954</v>
      </c>
      <c r="G269" s="1662" t="s">
        <v>1</v>
      </c>
      <c r="H269" s="1682">
        <v>450</v>
      </c>
      <c r="I269" s="529"/>
      <c r="J269" s="269"/>
      <c r="K269" s="1">
        <v>450</v>
      </c>
      <c r="N269" s="1530">
        <v>880</v>
      </c>
      <c r="U269" s="1682">
        <v>968</v>
      </c>
    </row>
    <row r="270" spans="1:21" ht="30.75" hidden="1" customHeight="1" x14ac:dyDescent="0.25">
      <c r="A270" s="732"/>
      <c r="B270" s="1182" t="s">
        <v>34</v>
      </c>
      <c r="C270" s="409"/>
      <c r="D270" s="1217" t="s">
        <v>463</v>
      </c>
      <c r="E270" s="1217" t="s">
        <v>495</v>
      </c>
      <c r="F270" s="1235" t="s">
        <v>954</v>
      </c>
      <c r="G270" s="1662" t="s">
        <v>1</v>
      </c>
      <c r="H270" s="1682"/>
      <c r="I270" s="529"/>
      <c r="J270" s="269"/>
      <c r="N270" s="1530"/>
      <c r="U270" s="1682"/>
    </row>
    <row r="271" spans="1:21" ht="30.75" customHeight="1" x14ac:dyDescent="0.25">
      <c r="A271" s="732"/>
      <c r="B271" s="1533" t="s">
        <v>951</v>
      </c>
      <c r="C271" s="409"/>
      <c r="D271" s="1217" t="s">
        <v>463</v>
      </c>
      <c r="E271" s="1217" t="s">
        <v>495</v>
      </c>
      <c r="F271" s="1534" t="s">
        <v>956</v>
      </c>
      <c r="G271" s="1668"/>
      <c r="H271" s="1682">
        <f>H272</f>
        <v>350</v>
      </c>
      <c r="I271" s="529"/>
      <c r="J271" s="269"/>
      <c r="N271" s="1530">
        <f>N272</f>
        <v>385</v>
      </c>
      <c r="U271" s="1682">
        <f>U272</f>
        <v>423.5</v>
      </c>
    </row>
    <row r="272" spans="1:21" ht="30.75" customHeight="1" x14ac:dyDescent="0.25">
      <c r="A272" s="732"/>
      <c r="B272" s="753" t="s">
        <v>950</v>
      </c>
      <c r="C272" s="409"/>
      <c r="D272" s="408" t="s">
        <v>463</v>
      </c>
      <c r="E272" s="408" t="s">
        <v>495</v>
      </c>
      <c r="F272" s="1235" t="s">
        <v>957</v>
      </c>
      <c r="G272" s="1669"/>
      <c r="H272" s="1682">
        <f>H274</f>
        <v>350</v>
      </c>
      <c r="I272" s="529"/>
      <c r="J272" s="269"/>
      <c r="N272" s="1530">
        <f>N274</f>
        <v>385</v>
      </c>
      <c r="U272" s="1682">
        <f>U274</f>
        <v>423.5</v>
      </c>
    </row>
    <row r="273" spans="1:21" ht="30.75" hidden="1" customHeight="1" x14ac:dyDescent="0.25">
      <c r="A273" s="732"/>
      <c r="B273" s="753" t="s">
        <v>948</v>
      </c>
      <c r="C273" s="409"/>
      <c r="D273" s="1217" t="s">
        <v>463</v>
      </c>
      <c r="E273" s="1217" t="s">
        <v>495</v>
      </c>
      <c r="F273" s="1235" t="s">
        <v>957</v>
      </c>
      <c r="G273" s="1670" t="s">
        <v>955</v>
      </c>
      <c r="H273" s="1682"/>
      <c r="I273" s="529"/>
      <c r="J273" s="269"/>
      <c r="N273" s="1530"/>
      <c r="U273" s="1682"/>
    </row>
    <row r="274" spans="1:21" ht="30.75" customHeight="1" x14ac:dyDescent="0.25">
      <c r="A274" s="732"/>
      <c r="B274" s="1182" t="s">
        <v>454</v>
      </c>
      <c r="C274" s="409"/>
      <c r="D274" s="409" t="s">
        <v>463</v>
      </c>
      <c r="E274" s="409" t="s">
        <v>495</v>
      </c>
      <c r="F274" s="1235" t="s">
        <v>957</v>
      </c>
      <c r="G274" s="1662" t="s">
        <v>1</v>
      </c>
      <c r="H274" s="1682">
        <v>350</v>
      </c>
      <c r="I274" s="529"/>
      <c r="J274" s="269"/>
      <c r="K274" s="1">
        <v>350</v>
      </c>
      <c r="N274" s="1530">
        <v>385</v>
      </c>
      <c r="U274" s="1682">
        <v>423.5</v>
      </c>
    </row>
    <row r="275" spans="1:21" ht="30.75" hidden="1" customHeight="1" thickBot="1" x14ac:dyDescent="0.3">
      <c r="A275" s="1179"/>
      <c r="B275" s="1498" t="s">
        <v>34</v>
      </c>
      <c r="C275" s="409"/>
      <c r="D275" s="1217" t="s">
        <v>463</v>
      </c>
      <c r="E275" s="1217" t="s">
        <v>495</v>
      </c>
      <c r="F275" s="1499" t="s">
        <v>957</v>
      </c>
      <c r="G275" s="1671" t="s">
        <v>1</v>
      </c>
      <c r="H275" s="1682"/>
      <c r="I275" s="529"/>
      <c r="J275" s="269"/>
      <c r="N275" s="1200"/>
      <c r="U275" s="1682"/>
    </row>
    <row r="276" spans="1:21" x14ac:dyDescent="0.25">
      <c r="A276" s="1179"/>
      <c r="B276" s="1184" t="s">
        <v>348</v>
      </c>
      <c r="C276" s="1177"/>
      <c r="D276" s="408" t="s">
        <v>506</v>
      </c>
      <c r="E276" s="408" t="s">
        <v>459</v>
      </c>
      <c r="F276" s="408"/>
      <c r="G276" s="1661"/>
      <c r="H276" s="1683">
        <f t="shared" ref="H276:J278" si="42">H277</f>
        <v>348</v>
      </c>
      <c r="I276" s="841">
        <f t="shared" si="42"/>
        <v>302</v>
      </c>
      <c r="J276" s="276">
        <f t="shared" si="42"/>
        <v>337</v>
      </c>
      <c r="N276" s="1208">
        <f t="shared" ref="N276:N278" si="43">N277</f>
        <v>362</v>
      </c>
      <c r="U276" s="1683">
        <f t="shared" ref="U276:U278" si="44">U277</f>
        <v>377</v>
      </c>
    </row>
    <row r="277" spans="1:21" x14ac:dyDescent="0.25">
      <c r="A277" s="842"/>
      <c r="B277" s="1184" t="s">
        <v>964</v>
      </c>
      <c r="C277" s="1177"/>
      <c r="D277" s="408" t="s">
        <v>506</v>
      </c>
      <c r="E277" s="408" t="s">
        <v>506</v>
      </c>
      <c r="F277" s="408"/>
      <c r="G277" s="1661"/>
      <c r="H277" s="1683">
        <f t="shared" si="42"/>
        <v>348</v>
      </c>
      <c r="I277" s="841">
        <f t="shared" si="42"/>
        <v>302</v>
      </c>
      <c r="J277" s="276">
        <f t="shared" si="42"/>
        <v>337</v>
      </c>
      <c r="N277" s="1208">
        <f t="shared" si="43"/>
        <v>362</v>
      </c>
      <c r="U277" s="1683">
        <f t="shared" si="44"/>
        <v>377</v>
      </c>
    </row>
    <row r="278" spans="1:21" ht="21" x14ac:dyDescent="0.25">
      <c r="A278" s="1179"/>
      <c r="B278" s="1205" t="s">
        <v>932</v>
      </c>
      <c r="C278" s="1180"/>
      <c r="D278" s="409" t="s">
        <v>506</v>
      </c>
      <c r="E278" s="409" t="s">
        <v>506</v>
      </c>
      <c r="F278" s="409" t="s">
        <v>273</v>
      </c>
      <c r="G278" s="1662"/>
      <c r="H278" s="1682">
        <f t="shared" si="42"/>
        <v>348</v>
      </c>
      <c r="I278" s="529">
        <f t="shared" si="42"/>
        <v>302</v>
      </c>
      <c r="J278" s="269">
        <f t="shared" si="42"/>
        <v>337</v>
      </c>
      <c r="N278" s="1200">
        <f t="shared" si="43"/>
        <v>362</v>
      </c>
      <c r="U278" s="1682">
        <f t="shared" si="44"/>
        <v>377</v>
      </c>
    </row>
    <row r="279" spans="1:21" ht="21" x14ac:dyDescent="0.25">
      <c r="A279" s="1179"/>
      <c r="B279" s="1205" t="s">
        <v>909</v>
      </c>
      <c r="C279" s="1180"/>
      <c r="D279" s="409" t="s">
        <v>506</v>
      </c>
      <c r="E279" s="409" t="s">
        <v>506</v>
      </c>
      <c r="F279" s="409" t="s">
        <v>271</v>
      </c>
      <c r="G279" s="1662"/>
      <c r="H279" s="1682">
        <f>H280+H283</f>
        <v>348</v>
      </c>
      <c r="I279" s="529">
        <f>I280+I283</f>
        <v>302</v>
      </c>
      <c r="J279" s="269">
        <f>J280+J283</f>
        <v>337</v>
      </c>
      <c r="K279" s="1439">
        <v>348</v>
      </c>
      <c r="N279" s="1200">
        <f>N280+N283</f>
        <v>362</v>
      </c>
      <c r="U279" s="1682">
        <f>U280+U283</f>
        <v>377</v>
      </c>
    </row>
    <row r="280" spans="1:21" ht="31.5" hidden="1" x14ac:dyDescent="0.25">
      <c r="A280" s="1179"/>
      <c r="B280" s="1205" t="s">
        <v>270</v>
      </c>
      <c r="C280" s="1180"/>
      <c r="D280" s="409" t="s">
        <v>506</v>
      </c>
      <c r="E280" s="409" t="s">
        <v>506</v>
      </c>
      <c r="F280" s="409" t="s">
        <v>267</v>
      </c>
      <c r="G280" s="1662"/>
      <c r="H280" s="1682">
        <f t="shared" ref="H280:J281" si="45">H281</f>
        <v>0</v>
      </c>
      <c r="I280" s="529">
        <f t="shared" si="45"/>
        <v>0</v>
      </c>
      <c r="J280" s="269">
        <f t="shared" si="45"/>
        <v>0</v>
      </c>
      <c r="N280" s="1200">
        <f t="shared" ref="N280:N281" si="46">N281</f>
        <v>0</v>
      </c>
      <c r="U280" s="1682">
        <f t="shared" ref="U280:U281" si="47">U281</f>
        <v>0</v>
      </c>
    </row>
    <row r="281" spans="1:21" hidden="1" x14ac:dyDescent="0.25">
      <c r="A281" s="1233"/>
      <c r="B281" s="1250" t="s">
        <v>4</v>
      </c>
      <c r="C281" s="1180"/>
      <c r="D281" s="409" t="s">
        <v>506</v>
      </c>
      <c r="E281" s="409" t="s">
        <v>506</v>
      </c>
      <c r="F281" s="409" t="s">
        <v>507</v>
      </c>
      <c r="G281" s="1662"/>
      <c r="H281" s="1682">
        <f t="shared" si="45"/>
        <v>0</v>
      </c>
      <c r="I281" s="529">
        <f t="shared" si="45"/>
        <v>0</v>
      </c>
      <c r="J281" s="269">
        <f t="shared" si="45"/>
        <v>0</v>
      </c>
      <c r="N281" s="1200">
        <f t="shared" si="46"/>
        <v>0</v>
      </c>
      <c r="U281" s="1682">
        <f t="shared" si="47"/>
        <v>0</v>
      </c>
    </row>
    <row r="282" spans="1:21" ht="21" hidden="1" x14ac:dyDescent="0.25">
      <c r="A282" s="1233"/>
      <c r="B282" s="1197" t="s">
        <v>268</v>
      </c>
      <c r="C282" s="1183"/>
      <c r="D282" s="409" t="s">
        <v>506</v>
      </c>
      <c r="E282" s="409" t="s">
        <v>506</v>
      </c>
      <c r="F282" s="409" t="s">
        <v>507</v>
      </c>
      <c r="G282" s="1662" t="s">
        <v>1</v>
      </c>
      <c r="H282" s="1682"/>
      <c r="I282" s="529"/>
      <c r="J282" s="269"/>
      <c r="N282" s="1200"/>
      <c r="U282" s="1682"/>
    </row>
    <row r="283" spans="1:21" ht="21" x14ac:dyDescent="0.25">
      <c r="A283" s="1233"/>
      <c r="B283" s="753" t="s">
        <v>268</v>
      </c>
      <c r="C283" s="1183"/>
      <c r="D283" s="409" t="s">
        <v>506</v>
      </c>
      <c r="E283" s="409" t="s">
        <v>506</v>
      </c>
      <c r="F283" s="409" t="s">
        <v>267</v>
      </c>
      <c r="G283" s="1662"/>
      <c r="H283" s="1682">
        <f t="shared" ref="H283:J284" si="48">H284</f>
        <v>348</v>
      </c>
      <c r="I283" s="529">
        <f t="shared" si="48"/>
        <v>302</v>
      </c>
      <c r="J283" s="269">
        <f t="shared" si="48"/>
        <v>337</v>
      </c>
      <c r="N283" s="1200">
        <f t="shared" ref="N283:N284" si="49">N284</f>
        <v>362</v>
      </c>
      <c r="U283" s="1682">
        <f t="shared" ref="U283:U284" si="50">U284</f>
        <v>377</v>
      </c>
    </row>
    <row r="284" spans="1:21" x14ac:dyDescent="0.25">
      <c r="A284" s="1179"/>
      <c r="B284" s="1205" t="s">
        <v>266</v>
      </c>
      <c r="C284" s="1180"/>
      <c r="D284" s="409" t="s">
        <v>506</v>
      </c>
      <c r="E284" s="409" t="s">
        <v>506</v>
      </c>
      <c r="F284" s="409" t="s">
        <v>263</v>
      </c>
      <c r="G284" s="1662"/>
      <c r="H284" s="1682">
        <f t="shared" si="48"/>
        <v>348</v>
      </c>
      <c r="I284" s="529">
        <f t="shared" si="48"/>
        <v>302</v>
      </c>
      <c r="J284" s="269">
        <f t="shared" si="48"/>
        <v>337</v>
      </c>
      <c r="N284" s="1200">
        <f t="shared" si="49"/>
        <v>362</v>
      </c>
      <c r="U284" s="1682">
        <f t="shared" si="50"/>
        <v>377</v>
      </c>
    </row>
    <row r="285" spans="1:21" ht="21" x14ac:dyDescent="0.25">
      <c r="A285" s="1179"/>
      <c r="B285" s="1191" t="s">
        <v>454</v>
      </c>
      <c r="C285" s="1183"/>
      <c r="D285" s="409" t="s">
        <v>506</v>
      </c>
      <c r="E285" s="409" t="s">
        <v>506</v>
      </c>
      <c r="F285" s="409" t="s">
        <v>263</v>
      </c>
      <c r="G285" s="1662" t="s">
        <v>1</v>
      </c>
      <c r="H285" s="1682">
        <v>348</v>
      </c>
      <c r="I285" s="529">
        <v>302</v>
      </c>
      <c r="J285" s="269">
        <v>337</v>
      </c>
      <c r="K285" s="1">
        <v>348</v>
      </c>
      <c r="N285" s="1200">
        <v>362</v>
      </c>
      <c r="U285" s="1682">
        <v>377</v>
      </c>
    </row>
    <row r="286" spans="1:21" s="760" customFormat="1" ht="13" x14ac:dyDescent="0.3">
      <c r="A286" s="842"/>
      <c r="B286" s="1251" t="s">
        <v>460</v>
      </c>
      <c r="C286" s="408"/>
      <c r="D286" s="1221" t="s">
        <v>453</v>
      </c>
      <c r="E286" s="1221" t="s">
        <v>459</v>
      </c>
      <c r="F286" s="408"/>
      <c r="G286" s="1661"/>
      <c r="H286" s="1683">
        <f>H287+H302</f>
        <v>16002.599</v>
      </c>
      <c r="I286" s="841"/>
      <c r="J286" s="276"/>
      <c r="N286" s="1208">
        <f>N287+N302</f>
        <v>15191.339999999998</v>
      </c>
      <c r="U286" s="1683">
        <f>U287+U302</f>
        <v>15769.57</v>
      </c>
    </row>
    <row r="287" spans="1:21" x14ac:dyDescent="0.25">
      <c r="A287" s="1179"/>
      <c r="B287" s="1173" t="s">
        <v>87</v>
      </c>
      <c r="C287" s="1177"/>
      <c r="D287" s="408" t="s">
        <v>453</v>
      </c>
      <c r="E287" s="408" t="s">
        <v>456</v>
      </c>
      <c r="F287" s="408"/>
      <c r="G287" s="1661"/>
      <c r="H287" s="1683">
        <f>H288+H295</f>
        <v>12968.895</v>
      </c>
      <c r="I287" s="841">
        <f>I288+I296</f>
        <v>0</v>
      </c>
      <c r="J287" s="276">
        <f>J288+J296</f>
        <v>0</v>
      </c>
      <c r="N287" s="1208">
        <f>N288+N295</f>
        <v>12173.939999999999</v>
      </c>
      <c r="U287" s="1683">
        <f>U288+U295</f>
        <v>12431.57</v>
      </c>
    </row>
    <row r="288" spans="1:21" ht="24.75" customHeight="1" x14ac:dyDescent="0.25">
      <c r="A288" s="1179"/>
      <c r="B288" s="753" t="s">
        <v>932</v>
      </c>
      <c r="C288" s="1177"/>
      <c r="D288" s="408" t="s">
        <v>453</v>
      </c>
      <c r="E288" s="408" t="s">
        <v>456</v>
      </c>
      <c r="F288" s="408" t="s">
        <v>273</v>
      </c>
      <c r="G288" s="1661"/>
      <c r="H288" s="1683">
        <f>H289</f>
        <v>12968.895</v>
      </c>
      <c r="I288" s="841">
        <f t="shared" ref="I288:J291" si="51">I289</f>
        <v>0</v>
      </c>
      <c r="J288" s="276">
        <f t="shared" si="51"/>
        <v>0</v>
      </c>
      <c r="K288" s="1439">
        <f>K292+K293+K294+K299+K307+K301</f>
        <v>14898.362999999999</v>
      </c>
      <c r="M288" s="237"/>
      <c r="N288" s="1208">
        <f>N289</f>
        <v>12173.939999999999</v>
      </c>
      <c r="U288" s="1683">
        <f>U289</f>
        <v>12431.57</v>
      </c>
    </row>
    <row r="289" spans="1:25" ht="27.75" customHeight="1" x14ac:dyDescent="0.25">
      <c r="A289" s="1179"/>
      <c r="B289" s="1205" t="s">
        <v>911</v>
      </c>
      <c r="C289" s="1180"/>
      <c r="D289" s="409" t="s">
        <v>453</v>
      </c>
      <c r="E289" s="409" t="s">
        <v>456</v>
      </c>
      <c r="F289" s="409" t="s">
        <v>260</v>
      </c>
      <c r="G289" s="1662"/>
      <c r="H289" s="1682">
        <f>H290</f>
        <v>12968.895</v>
      </c>
      <c r="I289" s="529">
        <f t="shared" si="51"/>
        <v>0</v>
      </c>
      <c r="J289" s="269">
        <f t="shared" si="51"/>
        <v>0</v>
      </c>
      <c r="N289" s="1200">
        <f>N290</f>
        <v>12173.939999999999</v>
      </c>
      <c r="U289" s="1682">
        <f>U290</f>
        <v>12431.57</v>
      </c>
    </row>
    <row r="290" spans="1:25" x14ac:dyDescent="0.25">
      <c r="A290" s="842"/>
      <c r="B290" s="1205" t="s">
        <v>259</v>
      </c>
      <c r="C290" s="1180"/>
      <c r="D290" s="409" t="s">
        <v>453</v>
      </c>
      <c r="E290" s="409" t="s">
        <v>456</v>
      </c>
      <c r="F290" s="409" t="s">
        <v>258</v>
      </c>
      <c r="G290" s="1662"/>
      <c r="H290" s="1687">
        <f>H292+H293+H294+H301</f>
        <v>12968.895</v>
      </c>
      <c r="I290" s="1655">
        <f t="shared" si="51"/>
        <v>0</v>
      </c>
      <c r="J290" s="1656">
        <f t="shared" si="51"/>
        <v>0</v>
      </c>
      <c r="K290" s="1657"/>
      <c r="L290" s="1657"/>
      <c r="M290" s="1657"/>
      <c r="N290" s="1654">
        <f>N292+N293+N294+N301</f>
        <v>12173.939999999999</v>
      </c>
      <c r="O290" s="1657"/>
      <c r="P290" s="1657"/>
      <c r="Q290" s="1657"/>
      <c r="R290" s="1657"/>
      <c r="S290" s="1657"/>
      <c r="T290" s="1657"/>
      <c r="U290" s="1687">
        <f>U292+U293+U294+U301</f>
        <v>12431.57</v>
      </c>
    </row>
    <row r="291" spans="1:25" x14ac:dyDescent="0.25">
      <c r="A291" s="842"/>
      <c r="B291" s="1197" t="s">
        <v>351</v>
      </c>
      <c r="C291" s="1180"/>
      <c r="D291" s="409" t="s">
        <v>453</v>
      </c>
      <c r="E291" s="409" t="s">
        <v>456</v>
      </c>
      <c r="F291" s="409" t="s">
        <v>254</v>
      </c>
      <c r="G291" s="1662"/>
      <c r="H291" s="1687">
        <f>H292+H293+H294</f>
        <v>10302.695</v>
      </c>
      <c r="I291" s="1655">
        <f t="shared" si="51"/>
        <v>0</v>
      </c>
      <c r="J291" s="1656">
        <f t="shared" si="51"/>
        <v>0</v>
      </c>
      <c r="K291" s="1657"/>
      <c r="L291" s="1657"/>
      <c r="M291" s="1657"/>
      <c r="N291" s="1654">
        <f>N292+N293+N294</f>
        <v>9507.74</v>
      </c>
      <c r="O291" s="1657"/>
      <c r="P291" s="1657"/>
      <c r="Q291" s="1657"/>
      <c r="R291" s="1657"/>
      <c r="S291" s="1657"/>
      <c r="T291" s="1657"/>
      <c r="U291" s="1687">
        <f>U292+U293+U294</f>
        <v>9765.3700000000008</v>
      </c>
    </row>
    <row r="292" spans="1:25" x14ac:dyDescent="0.25">
      <c r="A292" s="842"/>
      <c r="B292" s="753" t="s">
        <v>840</v>
      </c>
      <c r="C292" s="1180"/>
      <c r="D292" s="409" t="s">
        <v>453</v>
      </c>
      <c r="E292" s="409" t="s">
        <v>456</v>
      </c>
      <c r="F292" s="409" t="s">
        <v>254</v>
      </c>
      <c r="G292" s="1662" t="s">
        <v>255</v>
      </c>
      <c r="H292" s="1682">
        <f>7092.058+391.636</f>
        <v>7483.6940000000004</v>
      </c>
      <c r="I292" s="529">
        <f>I293+I294+I295</f>
        <v>0</v>
      </c>
      <c r="J292" s="269">
        <f>J293+J294+J295</f>
        <v>0</v>
      </c>
      <c r="K292" s="1">
        <v>7092.058</v>
      </c>
      <c r="N292" s="1200">
        <v>7375.74</v>
      </c>
      <c r="U292" s="1682">
        <v>7670.77</v>
      </c>
    </row>
    <row r="293" spans="1:25" ht="21" x14ac:dyDescent="0.25">
      <c r="A293" s="1179"/>
      <c r="B293" s="1182" t="s">
        <v>454</v>
      </c>
      <c r="C293" s="1183"/>
      <c r="D293" s="409" t="s">
        <v>453</v>
      </c>
      <c r="E293" s="409" t="s">
        <v>456</v>
      </c>
      <c r="F293" s="409" t="s">
        <v>254</v>
      </c>
      <c r="G293" s="1662" t="s">
        <v>1</v>
      </c>
      <c r="H293" s="1682">
        <v>2809.0010000000002</v>
      </c>
      <c r="I293" s="529"/>
      <c r="J293" s="269"/>
      <c r="K293" s="1031">
        <v>2809.0010000000002</v>
      </c>
      <c r="N293" s="1200">
        <v>2122</v>
      </c>
      <c r="U293" s="1682">
        <v>2084.6</v>
      </c>
    </row>
    <row r="294" spans="1:25" x14ac:dyDescent="0.25">
      <c r="A294" s="1179"/>
      <c r="B294" s="1182" t="s">
        <v>457</v>
      </c>
      <c r="C294" s="1183"/>
      <c r="D294" s="409" t="s">
        <v>453</v>
      </c>
      <c r="E294" s="409" t="s">
        <v>456</v>
      </c>
      <c r="F294" s="409" t="s">
        <v>254</v>
      </c>
      <c r="G294" s="1662" t="s">
        <v>91</v>
      </c>
      <c r="H294" s="1682">
        <v>10</v>
      </c>
      <c r="I294" s="529"/>
      <c r="J294" s="269"/>
      <c r="K294" s="1">
        <v>10</v>
      </c>
      <c r="N294" s="1200">
        <v>10</v>
      </c>
      <c r="U294" s="1682">
        <v>10</v>
      </c>
    </row>
    <row r="295" spans="1:25" s="760" customFormat="1" ht="21" hidden="1" x14ac:dyDescent="0.3">
      <c r="A295" s="842"/>
      <c r="B295" s="1242" t="s">
        <v>499</v>
      </c>
      <c r="C295" s="1207"/>
      <c r="D295" s="408" t="s">
        <v>453</v>
      </c>
      <c r="E295" s="408" t="s">
        <v>456</v>
      </c>
      <c r="F295" s="408" t="s">
        <v>273</v>
      </c>
      <c r="G295" s="1661"/>
      <c r="H295" s="1683">
        <f>H296</f>
        <v>0</v>
      </c>
      <c r="I295" s="841"/>
      <c r="J295" s="276"/>
      <c r="K295" s="1"/>
      <c r="N295" s="1208">
        <f>N296</f>
        <v>0</v>
      </c>
      <c r="U295" s="1683">
        <f>U296</f>
        <v>0</v>
      </c>
    </row>
    <row r="296" spans="1:25" hidden="1" x14ac:dyDescent="0.25">
      <c r="A296" s="1179"/>
      <c r="B296" s="753" t="s">
        <v>109</v>
      </c>
      <c r="C296" s="1180"/>
      <c r="D296" s="409" t="s">
        <v>453</v>
      </c>
      <c r="E296" s="409" t="s">
        <v>456</v>
      </c>
      <c r="F296" s="409" t="s">
        <v>260</v>
      </c>
      <c r="G296" s="1662"/>
      <c r="H296" s="1682">
        <f>H297</f>
        <v>0</v>
      </c>
      <c r="I296" s="529">
        <f>I297</f>
        <v>0</v>
      </c>
      <c r="J296" s="269">
        <f>J297</f>
        <v>0</v>
      </c>
      <c r="N296" s="1200">
        <f>N297</f>
        <v>0</v>
      </c>
      <c r="U296" s="1682">
        <f>U297</f>
        <v>0</v>
      </c>
    </row>
    <row r="297" spans="1:25" hidden="1" x14ac:dyDescent="0.25">
      <c r="A297" s="1179"/>
      <c r="B297" s="1205" t="s">
        <v>109</v>
      </c>
      <c r="C297" s="1180"/>
      <c r="D297" s="409" t="s">
        <v>453</v>
      </c>
      <c r="E297" s="409" t="s">
        <v>456</v>
      </c>
      <c r="F297" s="409" t="s">
        <v>258</v>
      </c>
      <c r="G297" s="1662"/>
      <c r="H297" s="1682"/>
      <c r="I297" s="529"/>
      <c r="J297" s="269"/>
      <c r="N297" s="1200"/>
      <c r="U297" s="1682"/>
    </row>
    <row r="298" spans="1:25" hidden="1" x14ac:dyDescent="0.25">
      <c r="A298" s="1179"/>
      <c r="B298" s="1205" t="s">
        <v>830</v>
      </c>
      <c r="C298" s="1180"/>
      <c r="D298" s="409" t="s">
        <v>453</v>
      </c>
      <c r="E298" s="409" t="s">
        <v>456</v>
      </c>
      <c r="F298" s="409" t="s">
        <v>831</v>
      </c>
      <c r="G298" s="1662"/>
      <c r="H298" s="1682">
        <f>H299</f>
        <v>0</v>
      </c>
      <c r="I298" s="529">
        <f>I299+I304</f>
        <v>0</v>
      </c>
      <c r="J298" s="269">
        <f>J299+J304</f>
        <v>0</v>
      </c>
      <c r="N298" s="1200">
        <f>N299</f>
        <v>0</v>
      </c>
      <c r="U298" s="1682">
        <f>U299</f>
        <v>0</v>
      </c>
    </row>
    <row r="299" spans="1:25" hidden="1" x14ac:dyDescent="0.25">
      <c r="A299" s="1179"/>
      <c r="B299" s="1197" t="s">
        <v>841</v>
      </c>
      <c r="C299" s="1180"/>
      <c r="D299" s="409" t="s">
        <v>453</v>
      </c>
      <c r="E299" s="409" t="s">
        <v>456</v>
      </c>
      <c r="F299" s="409" t="s">
        <v>831</v>
      </c>
      <c r="G299" s="1662" t="s">
        <v>255</v>
      </c>
      <c r="H299" s="1682"/>
      <c r="I299" s="529">
        <f>I302</f>
        <v>0</v>
      </c>
      <c r="J299" s="269">
        <f>J302</f>
        <v>0</v>
      </c>
      <c r="K299" s="1">
        <v>976.8</v>
      </c>
      <c r="N299" s="1200"/>
      <c r="U299" s="1682"/>
    </row>
    <row r="300" spans="1:25" x14ac:dyDescent="0.25">
      <c r="A300" s="1179"/>
      <c r="B300" s="1205" t="s">
        <v>830</v>
      </c>
      <c r="C300" s="1180"/>
      <c r="D300" s="409" t="s">
        <v>453</v>
      </c>
      <c r="E300" s="409" t="s">
        <v>456</v>
      </c>
      <c r="F300" s="409" t="s">
        <v>970</v>
      </c>
      <c r="G300" s="1662"/>
      <c r="H300" s="1682">
        <f>H301</f>
        <v>2666.2</v>
      </c>
      <c r="I300" s="529"/>
      <c r="J300" s="269"/>
      <c r="N300" s="1200">
        <f>N301</f>
        <v>2666.2</v>
      </c>
      <c r="U300" s="1682">
        <f>U301</f>
        <v>2666.2</v>
      </c>
      <c r="V300" s="1784">
        <v>2666.2</v>
      </c>
      <c r="W300" s="1784">
        <v>2666.2</v>
      </c>
      <c r="X300" s="1784">
        <v>2666.2</v>
      </c>
      <c r="Y300" s="239" t="s">
        <v>444</v>
      </c>
    </row>
    <row r="301" spans="1:25" x14ac:dyDescent="0.25">
      <c r="A301" s="1179"/>
      <c r="B301" s="1197" t="s">
        <v>841</v>
      </c>
      <c r="C301" s="1180"/>
      <c r="D301" s="409" t="s">
        <v>453</v>
      </c>
      <c r="E301" s="409" t="s">
        <v>456</v>
      </c>
      <c r="F301" s="409" t="s">
        <v>970</v>
      </c>
      <c r="G301" s="1662" t="s">
        <v>255</v>
      </c>
      <c r="H301" s="1682">
        <f>1333.1+1333.1</f>
        <v>2666.2</v>
      </c>
      <c r="I301" s="529"/>
      <c r="J301" s="269"/>
      <c r="K301" s="1">
        <v>976.8</v>
      </c>
      <c r="N301" s="1682">
        <f>1333.1+1333.1</f>
        <v>2666.2</v>
      </c>
      <c r="U301" s="1682">
        <f>1333.1+1333.1</f>
        <v>2666.2</v>
      </c>
      <c r="V301" s="1784">
        <v>2666.2</v>
      </c>
      <c r="W301" s="1784">
        <v>2666.2</v>
      </c>
      <c r="X301" s="1784">
        <v>2666.2</v>
      </c>
    </row>
    <row r="302" spans="1:25" s="760" customFormat="1" ht="13" x14ac:dyDescent="0.3">
      <c r="A302" s="842"/>
      <c r="B302" s="1252" t="s">
        <v>244</v>
      </c>
      <c r="C302" s="1177"/>
      <c r="D302" s="408" t="s">
        <v>453</v>
      </c>
      <c r="E302" s="408" t="s">
        <v>452</v>
      </c>
      <c r="F302" s="408"/>
      <c r="G302" s="1661"/>
      <c r="H302" s="1683">
        <f>H303</f>
        <v>3033.7040000000002</v>
      </c>
      <c r="I302" s="841">
        <f>I303</f>
        <v>0</v>
      </c>
      <c r="J302" s="276">
        <f>J303</f>
        <v>0</v>
      </c>
      <c r="N302" s="1208">
        <f>N303</f>
        <v>3017.4</v>
      </c>
      <c r="U302" s="1683">
        <f>U303</f>
        <v>3338</v>
      </c>
    </row>
    <row r="303" spans="1:25" ht="21" x14ac:dyDescent="0.25">
      <c r="A303" s="1179"/>
      <c r="B303" s="1242" t="s">
        <v>933</v>
      </c>
      <c r="C303" s="1183"/>
      <c r="D303" s="409" t="s">
        <v>453</v>
      </c>
      <c r="E303" s="409" t="s">
        <v>452</v>
      </c>
      <c r="F303" s="409" t="s">
        <v>273</v>
      </c>
      <c r="G303" s="1662"/>
      <c r="H303" s="1682">
        <f>H304</f>
        <v>3033.7040000000002</v>
      </c>
      <c r="I303" s="529"/>
      <c r="J303" s="269"/>
      <c r="N303" s="1200">
        <f>N304</f>
        <v>3017.4</v>
      </c>
      <c r="U303" s="1682">
        <f>U304</f>
        <v>3338</v>
      </c>
    </row>
    <row r="304" spans="1:25" x14ac:dyDescent="0.25">
      <c r="A304" s="1179"/>
      <c r="B304" s="753" t="s">
        <v>836</v>
      </c>
      <c r="C304" s="1183"/>
      <c r="D304" s="409" t="s">
        <v>453</v>
      </c>
      <c r="E304" s="409" t="s">
        <v>452</v>
      </c>
      <c r="F304" s="409" t="s">
        <v>251</v>
      </c>
      <c r="G304" s="1662"/>
      <c r="H304" s="1682">
        <f>H305</f>
        <v>3033.7040000000002</v>
      </c>
      <c r="I304" s="529">
        <f>I305+I307</f>
        <v>0</v>
      </c>
      <c r="J304" s="269">
        <f>J305+J307</f>
        <v>0</v>
      </c>
      <c r="N304" s="1200">
        <f>N305</f>
        <v>3017.4</v>
      </c>
      <c r="U304" s="1682">
        <f>U305</f>
        <v>3338</v>
      </c>
    </row>
    <row r="305" spans="1:21" x14ac:dyDescent="0.25">
      <c r="A305" s="1179"/>
      <c r="B305" s="753" t="s">
        <v>250</v>
      </c>
      <c r="C305" s="1180"/>
      <c r="D305" s="409" t="s">
        <v>453</v>
      </c>
      <c r="E305" s="409" t="s">
        <v>452</v>
      </c>
      <c r="F305" s="409" t="s">
        <v>249</v>
      </c>
      <c r="G305" s="1662"/>
      <c r="H305" s="1682">
        <f>H306</f>
        <v>3033.7040000000002</v>
      </c>
      <c r="I305" s="529">
        <f>I306</f>
        <v>0</v>
      </c>
      <c r="J305" s="269">
        <f>J306</f>
        <v>0</v>
      </c>
      <c r="N305" s="1200">
        <f>N306</f>
        <v>3017.4</v>
      </c>
      <c r="U305" s="1682">
        <f>U306</f>
        <v>3338</v>
      </c>
    </row>
    <row r="306" spans="1:21" x14ac:dyDescent="0.25">
      <c r="A306" s="1179"/>
      <c r="B306" s="1242" t="s">
        <v>248</v>
      </c>
      <c r="C306" s="1183"/>
      <c r="D306" s="409" t="s">
        <v>453</v>
      </c>
      <c r="E306" s="409" t="s">
        <v>452</v>
      </c>
      <c r="F306" s="409" t="s">
        <v>243</v>
      </c>
      <c r="G306" s="1662"/>
      <c r="H306" s="1682">
        <f>H307</f>
        <v>3033.7040000000002</v>
      </c>
      <c r="I306" s="529">
        <v>0</v>
      </c>
      <c r="J306" s="269">
        <v>0</v>
      </c>
      <c r="N306" s="1200">
        <f>N307</f>
        <v>3017.4</v>
      </c>
      <c r="U306" s="1682">
        <f>U307</f>
        <v>3338</v>
      </c>
    </row>
    <row r="307" spans="1:21" x14ac:dyDescent="0.25">
      <c r="A307" s="1179"/>
      <c r="B307" s="753" t="s">
        <v>454</v>
      </c>
      <c r="C307" s="1180"/>
      <c r="D307" s="409" t="s">
        <v>453</v>
      </c>
      <c r="E307" s="409" t="s">
        <v>452</v>
      </c>
      <c r="F307" s="409" t="s">
        <v>243</v>
      </c>
      <c r="G307" s="1662" t="s">
        <v>1</v>
      </c>
      <c r="H307" s="1682">
        <v>3033.7040000000002</v>
      </c>
      <c r="I307" s="529">
        <f>I308</f>
        <v>0</v>
      </c>
      <c r="J307" s="269">
        <f>J308</f>
        <v>0</v>
      </c>
      <c r="K307" s="1">
        <f>4010.504-976.8</f>
        <v>3033.7039999999997</v>
      </c>
      <c r="N307" s="1200">
        <v>3017.4</v>
      </c>
      <c r="U307" s="1682">
        <v>3338</v>
      </c>
    </row>
    <row r="308" spans="1:21" ht="21" hidden="1" x14ac:dyDescent="0.25">
      <c r="A308" s="1179"/>
      <c r="B308" s="1182" t="s">
        <v>454</v>
      </c>
      <c r="C308" s="1183"/>
      <c r="D308" s="409" t="s">
        <v>453</v>
      </c>
      <c r="E308" s="409" t="s">
        <v>452</v>
      </c>
      <c r="F308" s="409" t="s">
        <v>500</v>
      </c>
      <c r="G308" s="1662" t="s">
        <v>26</v>
      </c>
      <c r="H308" s="1682"/>
      <c r="I308" s="529"/>
      <c r="J308" s="269"/>
      <c r="N308" s="1200"/>
      <c r="U308" s="1682"/>
    </row>
    <row r="309" spans="1:21" x14ac:dyDescent="0.25">
      <c r="A309" s="1179"/>
      <c r="B309" s="1184" t="s">
        <v>334</v>
      </c>
      <c r="C309" s="1177"/>
      <c r="D309" s="408" t="s">
        <v>496</v>
      </c>
      <c r="E309" s="408" t="s">
        <v>459</v>
      </c>
      <c r="F309" s="408"/>
      <c r="G309" s="1661"/>
      <c r="H309" s="1683">
        <f>H310+H316</f>
        <v>801.22299999999996</v>
      </c>
      <c r="I309" s="841">
        <f>I310+I316</f>
        <v>1117.1999999999998</v>
      </c>
      <c r="J309" s="277">
        <f>J310+J316</f>
        <v>1195.4000000000001</v>
      </c>
      <c r="N309" s="1208">
        <f>N310+N316</f>
        <v>639.61699999999996</v>
      </c>
      <c r="U309" s="1683">
        <f>U310+U316</f>
        <v>665.20100000000002</v>
      </c>
    </row>
    <row r="310" spans="1:21" x14ac:dyDescent="0.25">
      <c r="A310" s="1179"/>
      <c r="B310" s="1184" t="s">
        <v>79</v>
      </c>
      <c r="C310" s="1177"/>
      <c r="D310" s="408" t="s">
        <v>496</v>
      </c>
      <c r="E310" s="408" t="s">
        <v>456</v>
      </c>
      <c r="F310" s="408"/>
      <c r="G310" s="1661"/>
      <c r="H310" s="1683">
        <f t="shared" ref="H310:J314" si="52">H311</f>
        <v>615.01599999999996</v>
      </c>
      <c r="I310" s="841">
        <f t="shared" si="52"/>
        <v>531.38</v>
      </c>
      <c r="J310" s="277">
        <f t="shared" si="52"/>
        <v>584.51300000000003</v>
      </c>
      <c r="K310" s="1439">
        <v>615.01599999999996</v>
      </c>
      <c r="N310" s="1208">
        <f t="shared" ref="N310:N314" si="53">N311</f>
        <v>639.61699999999996</v>
      </c>
      <c r="U310" s="1683">
        <f t="shared" ref="U310:U314" si="54">U311</f>
        <v>665.20100000000002</v>
      </c>
    </row>
    <row r="311" spans="1:21" ht="21" x14ac:dyDescent="0.25">
      <c r="A311" s="1179"/>
      <c r="B311" s="753" t="s">
        <v>499</v>
      </c>
      <c r="C311" s="1177"/>
      <c r="D311" s="408" t="s">
        <v>496</v>
      </c>
      <c r="E311" s="408" t="s">
        <v>456</v>
      </c>
      <c r="F311" s="408" t="s">
        <v>89</v>
      </c>
      <c r="G311" s="1661"/>
      <c r="H311" s="1683">
        <f t="shared" si="52"/>
        <v>615.01599999999996</v>
      </c>
      <c r="I311" s="841">
        <f t="shared" si="52"/>
        <v>531.38</v>
      </c>
      <c r="J311" s="277">
        <f t="shared" si="52"/>
        <v>584.51300000000003</v>
      </c>
      <c r="N311" s="1208">
        <f t="shared" si="53"/>
        <v>639.61699999999996</v>
      </c>
      <c r="U311" s="1683">
        <f t="shared" si="54"/>
        <v>665.20100000000002</v>
      </c>
    </row>
    <row r="312" spans="1:21" x14ac:dyDescent="0.25">
      <c r="A312" s="1179"/>
      <c r="B312" s="753" t="s">
        <v>109</v>
      </c>
      <c r="C312" s="1180"/>
      <c r="D312" s="409" t="s">
        <v>496</v>
      </c>
      <c r="E312" s="409" t="s">
        <v>456</v>
      </c>
      <c r="F312" s="409" t="s">
        <v>84</v>
      </c>
      <c r="G312" s="1662"/>
      <c r="H312" s="1682">
        <f t="shared" si="52"/>
        <v>615.01599999999996</v>
      </c>
      <c r="I312" s="529">
        <f t="shared" si="52"/>
        <v>531.38</v>
      </c>
      <c r="J312" s="270">
        <f t="shared" si="52"/>
        <v>584.51300000000003</v>
      </c>
      <c r="N312" s="1200">
        <f t="shared" si="53"/>
        <v>639.61699999999996</v>
      </c>
      <c r="U312" s="1682">
        <f t="shared" si="54"/>
        <v>665.20100000000002</v>
      </c>
    </row>
    <row r="313" spans="1:21" x14ac:dyDescent="0.25">
      <c r="A313" s="1179"/>
      <c r="B313" s="753" t="s">
        <v>109</v>
      </c>
      <c r="C313" s="1180"/>
      <c r="D313" s="409" t="s">
        <v>496</v>
      </c>
      <c r="E313" s="409" t="s">
        <v>456</v>
      </c>
      <c r="F313" s="409" t="s">
        <v>82</v>
      </c>
      <c r="G313" s="1662"/>
      <c r="H313" s="1682">
        <f t="shared" si="52"/>
        <v>615.01599999999996</v>
      </c>
      <c r="I313" s="529">
        <f t="shared" si="52"/>
        <v>531.38</v>
      </c>
      <c r="J313" s="270">
        <f t="shared" si="52"/>
        <v>584.51300000000003</v>
      </c>
      <c r="N313" s="1200">
        <f t="shared" si="53"/>
        <v>639.61699999999996</v>
      </c>
      <c r="U313" s="1682">
        <f t="shared" si="54"/>
        <v>665.20100000000002</v>
      </c>
    </row>
    <row r="314" spans="1:21" x14ac:dyDescent="0.25">
      <c r="A314" s="1179"/>
      <c r="B314" s="753" t="s">
        <v>81</v>
      </c>
      <c r="C314" s="1180"/>
      <c r="D314" s="409" t="s">
        <v>496</v>
      </c>
      <c r="E314" s="409" t="s">
        <v>456</v>
      </c>
      <c r="F314" s="409" t="s">
        <v>78</v>
      </c>
      <c r="G314" s="1662"/>
      <c r="H314" s="1682">
        <f t="shared" si="52"/>
        <v>615.01599999999996</v>
      </c>
      <c r="I314" s="529">
        <f t="shared" si="52"/>
        <v>531.38</v>
      </c>
      <c r="J314" s="270">
        <f t="shared" si="52"/>
        <v>584.51300000000003</v>
      </c>
      <c r="N314" s="1200">
        <f t="shared" si="53"/>
        <v>639.61699999999996</v>
      </c>
      <c r="U314" s="1682">
        <f t="shared" si="54"/>
        <v>665.20100000000002</v>
      </c>
    </row>
    <row r="315" spans="1:21" x14ac:dyDescent="0.25">
      <c r="A315" s="1179"/>
      <c r="B315" s="1236" t="s">
        <v>497</v>
      </c>
      <c r="C315" s="1183"/>
      <c r="D315" s="409" t="s">
        <v>496</v>
      </c>
      <c r="E315" s="409" t="s">
        <v>456</v>
      </c>
      <c r="F315" s="409" t="s">
        <v>78</v>
      </c>
      <c r="G315" s="1662" t="s">
        <v>77</v>
      </c>
      <c r="H315" s="1682">
        <v>615.01599999999996</v>
      </c>
      <c r="I315" s="529">
        <v>531.38</v>
      </c>
      <c r="J315" s="269">
        <v>584.51300000000003</v>
      </c>
      <c r="N315" s="1200">
        <v>639.61699999999996</v>
      </c>
      <c r="U315" s="1682">
        <v>665.20100000000002</v>
      </c>
    </row>
    <row r="316" spans="1:21" x14ac:dyDescent="0.25">
      <c r="A316" s="1179"/>
      <c r="B316" s="1184" t="s">
        <v>45</v>
      </c>
      <c r="C316" s="1177"/>
      <c r="D316" s="408" t="s">
        <v>496</v>
      </c>
      <c r="E316" s="408" t="s">
        <v>495</v>
      </c>
      <c r="F316" s="408"/>
      <c r="G316" s="1661"/>
      <c r="H316" s="1683">
        <f t="shared" ref="H316:J319" si="55">H317</f>
        <v>186.20699999999999</v>
      </c>
      <c r="I316" s="841">
        <f t="shared" si="55"/>
        <v>585.81999999999994</v>
      </c>
      <c r="J316" s="277">
        <f t="shared" si="55"/>
        <v>610.88699999999994</v>
      </c>
      <c r="N316" s="1208">
        <f t="shared" ref="N316:N319" si="56">N317</f>
        <v>0</v>
      </c>
      <c r="U316" s="1683">
        <f t="shared" ref="U316:U319" si="57">U317</f>
        <v>0</v>
      </c>
    </row>
    <row r="317" spans="1:21" ht="31.5" x14ac:dyDescent="0.25">
      <c r="A317" s="1179"/>
      <c r="B317" s="931" t="s">
        <v>861</v>
      </c>
      <c r="C317" s="1177"/>
      <c r="D317" s="408" t="s">
        <v>496</v>
      </c>
      <c r="E317" s="408" t="s">
        <v>495</v>
      </c>
      <c r="F317" s="408" t="s">
        <v>468</v>
      </c>
      <c r="G317" s="1661"/>
      <c r="H317" s="1683">
        <f>H318+H322</f>
        <v>186.20699999999999</v>
      </c>
      <c r="I317" s="841">
        <f t="shared" si="55"/>
        <v>585.81999999999994</v>
      </c>
      <c r="J317" s="277">
        <f t="shared" si="55"/>
        <v>610.88699999999994</v>
      </c>
      <c r="N317" s="1208">
        <f>N318+N322</f>
        <v>0</v>
      </c>
      <c r="U317" s="1683">
        <f>U318+U322</f>
        <v>0</v>
      </c>
    </row>
    <row r="318" spans="1:21" x14ac:dyDescent="0.25">
      <c r="A318" s="1179"/>
      <c r="B318" s="1203" t="s">
        <v>849</v>
      </c>
      <c r="C318" s="1180"/>
      <c r="D318" s="409" t="s">
        <v>496</v>
      </c>
      <c r="E318" s="409" t="s">
        <v>495</v>
      </c>
      <c r="F318" s="409" t="s">
        <v>854</v>
      </c>
      <c r="G318" s="1662"/>
      <c r="H318" s="1682">
        <f t="shared" si="55"/>
        <v>130.441</v>
      </c>
      <c r="I318" s="529">
        <f t="shared" si="55"/>
        <v>585.81999999999994</v>
      </c>
      <c r="J318" s="270">
        <f t="shared" si="55"/>
        <v>610.88699999999994</v>
      </c>
      <c r="N318" s="1200">
        <f t="shared" si="56"/>
        <v>0</v>
      </c>
      <c r="U318" s="1682">
        <f t="shared" si="57"/>
        <v>0</v>
      </c>
    </row>
    <row r="319" spans="1:21" x14ac:dyDescent="0.25">
      <c r="A319" s="1179"/>
      <c r="B319" s="1203" t="s">
        <v>850</v>
      </c>
      <c r="C319" s="1180"/>
      <c r="D319" s="409" t="s">
        <v>496</v>
      </c>
      <c r="E319" s="409" t="s">
        <v>495</v>
      </c>
      <c r="F319" s="409" t="s">
        <v>855</v>
      </c>
      <c r="G319" s="1662"/>
      <c r="H319" s="1682">
        <f t="shared" si="55"/>
        <v>130.441</v>
      </c>
      <c r="I319" s="529">
        <f t="shared" si="55"/>
        <v>585.81999999999994</v>
      </c>
      <c r="J319" s="270">
        <f t="shared" si="55"/>
        <v>610.88699999999994</v>
      </c>
      <c r="N319" s="1200">
        <f t="shared" si="56"/>
        <v>0</v>
      </c>
      <c r="U319" s="1682">
        <f t="shared" si="57"/>
        <v>0</v>
      </c>
    </row>
    <row r="320" spans="1:21" ht="35.25" customHeight="1" x14ac:dyDescent="0.25">
      <c r="A320" s="1179"/>
      <c r="B320" s="1232" t="s">
        <v>851</v>
      </c>
      <c r="C320" s="1180"/>
      <c r="D320" s="409" t="s">
        <v>496</v>
      </c>
      <c r="E320" s="409" t="s">
        <v>495</v>
      </c>
      <c r="F320" s="1235" t="s">
        <v>856</v>
      </c>
      <c r="G320" s="1662"/>
      <c r="H320" s="1682">
        <f>H321</f>
        <v>130.441</v>
      </c>
      <c r="I320" s="529">
        <f>I321+I325+I326</f>
        <v>585.81999999999994</v>
      </c>
      <c r="J320" s="270">
        <f>J321+J325+J326</f>
        <v>610.88699999999994</v>
      </c>
      <c r="N320" s="1200">
        <f>N321</f>
        <v>0</v>
      </c>
      <c r="U320" s="1682">
        <f>U321</f>
        <v>0</v>
      </c>
    </row>
    <row r="321" spans="1:21" x14ac:dyDescent="0.25">
      <c r="A321" s="1179"/>
      <c r="B321" s="1236" t="s">
        <v>497</v>
      </c>
      <c r="C321" s="1183"/>
      <c r="D321" s="409" t="s">
        <v>496</v>
      </c>
      <c r="E321" s="409" t="s">
        <v>495</v>
      </c>
      <c r="F321" s="1235" t="s">
        <v>856</v>
      </c>
      <c r="G321" s="1662" t="s">
        <v>77</v>
      </c>
      <c r="H321" s="1685">
        <v>130.441</v>
      </c>
      <c r="I321" s="529">
        <v>31.3</v>
      </c>
      <c r="J321" s="269">
        <v>34.43</v>
      </c>
      <c r="N321" s="1237">
        <v>0</v>
      </c>
      <c r="U321" s="1685">
        <v>0</v>
      </c>
    </row>
    <row r="322" spans="1:21" ht="21" x14ac:dyDescent="0.25">
      <c r="A322" s="1179"/>
      <c r="B322" s="1203" t="s">
        <v>853</v>
      </c>
      <c r="C322" s="1183"/>
      <c r="D322" s="409" t="s">
        <v>496</v>
      </c>
      <c r="E322" s="409" t="s">
        <v>495</v>
      </c>
      <c r="F322" s="1235" t="s">
        <v>857</v>
      </c>
      <c r="G322" s="1662"/>
      <c r="H322" s="1685">
        <f>H323</f>
        <v>55.765999999999998</v>
      </c>
      <c r="I322" s="529"/>
      <c r="J322" s="269"/>
      <c r="N322" s="1237">
        <f>N323</f>
        <v>0</v>
      </c>
      <c r="U322" s="1685">
        <f>U323</f>
        <v>0</v>
      </c>
    </row>
    <row r="323" spans="1:21" x14ac:dyDescent="0.25">
      <c r="A323" s="1179"/>
      <c r="B323" s="1203" t="s">
        <v>850</v>
      </c>
      <c r="C323" s="1183"/>
      <c r="D323" s="409" t="s">
        <v>496</v>
      </c>
      <c r="E323" s="409" t="s">
        <v>495</v>
      </c>
      <c r="F323" s="409" t="s">
        <v>858</v>
      </c>
      <c r="G323" s="1662"/>
      <c r="H323" s="1685">
        <f>H324</f>
        <v>55.765999999999998</v>
      </c>
      <c r="I323" s="529"/>
      <c r="J323" s="269"/>
      <c r="N323" s="1237">
        <f>N324</f>
        <v>0</v>
      </c>
      <c r="U323" s="1685">
        <f>U324</f>
        <v>0</v>
      </c>
    </row>
    <row r="324" spans="1:21" ht="31.5" x14ac:dyDescent="0.25">
      <c r="A324" s="1179"/>
      <c r="B324" s="1203" t="s">
        <v>851</v>
      </c>
      <c r="C324" s="1183"/>
      <c r="D324" s="409" t="s">
        <v>496</v>
      </c>
      <c r="E324" s="409" t="s">
        <v>495</v>
      </c>
      <c r="F324" s="1235" t="s">
        <v>859</v>
      </c>
      <c r="G324" s="1662"/>
      <c r="H324" s="1685">
        <f>H325</f>
        <v>55.765999999999998</v>
      </c>
      <c r="I324" s="529"/>
      <c r="J324" s="269"/>
      <c r="N324" s="1237">
        <f>N325</f>
        <v>0</v>
      </c>
      <c r="U324" s="1685">
        <f>U325</f>
        <v>0</v>
      </c>
    </row>
    <row r="325" spans="1:21" x14ac:dyDescent="0.25">
      <c r="A325" s="1179"/>
      <c r="B325" s="1236" t="s">
        <v>497</v>
      </c>
      <c r="C325" s="1183"/>
      <c r="D325" s="409" t="s">
        <v>496</v>
      </c>
      <c r="E325" s="409" t="s">
        <v>495</v>
      </c>
      <c r="F325" s="1235" t="s">
        <v>859</v>
      </c>
      <c r="G325" s="1662" t="s">
        <v>77</v>
      </c>
      <c r="H325" s="1685">
        <v>55.765999999999998</v>
      </c>
      <c r="I325" s="529">
        <v>554.52</v>
      </c>
      <c r="J325" s="269">
        <v>576.45699999999999</v>
      </c>
      <c r="N325" s="1237">
        <v>0</v>
      </c>
      <c r="U325" s="1685">
        <v>0</v>
      </c>
    </row>
    <row r="326" spans="1:21" hidden="1" x14ac:dyDescent="0.25">
      <c r="A326" s="1179"/>
      <c r="B326" s="1182" t="s">
        <v>497</v>
      </c>
      <c r="C326" s="1183"/>
      <c r="D326" s="409" t="s">
        <v>496</v>
      </c>
      <c r="E326" s="409" t="s">
        <v>495</v>
      </c>
      <c r="F326" s="409" t="s">
        <v>43</v>
      </c>
      <c r="G326" s="1662" t="s">
        <v>77</v>
      </c>
      <c r="H326" s="1682"/>
      <c r="I326" s="529"/>
      <c r="J326" s="269"/>
      <c r="N326" s="1200"/>
      <c r="U326" s="1682"/>
    </row>
    <row r="327" spans="1:21" x14ac:dyDescent="0.25">
      <c r="A327" s="1179"/>
      <c r="B327" s="1184" t="s">
        <v>331</v>
      </c>
      <c r="C327" s="1177"/>
      <c r="D327" s="408" t="s">
        <v>464</v>
      </c>
      <c r="E327" s="408" t="s">
        <v>459</v>
      </c>
      <c r="F327" s="408"/>
      <c r="G327" s="1661"/>
      <c r="H327" s="1683">
        <f>H328+H336</f>
        <v>600</v>
      </c>
      <c r="I327" s="841">
        <f>I328+I336</f>
        <v>450</v>
      </c>
      <c r="J327" s="277">
        <f>J328+J336</f>
        <v>500</v>
      </c>
      <c r="K327" s="1439">
        <v>600</v>
      </c>
      <c r="N327" s="1208">
        <f>N328+N336</f>
        <v>650</v>
      </c>
      <c r="U327" s="1683">
        <f>U328+U336</f>
        <v>700</v>
      </c>
    </row>
    <row r="328" spans="1:21" hidden="1" x14ac:dyDescent="0.25">
      <c r="A328" s="1179"/>
      <c r="B328" s="1184" t="s">
        <v>494</v>
      </c>
      <c r="C328" s="1177"/>
      <c r="D328" s="408" t="s">
        <v>464</v>
      </c>
      <c r="E328" s="408" t="s">
        <v>488</v>
      </c>
      <c r="F328" s="408" t="s">
        <v>106</v>
      </c>
      <c r="G328" s="1661" t="s">
        <v>106</v>
      </c>
      <c r="H328" s="1683">
        <f t="shared" ref="H328:J331" si="58">H329</f>
        <v>0</v>
      </c>
      <c r="I328" s="841">
        <f t="shared" si="58"/>
        <v>0</v>
      </c>
      <c r="J328" s="277">
        <f t="shared" si="58"/>
        <v>0</v>
      </c>
      <c r="N328" s="1208">
        <f t="shared" ref="N328:N331" si="59">N329</f>
        <v>0</v>
      </c>
      <c r="U328" s="1683">
        <f t="shared" ref="U328:U331" si="60">U329</f>
        <v>0</v>
      </c>
    </row>
    <row r="329" spans="1:21" ht="34.5" hidden="1" x14ac:dyDescent="0.25">
      <c r="A329" s="1179"/>
      <c r="B329" s="1184" t="s">
        <v>493</v>
      </c>
      <c r="C329" s="1177"/>
      <c r="D329" s="408" t="s">
        <v>464</v>
      </c>
      <c r="E329" s="408" t="s">
        <v>488</v>
      </c>
      <c r="F329" s="408" t="s">
        <v>311</v>
      </c>
      <c r="G329" s="1661"/>
      <c r="H329" s="1683">
        <f t="shared" si="58"/>
        <v>0</v>
      </c>
      <c r="I329" s="841">
        <f t="shared" si="58"/>
        <v>0</v>
      </c>
      <c r="J329" s="277">
        <f t="shared" si="58"/>
        <v>0</v>
      </c>
      <c r="N329" s="1208">
        <f t="shared" si="59"/>
        <v>0</v>
      </c>
      <c r="U329" s="1683">
        <f t="shared" si="60"/>
        <v>0</v>
      </c>
    </row>
    <row r="330" spans="1:21" ht="34.5" hidden="1" x14ac:dyDescent="0.25">
      <c r="A330" s="1233"/>
      <c r="B330" s="1253" t="s">
        <v>492</v>
      </c>
      <c r="C330" s="1180"/>
      <c r="D330" s="409" t="s">
        <v>464</v>
      </c>
      <c r="E330" s="409" t="s">
        <v>488</v>
      </c>
      <c r="F330" s="409" t="s">
        <v>491</v>
      </c>
      <c r="G330" s="1662"/>
      <c r="H330" s="1682">
        <f t="shared" si="58"/>
        <v>0</v>
      </c>
      <c r="I330" s="529">
        <f t="shared" si="58"/>
        <v>0</v>
      </c>
      <c r="J330" s="270">
        <f t="shared" si="58"/>
        <v>0</v>
      </c>
      <c r="N330" s="1200">
        <f t="shared" si="59"/>
        <v>0</v>
      </c>
      <c r="U330" s="1682">
        <f t="shared" si="60"/>
        <v>0</v>
      </c>
    </row>
    <row r="331" spans="1:21" hidden="1" x14ac:dyDescent="0.25">
      <c r="A331" s="1233"/>
      <c r="B331" s="1253" t="s">
        <v>490</v>
      </c>
      <c r="C331" s="1180"/>
      <c r="D331" s="409" t="s">
        <v>464</v>
      </c>
      <c r="E331" s="409" t="s">
        <v>488</v>
      </c>
      <c r="F331" s="409" t="s">
        <v>489</v>
      </c>
      <c r="G331" s="1662"/>
      <c r="H331" s="1682">
        <f t="shared" si="58"/>
        <v>0</v>
      </c>
      <c r="I331" s="529">
        <f t="shared" si="58"/>
        <v>0</v>
      </c>
      <c r="J331" s="270">
        <f t="shared" si="58"/>
        <v>0</v>
      </c>
      <c r="N331" s="1200">
        <f t="shared" si="59"/>
        <v>0</v>
      </c>
      <c r="U331" s="1682">
        <f t="shared" si="60"/>
        <v>0</v>
      </c>
    </row>
    <row r="332" spans="1:21" hidden="1" x14ac:dyDescent="0.25">
      <c r="A332" s="1233"/>
      <c r="B332" s="1253" t="s">
        <v>351</v>
      </c>
      <c r="C332" s="1180"/>
      <c r="D332" s="409" t="s">
        <v>464</v>
      </c>
      <c r="E332" s="409" t="s">
        <v>488</v>
      </c>
      <c r="F332" s="409" t="s">
        <v>487</v>
      </c>
      <c r="G332" s="1662"/>
      <c r="H332" s="1682">
        <f>H333+H334+H335</f>
        <v>0</v>
      </c>
      <c r="I332" s="529">
        <f>I333+I334+I335</f>
        <v>0</v>
      </c>
      <c r="J332" s="270">
        <f>J333+J334+J335</f>
        <v>0</v>
      </c>
      <c r="N332" s="1200">
        <f>N333+N334+N335</f>
        <v>0</v>
      </c>
      <c r="U332" s="1682">
        <f>U333+U334+U335</f>
        <v>0</v>
      </c>
    </row>
    <row r="333" spans="1:21" hidden="1" x14ac:dyDescent="0.25">
      <c r="A333" s="1179"/>
      <c r="B333" s="1254" t="s">
        <v>458</v>
      </c>
      <c r="C333" s="1183"/>
      <c r="D333" s="409" t="s">
        <v>464</v>
      </c>
      <c r="E333" s="409" t="s">
        <v>488</v>
      </c>
      <c r="F333" s="409" t="s">
        <v>487</v>
      </c>
      <c r="G333" s="1662" t="s">
        <v>255</v>
      </c>
      <c r="H333" s="1682"/>
      <c r="I333" s="529"/>
      <c r="J333" s="270"/>
      <c r="N333" s="1200"/>
      <c r="U333" s="1682"/>
    </row>
    <row r="334" spans="1:21" ht="23" hidden="1" x14ac:dyDescent="0.25">
      <c r="A334" s="1179"/>
      <c r="B334" s="1254" t="s">
        <v>454</v>
      </c>
      <c r="C334" s="1183"/>
      <c r="D334" s="409" t="s">
        <v>464</v>
      </c>
      <c r="E334" s="409" t="s">
        <v>488</v>
      </c>
      <c r="F334" s="409" t="s">
        <v>487</v>
      </c>
      <c r="G334" s="1662" t="s">
        <v>1</v>
      </c>
      <c r="H334" s="1682"/>
      <c r="I334" s="529"/>
      <c r="J334" s="270"/>
      <c r="N334" s="1200"/>
      <c r="U334" s="1682"/>
    </row>
    <row r="335" spans="1:21" hidden="1" x14ac:dyDescent="0.25">
      <c r="A335" s="1179"/>
      <c r="B335" s="1254" t="s">
        <v>457</v>
      </c>
      <c r="C335" s="1183"/>
      <c r="D335" s="409" t="s">
        <v>464</v>
      </c>
      <c r="E335" s="409" t="s">
        <v>488</v>
      </c>
      <c r="F335" s="409" t="s">
        <v>487</v>
      </c>
      <c r="G335" s="1662" t="s">
        <v>91</v>
      </c>
      <c r="H335" s="1682"/>
      <c r="I335" s="529"/>
      <c r="J335" s="270"/>
      <c r="N335" s="1200"/>
      <c r="U335" s="1682"/>
    </row>
    <row r="336" spans="1:21" x14ac:dyDescent="0.25">
      <c r="A336" s="1179"/>
      <c r="B336" s="1184" t="s">
        <v>64</v>
      </c>
      <c r="C336" s="1177"/>
      <c r="D336" s="408" t="s">
        <v>464</v>
      </c>
      <c r="E336" s="408" t="s">
        <v>463</v>
      </c>
      <c r="F336" s="408" t="s">
        <v>106</v>
      </c>
      <c r="G336" s="1661" t="s">
        <v>106</v>
      </c>
      <c r="H336" s="1683">
        <f>H337+H358</f>
        <v>600</v>
      </c>
      <c r="I336" s="841">
        <f>I337+I358</f>
        <v>450</v>
      </c>
      <c r="J336" s="277">
        <f>J337+J358</f>
        <v>500</v>
      </c>
      <c r="N336" s="1208">
        <f>N337+N358</f>
        <v>650</v>
      </c>
      <c r="U336" s="1683">
        <f>U337+U358</f>
        <v>700</v>
      </c>
    </row>
    <row r="337" spans="1:21" ht="30" customHeight="1" x14ac:dyDescent="0.25">
      <c r="A337" s="1179"/>
      <c r="B337" s="1205" t="s">
        <v>906</v>
      </c>
      <c r="C337" s="1177"/>
      <c r="D337" s="408" t="s">
        <v>464</v>
      </c>
      <c r="E337" s="408" t="s">
        <v>463</v>
      </c>
      <c r="F337" s="408" t="s">
        <v>311</v>
      </c>
      <c r="G337" s="1661"/>
      <c r="H337" s="1683">
        <f>H338+H347</f>
        <v>600</v>
      </c>
      <c r="I337" s="841">
        <f>I338+I347</f>
        <v>450</v>
      </c>
      <c r="J337" s="277">
        <f>J338+J347</f>
        <v>500</v>
      </c>
      <c r="N337" s="1208">
        <f>N338+N347</f>
        <v>650</v>
      </c>
      <c r="U337" s="1683">
        <f>U338+U347</f>
        <v>700</v>
      </c>
    </row>
    <row r="338" spans="1:21" ht="21" hidden="1" x14ac:dyDescent="0.25">
      <c r="A338" s="1179"/>
      <c r="B338" s="753" t="s">
        <v>486</v>
      </c>
      <c r="C338" s="1180"/>
      <c r="D338" s="409" t="s">
        <v>464</v>
      </c>
      <c r="E338" s="409" t="s">
        <v>463</v>
      </c>
      <c r="F338" s="409" t="s">
        <v>485</v>
      </c>
      <c r="G338" s="1661"/>
      <c r="H338" s="1682">
        <f>H339+H342</f>
        <v>0</v>
      </c>
      <c r="I338" s="529">
        <f>I339+I342</f>
        <v>0</v>
      </c>
      <c r="J338" s="270">
        <f>J339+J342</f>
        <v>0</v>
      </c>
      <c r="N338" s="1200">
        <f>N339+N342</f>
        <v>0</v>
      </c>
      <c r="U338" s="1682">
        <f>U339+U342</f>
        <v>0</v>
      </c>
    </row>
    <row r="339" spans="1:21" ht="21" hidden="1" x14ac:dyDescent="0.25">
      <c r="A339" s="1179"/>
      <c r="B339" s="753" t="s">
        <v>484</v>
      </c>
      <c r="C339" s="1180"/>
      <c r="D339" s="409" t="s">
        <v>464</v>
      </c>
      <c r="E339" s="409" t="s">
        <v>463</v>
      </c>
      <c r="F339" s="409" t="s">
        <v>483</v>
      </c>
      <c r="G339" s="1661"/>
      <c r="H339" s="1682">
        <f t="shared" ref="H339:J340" si="61">H340</f>
        <v>0</v>
      </c>
      <c r="I339" s="529">
        <f t="shared" si="61"/>
        <v>0</v>
      </c>
      <c r="J339" s="270">
        <f t="shared" si="61"/>
        <v>0</v>
      </c>
      <c r="N339" s="1200">
        <f t="shared" ref="N339:N340" si="62">N340</f>
        <v>0</v>
      </c>
      <c r="U339" s="1682">
        <f t="shared" ref="U339:U340" si="63">U340</f>
        <v>0</v>
      </c>
    </row>
    <row r="340" spans="1:21" ht="21" hidden="1" x14ac:dyDescent="0.25">
      <c r="A340" s="1179"/>
      <c r="B340" s="753" t="s">
        <v>482</v>
      </c>
      <c r="C340" s="1180"/>
      <c r="D340" s="409" t="s">
        <v>464</v>
      </c>
      <c r="E340" s="409" t="s">
        <v>463</v>
      </c>
      <c r="F340" s="409" t="s">
        <v>480</v>
      </c>
      <c r="G340" s="1662"/>
      <c r="H340" s="1682">
        <f t="shared" si="61"/>
        <v>0</v>
      </c>
      <c r="I340" s="529">
        <f t="shared" si="61"/>
        <v>0</v>
      </c>
      <c r="J340" s="270">
        <f t="shared" si="61"/>
        <v>0</v>
      </c>
      <c r="N340" s="1200">
        <f t="shared" si="62"/>
        <v>0</v>
      </c>
      <c r="U340" s="1682">
        <f t="shared" si="63"/>
        <v>0</v>
      </c>
    </row>
    <row r="341" spans="1:21" hidden="1" x14ac:dyDescent="0.25">
      <c r="A341" s="1179"/>
      <c r="B341" s="1182" t="s">
        <v>481</v>
      </c>
      <c r="C341" s="1183"/>
      <c r="D341" s="409" t="s">
        <v>464</v>
      </c>
      <c r="E341" s="409" t="s">
        <v>463</v>
      </c>
      <c r="F341" s="409" t="s">
        <v>480</v>
      </c>
      <c r="G341" s="1662" t="s">
        <v>26</v>
      </c>
      <c r="H341" s="1682">
        <v>0</v>
      </c>
      <c r="I341" s="529">
        <v>0</v>
      </c>
      <c r="J341" s="270">
        <v>0</v>
      </c>
      <c r="N341" s="1200">
        <v>0</v>
      </c>
      <c r="U341" s="1682">
        <v>0</v>
      </c>
    </row>
    <row r="342" spans="1:21" hidden="1" x14ac:dyDescent="0.25">
      <c r="A342" s="1179"/>
      <c r="B342" s="753" t="s">
        <v>479</v>
      </c>
      <c r="C342" s="1180"/>
      <c r="D342" s="409" t="s">
        <v>464</v>
      </c>
      <c r="E342" s="409" t="s">
        <v>463</v>
      </c>
      <c r="F342" s="409" t="s">
        <v>478</v>
      </c>
      <c r="G342" s="1661"/>
      <c r="H342" s="1682">
        <f>H343+H345</f>
        <v>0</v>
      </c>
      <c r="I342" s="529">
        <f>I343+I345</f>
        <v>0</v>
      </c>
      <c r="J342" s="270">
        <f>J343+J345</f>
        <v>0</v>
      </c>
      <c r="N342" s="1200">
        <f>N343+N345</f>
        <v>0</v>
      </c>
      <c r="U342" s="1682">
        <f>U343+U345</f>
        <v>0</v>
      </c>
    </row>
    <row r="343" spans="1:21" hidden="1" x14ac:dyDescent="0.25">
      <c r="A343" s="1179"/>
      <c r="B343" s="753" t="s">
        <v>477</v>
      </c>
      <c r="C343" s="1180"/>
      <c r="D343" s="409" t="s">
        <v>464</v>
      </c>
      <c r="E343" s="409" t="s">
        <v>463</v>
      </c>
      <c r="F343" s="409" t="s">
        <v>476</v>
      </c>
      <c r="G343" s="1662"/>
      <c r="H343" s="1682">
        <f>H344</f>
        <v>0</v>
      </c>
      <c r="I343" s="529">
        <f>I344</f>
        <v>0</v>
      </c>
      <c r="J343" s="270">
        <f>J344</f>
        <v>0</v>
      </c>
      <c r="N343" s="1200">
        <f>N344</f>
        <v>0</v>
      </c>
      <c r="U343" s="1682">
        <f>U344</f>
        <v>0</v>
      </c>
    </row>
    <row r="344" spans="1:21" ht="21" hidden="1" x14ac:dyDescent="0.25">
      <c r="A344" s="1179"/>
      <c r="B344" s="1182" t="s">
        <v>454</v>
      </c>
      <c r="C344" s="1183"/>
      <c r="D344" s="409" t="s">
        <v>464</v>
      </c>
      <c r="E344" s="409" t="s">
        <v>463</v>
      </c>
      <c r="F344" s="409" t="s">
        <v>476</v>
      </c>
      <c r="G344" s="1662" t="s">
        <v>1</v>
      </c>
      <c r="H344" s="1682"/>
      <c r="I344" s="529"/>
      <c r="J344" s="270"/>
      <c r="N344" s="1200"/>
      <c r="U344" s="1682"/>
    </row>
    <row r="345" spans="1:21" hidden="1" x14ac:dyDescent="0.25">
      <c r="A345" s="1179"/>
      <c r="B345" s="753" t="s">
        <v>475</v>
      </c>
      <c r="C345" s="1180"/>
      <c r="D345" s="409" t="s">
        <v>464</v>
      </c>
      <c r="E345" s="409" t="s">
        <v>463</v>
      </c>
      <c r="F345" s="409" t="s">
        <v>474</v>
      </c>
      <c r="G345" s="1662"/>
      <c r="H345" s="1682">
        <f>H346</f>
        <v>0</v>
      </c>
      <c r="I345" s="529">
        <f>I346</f>
        <v>0</v>
      </c>
      <c r="J345" s="270">
        <f>J346</f>
        <v>0</v>
      </c>
      <c r="N345" s="1200">
        <f>N346</f>
        <v>0</v>
      </c>
      <c r="U345" s="1682">
        <f>U346</f>
        <v>0</v>
      </c>
    </row>
    <row r="346" spans="1:21" ht="21" hidden="1" x14ac:dyDescent="0.25">
      <c r="A346" s="1179"/>
      <c r="B346" s="1182" t="s">
        <v>454</v>
      </c>
      <c r="C346" s="1183"/>
      <c r="D346" s="409" t="s">
        <v>464</v>
      </c>
      <c r="E346" s="409" t="s">
        <v>463</v>
      </c>
      <c r="F346" s="409" t="s">
        <v>474</v>
      </c>
      <c r="G346" s="1662" t="s">
        <v>1</v>
      </c>
      <c r="H346" s="1682">
        <v>0</v>
      </c>
      <c r="I346" s="529">
        <v>0</v>
      </c>
      <c r="J346" s="270">
        <v>0</v>
      </c>
      <c r="N346" s="1200">
        <v>0</v>
      </c>
      <c r="U346" s="1682">
        <v>0</v>
      </c>
    </row>
    <row r="347" spans="1:21" ht="27.75" customHeight="1" x14ac:dyDescent="0.25">
      <c r="A347" s="1179"/>
      <c r="B347" s="1205" t="s">
        <v>300</v>
      </c>
      <c r="C347" s="1180"/>
      <c r="D347" s="409" t="s">
        <v>464</v>
      </c>
      <c r="E347" s="409" t="s">
        <v>463</v>
      </c>
      <c r="F347" s="409" t="s">
        <v>299</v>
      </c>
      <c r="G347" s="1662"/>
      <c r="H347" s="1682">
        <f>H348</f>
        <v>600</v>
      </c>
      <c r="I347" s="529">
        <f>I348+I354</f>
        <v>450</v>
      </c>
      <c r="J347" s="270">
        <f>J348+J354</f>
        <v>500</v>
      </c>
      <c r="N347" s="1200">
        <f>N348</f>
        <v>650</v>
      </c>
      <c r="U347" s="1682">
        <f>U348</f>
        <v>700</v>
      </c>
    </row>
    <row r="348" spans="1:21" ht="21" x14ac:dyDescent="0.25">
      <c r="A348" s="1179"/>
      <c r="B348" s="1203" t="s">
        <v>298</v>
      </c>
      <c r="C348" s="1180"/>
      <c r="D348" s="409" t="s">
        <v>464</v>
      </c>
      <c r="E348" s="409" t="s">
        <v>463</v>
      </c>
      <c r="F348" s="409" t="s">
        <v>297</v>
      </c>
      <c r="G348" s="1662"/>
      <c r="H348" s="1682">
        <f t="shared" ref="H348:J349" si="64">H349</f>
        <v>600</v>
      </c>
      <c r="I348" s="529">
        <f t="shared" si="64"/>
        <v>450</v>
      </c>
      <c r="J348" s="270">
        <f t="shared" si="64"/>
        <v>500</v>
      </c>
      <c r="N348" s="1200">
        <f t="shared" ref="N348:N349" si="65">N349</f>
        <v>650</v>
      </c>
      <c r="U348" s="1682">
        <f t="shared" ref="U348:U349" si="66">U349</f>
        <v>700</v>
      </c>
    </row>
    <row r="349" spans="1:21" x14ac:dyDescent="0.25">
      <c r="A349" s="1233"/>
      <c r="B349" s="1205" t="s">
        <v>296</v>
      </c>
      <c r="C349" s="1180"/>
      <c r="D349" s="409" t="s">
        <v>464</v>
      </c>
      <c r="E349" s="409" t="s">
        <v>463</v>
      </c>
      <c r="F349" s="409" t="s">
        <v>294</v>
      </c>
      <c r="G349" s="1662"/>
      <c r="H349" s="1682">
        <f t="shared" si="64"/>
        <v>600</v>
      </c>
      <c r="I349" s="529">
        <f t="shared" si="64"/>
        <v>450</v>
      </c>
      <c r="J349" s="270">
        <f t="shared" si="64"/>
        <v>500</v>
      </c>
      <c r="N349" s="1200">
        <f t="shared" si="65"/>
        <v>650</v>
      </c>
      <c r="U349" s="1682">
        <f t="shared" si="66"/>
        <v>700</v>
      </c>
    </row>
    <row r="350" spans="1:21" ht="21" x14ac:dyDescent="0.25">
      <c r="A350" s="1233"/>
      <c r="B350" s="1182" t="s">
        <v>454</v>
      </c>
      <c r="C350" s="1183"/>
      <c r="D350" s="409" t="s">
        <v>464</v>
      </c>
      <c r="E350" s="409" t="s">
        <v>463</v>
      </c>
      <c r="F350" s="409" t="s">
        <v>294</v>
      </c>
      <c r="G350" s="1662" t="s">
        <v>1</v>
      </c>
      <c r="H350" s="1682">
        <v>600</v>
      </c>
      <c r="I350" s="529">
        <v>450</v>
      </c>
      <c r="J350" s="269">
        <v>500</v>
      </c>
      <c r="N350" s="1200">
        <v>650</v>
      </c>
      <c r="U350" s="1682">
        <v>700</v>
      </c>
    </row>
    <row r="351" spans="1:21" x14ac:dyDescent="0.25">
      <c r="A351" s="1233"/>
      <c r="B351" s="1255" t="s">
        <v>934</v>
      </c>
      <c r="C351" s="1183"/>
      <c r="D351" s="408" t="s">
        <v>534</v>
      </c>
      <c r="E351" s="409"/>
      <c r="F351" s="409"/>
      <c r="G351" s="1662"/>
      <c r="H351" s="1683">
        <f>H352</f>
        <v>1200</v>
      </c>
      <c r="I351" s="529"/>
      <c r="J351" s="269"/>
      <c r="K351" s="1439">
        <v>1200</v>
      </c>
      <c r="N351" s="1208">
        <f>N352</f>
        <v>1200</v>
      </c>
      <c r="U351" s="1683">
        <f>U352</f>
        <v>1200</v>
      </c>
    </row>
    <row r="352" spans="1:21" x14ac:dyDescent="0.25">
      <c r="A352" s="1233"/>
      <c r="B352" s="752" t="s">
        <v>920</v>
      </c>
      <c r="C352" s="1183"/>
      <c r="D352" s="408" t="s">
        <v>534</v>
      </c>
      <c r="E352" s="408" t="s">
        <v>488</v>
      </c>
      <c r="F352" s="408"/>
      <c r="G352" s="1662"/>
      <c r="H352" s="1683">
        <f>H353</f>
        <v>1200</v>
      </c>
      <c r="I352" s="529"/>
      <c r="J352" s="269"/>
      <c r="N352" s="1208">
        <f>N353</f>
        <v>1200</v>
      </c>
      <c r="U352" s="1683">
        <f>U353</f>
        <v>1200</v>
      </c>
    </row>
    <row r="353" spans="1:21" x14ac:dyDescent="0.25">
      <c r="A353" s="305"/>
      <c r="B353" s="753" t="s">
        <v>109</v>
      </c>
      <c r="C353" s="1183"/>
      <c r="D353" s="409" t="s">
        <v>534</v>
      </c>
      <c r="E353" s="409" t="s">
        <v>488</v>
      </c>
      <c r="F353" s="409" t="s">
        <v>84</v>
      </c>
      <c r="G353" s="1662"/>
      <c r="H353" s="1682">
        <f>H354</f>
        <v>1200</v>
      </c>
      <c r="I353" s="529"/>
      <c r="J353" s="269"/>
      <c r="N353" s="1200">
        <f>N354</f>
        <v>1200</v>
      </c>
      <c r="U353" s="1682">
        <f>U354</f>
        <v>1200</v>
      </c>
    </row>
    <row r="354" spans="1:21" x14ac:dyDescent="0.25">
      <c r="A354" s="273"/>
      <c r="B354" s="753" t="s">
        <v>109</v>
      </c>
      <c r="C354" s="1180"/>
      <c r="D354" s="409" t="s">
        <v>534</v>
      </c>
      <c r="E354" s="409" t="s">
        <v>488</v>
      </c>
      <c r="F354" s="409" t="s">
        <v>82</v>
      </c>
      <c r="G354" s="1662"/>
      <c r="H354" s="1682">
        <f>H355</f>
        <v>1200</v>
      </c>
      <c r="I354" s="529">
        <f>I355</f>
        <v>0</v>
      </c>
      <c r="J354" s="269">
        <f>J355</f>
        <v>0</v>
      </c>
      <c r="N354" s="1200">
        <f>N355</f>
        <v>1200</v>
      </c>
      <c r="U354" s="1682">
        <f>U355</f>
        <v>1200</v>
      </c>
    </row>
    <row r="355" spans="1:21" ht="21" x14ac:dyDescent="0.25">
      <c r="A355" s="305"/>
      <c r="B355" s="1205" t="s">
        <v>935</v>
      </c>
      <c r="C355" s="1180"/>
      <c r="D355" s="409" t="s">
        <v>534</v>
      </c>
      <c r="E355" s="409" t="s">
        <v>488</v>
      </c>
      <c r="F355" s="409" t="s">
        <v>919</v>
      </c>
      <c r="G355" s="1662"/>
      <c r="H355" s="1682">
        <f>H357</f>
        <v>1200</v>
      </c>
      <c r="I355" s="529">
        <f>I357</f>
        <v>0</v>
      </c>
      <c r="J355" s="269">
        <f>J357</f>
        <v>0</v>
      </c>
      <c r="N355" s="1200">
        <f>N357</f>
        <v>1200</v>
      </c>
      <c r="U355" s="1682">
        <f>U357</f>
        <v>1200</v>
      </c>
    </row>
    <row r="356" spans="1:21" hidden="1" x14ac:dyDescent="0.25">
      <c r="A356" s="304"/>
      <c r="B356" s="1256" t="s">
        <v>921</v>
      </c>
      <c r="C356" s="1257"/>
      <c r="D356" s="1193"/>
      <c r="E356" s="1193"/>
      <c r="F356" s="1193"/>
      <c r="G356" s="1663"/>
      <c r="H356" s="1688"/>
      <c r="I356" s="529"/>
      <c r="J356" s="269"/>
      <c r="N356" s="1258"/>
      <c r="U356" s="1688"/>
    </row>
    <row r="357" spans="1:21" ht="21.5" thickBot="1" x14ac:dyDescent="0.3">
      <c r="A357" s="778"/>
      <c r="B357" s="1259" t="s">
        <v>454</v>
      </c>
      <c r="C357" s="1260"/>
      <c r="D357" s="1261" t="s">
        <v>534</v>
      </c>
      <c r="E357" s="1261" t="s">
        <v>488</v>
      </c>
      <c r="F357" s="1261" t="s">
        <v>919</v>
      </c>
      <c r="G357" s="1672" t="s">
        <v>1</v>
      </c>
      <c r="H357" s="1689">
        <v>1200</v>
      </c>
      <c r="I357" s="529"/>
      <c r="J357" s="269"/>
      <c r="N357" s="1262">
        <v>1200</v>
      </c>
      <c r="U357" s="1689">
        <v>1200</v>
      </c>
    </row>
    <row r="358" spans="1:21" ht="21" hidden="1" x14ac:dyDescent="0.25">
      <c r="A358" s="291"/>
      <c r="B358" s="290" t="s">
        <v>469</v>
      </c>
      <c r="C358" s="289"/>
      <c r="D358" s="288" t="s">
        <v>464</v>
      </c>
      <c r="E358" s="288" t="s">
        <v>463</v>
      </c>
      <c r="F358" s="288" t="s">
        <v>468</v>
      </c>
      <c r="G358" s="288"/>
      <c r="H358" s="1263">
        <f t="shared" ref="H358:J360" si="67">H359</f>
        <v>0</v>
      </c>
      <c r="I358" s="277">
        <f t="shared" si="67"/>
        <v>0</v>
      </c>
      <c r="J358" s="276">
        <f t="shared" si="67"/>
        <v>0</v>
      </c>
      <c r="N358" s="1263">
        <f t="shared" ref="N358:N360" si="68">N359</f>
        <v>0</v>
      </c>
      <c r="U358" s="1263">
        <f t="shared" ref="U358:U360" si="69">U359</f>
        <v>0</v>
      </c>
    </row>
    <row r="359" spans="1:21" hidden="1" x14ac:dyDescent="0.25">
      <c r="A359" s="273"/>
      <c r="B359" s="285" t="s">
        <v>467</v>
      </c>
      <c r="C359" s="272"/>
      <c r="D359" s="271" t="s">
        <v>464</v>
      </c>
      <c r="E359" s="271" t="s">
        <v>463</v>
      </c>
      <c r="F359" s="271" t="s">
        <v>466</v>
      </c>
      <c r="G359" s="271"/>
      <c r="H359" s="1264">
        <f t="shared" si="67"/>
        <v>0</v>
      </c>
      <c r="I359" s="270">
        <f t="shared" si="67"/>
        <v>0</v>
      </c>
      <c r="J359" s="269">
        <f t="shared" si="67"/>
        <v>0</v>
      </c>
      <c r="N359" s="1264">
        <f t="shared" si="68"/>
        <v>0</v>
      </c>
      <c r="U359" s="1264">
        <f t="shared" si="69"/>
        <v>0</v>
      </c>
    </row>
    <row r="360" spans="1:21" hidden="1" x14ac:dyDescent="0.25">
      <c r="A360" s="305"/>
      <c r="B360" s="285" t="s">
        <v>465</v>
      </c>
      <c r="C360" s="272"/>
      <c r="D360" s="271" t="s">
        <v>464</v>
      </c>
      <c r="E360" s="271" t="s">
        <v>463</v>
      </c>
      <c r="F360" s="271" t="s">
        <v>462</v>
      </c>
      <c r="G360" s="271"/>
      <c r="H360" s="1264">
        <f t="shared" si="67"/>
        <v>0</v>
      </c>
      <c r="I360" s="270">
        <f t="shared" si="67"/>
        <v>0</v>
      </c>
      <c r="J360" s="269">
        <f t="shared" si="67"/>
        <v>0</v>
      </c>
      <c r="N360" s="1264">
        <f t="shared" si="68"/>
        <v>0</v>
      </c>
      <c r="U360" s="1264">
        <f t="shared" si="69"/>
        <v>0</v>
      </c>
    </row>
    <row r="361" spans="1:21" ht="20" hidden="1" x14ac:dyDescent="0.25">
      <c r="A361" s="304"/>
      <c r="B361" s="303" t="s">
        <v>454</v>
      </c>
      <c r="C361" s="302"/>
      <c r="D361" s="301" t="s">
        <v>464</v>
      </c>
      <c r="E361" s="301" t="s">
        <v>463</v>
      </c>
      <c r="F361" s="301" t="s">
        <v>462</v>
      </c>
      <c r="G361" s="301" t="s">
        <v>1</v>
      </c>
      <c r="H361" s="1265"/>
      <c r="I361" s="300"/>
      <c r="J361" s="299"/>
      <c r="N361" s="1265"/>
      <c r="U361" s="1265"/>
    </row>
    <row r="362" spans="1:21" ht="13" hidden="1" thickBot="1" x14ac:dyDescent="0.3">
      <c r="A362" s="437"/>
      <c r="B362" s="438"/>
      <c r="C362" s="439"/>
      <c r="D362" s="440"/>
      <c r="E362" s="440"/>
      <c r="F362" s="440"/>
      <c r="G362" s="440"/>
      <c r="H362" s="1266"/>
      <c r="I362" s="441"/>
      <c r="J362" s="442"/>
      <c r="N362" s="1266"/>
      <c r="U362" s="1266"/>
    </row>
    <row r="363" spans="1:21" ht="13" hidden="1" thickBot="1" x14ac:dyDescent="0.3">
      <c r="A363" s="298">
        <v>3</v>
      </c>
      <c r="B363" s="297" t="s">
        <v>461</v>
      </c>
      <c r="C363" s="296" t="s">
        <v>430</v>
      </c>
      <c r="D363" s="295"/>
      <c r="E363" s="295"/>
      <c r="F363" s="295"/>
      <c r="G363" s="295"/>
      <c r="H363" s="1267">
        <f>H364</f>
        <v>9607.1400000000012</v>
      </c>
      <c r="I363" s="293">
        <f>I364</f>
        <v>8212.5999999999985</v>
      </c>
      <c r="J363" s="292">
        <f>J364</f>
        <v>8263</v>
      </c>
      <c r="N363" s="1267">
        <f>N364</f>
        <v>9607.1400000000012</v>
      </c>
      <c r="U363" s="1267">
        <f>U364</f>
        <v>9607.1400000000012</v>
      </c>
    </row>
    <row r="364" spans="1:21" hidden="1" x14ac:dyDescent="0.25">
      <c r="A364" s="291"/>
      <c r="B364" s="290" t="s">
        <v>460</v>
      </c>
      <c r="C364" s="289"/>
      <c r="D364" s="288" t="s">
        <v>453</v>
      </c>
      <c r="E364" s="288" t="s">
        <v>459</v>
      </c>
      <c r="F364" s="288"/>
      <c r="G364" s="288"/>
      <c r="H364" s="1263">
        <f>H365+H378+H373</f>
        <v>9607.1400000000012</v>
      </c>
      <c r="I364" s="287">
        <f>I365+I378</f>
        <v>8212.5999999999985</v>
      </c>
      <c r="J364" s="286">
        <f>J365+J378</f>
        <v>8263</v>
      </c>
      <c r="N364" s="1263">
        <f>N365+N378+N373</f>
        <v>9607.1400000000012</v>
      </c>
      <c r="U364" s="1263">
        <f>U365+U378+U373</f>
        <v>9607.1400000000012</v>
      </c>
    </row>
    <row r="365" spans="1:21" hidden="1" x14ac:dyDescent="0.25">
      <c r="A365" s="273"/>
      <c r="B365" s="282" t="s">
        <v>87</v>
      </c>
      <c r="C365" s="279"/>
      <c r="D365" s="278" t="s">
        <v>453</v>
      </c>
      <c r="E365" s="278" t="s">
        <v>456</v>
      </c>
      <c r="F365" s="278"/>
      <c r="G365" s="278"/>
      <c r="H365" s="1268">
        <f t="shared" ref="H365:J368" si="70">H366</f>
        <v>7296.08</v>
      </c>
      <c r="I365" s="277">
        <f t="shared" si="70"/>
        <v>6962.0999999999995</v>
      </c>
      <c r="J365" s="276">
        <f t="shared" si="70"/>
        <v>6915</v>
      </c>
      <c r="N365" s="1268">
        <f t="shared" ref="N365:N368" si="71">N366</f>
        <v>7296.08</v>
      </c>
      <c r="U365" s="1268">
        <f t="shared" ref="U365:U368" si="72">U366</f>
        <v>7296.08</v>
      </c>
    </row>
    <row r="366" spans="1:21" ht="31.5" hidden="1" x14ac:dyDescent="0.25">
      <c r="A366" s="281"/>
      <c r="B366" s="307" t="s">
        <v>621</v>
      </c>
      <c r="C366" s="279"/>
      <c r="D366" s="278" t="s">
        <v>453</v>
      </c>
      <c r="E366" s="278" t="s">
        <v>456</v>
      </c>
      <c r="F366" s="278" t="s">
        <v>273</v>
      </c>
      <c r="G366" s="278"/>
      <c r="H366" s="1268">
        <f t="shared" si="70"/>
        <v>7296.08</v>
      </c>
      <c r="I366" s="277">
        <f t="shared" si="70"/>
        <v>6962.0999999999995</v>
      </c>
      <c r="J366" s="276">
        <f t="shared" si="70"/>
        <v>6915</v>
      </c>
      <c r="N366" s="1268">
        <f t="shared" si="71"/>
        <v>7296.08</v>
      </c>
      <c r="U366" s="1268">
        <f t="shared" si="72"/>
        <v>7296.08</v>
      </c>
    </row>
    <row r="367" spans="1:21" ht="30" hidden="1" x14ac:dyDescent="0.25">
      <c r="A367" s="281"/>
      <c r="B367" s="310" t="s">
        <v>261</v>
      </c>
      <c r="C367" s="272"/>
      <c r="D367" s="271" t="s">
        <v>453</v>
      </c>
      <c r="E367" s="271" t="s">
        <v>456</v>
      </c>
      <c r="F367" s="271" t="s">
        <v>260</v>
      </c>
      <c r="G367" s="271"/>
      <c r="H367" s="1264">
        <f t="shared" si="70"/>
        <v>7296.08</v>
      </c>
      <c r="I367" s="270">
        <f t="shared" si="70"/>
        <v>6962.0999999999995</v>
      </c>
      <c r="J367" s="269">
        <f t="shared" si="70"/>
        <v>6915</v>
      </c>
      <c r="N367" s="1264">
        <f t="shared" si="71"/>
        <v>7296.08</v>
      </c>
      <c r="U367" s="1264">
        <f t="shared" si="72"/>
        <v>7296.08</v>
      </c>
    </row>
    <row r="368" spans="1:21" hidden="1" x14ac:dyDescent="0.25">
      <c r="A368" s="281"/>
      <c r="B368" s="274" t="s">
        <v>259</v>
      </c>
      <c r="C368" s="272"/>
      <c r="D368" s="271" t="s">
        <v>453</v>
      </c>
      <c r="E368" s="271" t="s">
        <v>456</v>
      </c>
      <c r="F368" s="271" t="s">
        <v>258</v>
      </c>
      <c r="G368" s="271"/>
      <c r="H368" s="1264">
        <f t="shared" si="70"/>
        <v>7296.08</v>
      </c>
      <c r="I368" s="270">
        <f t="shared" si="70"/>
        <v>6962.0999999999995</v>
      </c>
      <c r="J368" s="269">
        <f t="shared" si="70"/>
        <v>6915</v>
      </c>
      <c r="N368" s="1264">
        <f t="shared" si="71"/>
        <v>7296.08</v>
      </c>
      <c r="U368" s="1264">
        <f t="shared" si="72"/>
        <v>7296.08</v>
      </c>
    </row>
    <row r="369" spans="1:21" hidden="1" x14ac:dyDescent="0.25">
      <c r="A369" s="281"/>
      <c r="B369" s="285" t="s">
        <v>351</v>
      </c>
      <c r="C369" s="272"/>
      <c r="D369" s="271" t="s">
        <v>453</v>
      </c>
      <c r="E369" s="271" t="s">
        <v>456</v>
      </c>
      <c r="F369" s="271" t="s">
        <v>254</v>
      </c>
      <c r="G369" s="271"/>
      <c r="H369" s="1264">
        <f>H370+H371+H372</f>
        <v>7296.08</v>
      </c>
      <c r="I369" s="270">
        <f>I370+I371+I372</f>
        <v>6962.0999999999995</v>
      </c>
      <c r="J369" s="269">
        <f>J370+J371+J372</f>
        <v>6915</v>
      </c>
      <c r="N369" s="1264">
        <f>N370+N371+N372</f>
        <v>7296.08</v>
      </c>
      <c r="U369" s="1264">
        <f>U370+U371+U372</f>
        <v>7296.08</v>
      </c>
    </row>
    <row r="370" spans="1:21" hidden="1" x14ac:dyDescent="0.25">
      <c r="A370" s="273"/>
      <c r="B370" s="284" t="s">
        <v>458</v>
      </c>
      <c r="C370" s="283"/>
      <c r="D370" s="271" t="s">
        <v>453</v>
      </c>
      <c r="E370" s="271" t="s">
        <v>456</v>
      </c>
      <c r="F370" s="271" t="s">
        <v>254</v>
      </c>
      <c r="G370" s="271" t="s">
        <v>255</v>
      </c>
      <c r="H370" s="1264">
        <f>4510.863-660.6</f>
        <v>3850.2630000000004</v>
      </c>
      <c r="I370" s="270">
        <v>4886.9669999999996</v>
      </c>
      <c r="J370" s="269">
        <v>5375.0079999999998</v>
      </c>
      <c r="N370" s="1264">
        <f>4510.863-660.6</f>
        <v>3850.2630000000004</v>
      </c>
      <c r="U370" s="1264">
        <f>4510.863-660.6</f>
        <v>3850.2630000000004</v>
      </c>
    </row>
    <row r="371" spans="1:21" ht="20" hidden="1" x14ac:dyDescent="0.25">
      <c r="A371" s="273"/>
      <c r="B371" s="284" t="s">
        <v>454</v>
      </c>
      <c r="C371" s="283"/>
      <c r="D371" s="271" t="s">
        <v>453</v>
      </c>
      <c r="E371" s="271" t="s">
        <v>456</v>
      </c>
      <c r="F371" s="271" t="s">
        <v>254</v>
      </c>
      <c r="G371" s="271" t="s">
        <v>1</v>
      </c>
      <c r="H371" s="1264">
        <f>1564.263+1880.841</f>
        <v>3445.1039999999998</v>
      </c>
      <c r="I371" s="270">
        <v>2074.1329999999998</v>
      </c>
      <c r="J371" s="269">
        <v>1538.992</v>
      </c>
      <c r="N371" s="1264">
        <f>1564.263+1880.841</f>
        <v>3445.1039999999998</v>
      </c>
      <c r="U371" s="1264">
        <f>1564.263+1880.841</f>
        <v>3445.1039999999998</v>
      </c>
    </row>
    <row r="372" spans="1:21" hidden="1" x14ac:dyDescent="0.25">
      <c r="A372" s="273"/>
      <c r="B372" s="284" t="s">
        <v>457</v>
      </c>
      <c r="C372" s="283"/>
      <c r="D372" s="271" t="s">
        <v>453</v>
      </c>
      <c r="E372" s="271" t="s">
        <v>456</v>
      </c>
      <c r="F372" s="271" t="s">
        <v>254</v>
      </c>
      <c r="G372" s="271" t="s">
        <v>91</v>
      </c>
      <c r="H372" s="1264">
        <v>0.71299999999999997</v>
      </c>
      <c r="I372" s="270">
        <v>1</v>
      </c>
      <c r="J372" s="269">
        <v>1</v>
      </c>
      <c r="N372" s="1264">
        <v>0.71299999999999997</v>
      </c>
      <c r="U372" s="1264">
        <v>0.71299999999999997</v>
      </c>
    </row>
    <row r="373" spans="1:21" ht="21" hidden="1" x14ac:dyDescent="0.25">
      <c r="A373" s="732"/>
      <c r="B373" s="752" t="s">
        <v>499</v>
      </c>
      <c r="C373" s="408"/>
      <c r="D373" s="408" t="s">
        <v>453</v>
      </c>
      <c r="E373" s="408" t="s">
        <v>456</v>
      </c>
      <c r="F373" s="408" t="s">
        <v>89</v>
      </c>
      <c r="G373" s="409"/>
      <c r="H373" s="1269">
        <f>H374</f>
        <v>660.6</v>
      </c>
      <c r="I373" s="529"/>
      <c r="J373" s="269"/>
      <c r="K373" s="530"/>
      <c r="N373" s="1269">
        <f>N374</f>
        <v>660.6</v>
      </c>
      <c r="U373" s="1269">
        <f>U374</f>
        <v>660.6</v>
      </c>
    </row>
    <row r="374" spans="1:21" hidden="1" x14ac:dyDescent="0.25">
      <c r="A374" s="732"/>
      <c r="B374" s="753" t="s">
        <v>109</v>
      </c>
      <c r="C374" s="409"/>
      <c r="D374" s="409" t="s">
        <v>453</v>
      </c>
      <c r="E374" s="409" t="s">
        <v>456</v>
      </c>
      <c r="F374" s="409" t="s">
        <v>84</v>
      </c>
      <c r="G374" s="409"/>
      <c r="H374" s="1270">
        <f>H375</f>
        <v>660.6</v>
      </c>
      <c r="I374" s="529"/>
      <c r="J374" s="269"/>
      <c r="K374" s="530"/>
      <c r="N374" s="1270">
        <f>N375</f>
        <v>660.6</v>
      </c>
      <c r="U374" s="1270">
        <f>U375</f>
        <v>660.6</v>
      </c>
    </row>
    <row r="375" spans="1:21" hidden="1" x14ac:dyDescent="0.25">
      <c r="A375" s="732"/>
      <c r="B375" s="753" t="s">
        <v>109</v>
      </c>
      <c r="C375" s="409"/>
      <c r="D375" s="409" t="s">
        <v>453</v>
      </c>
      <c r="E375" s="409" t="s">
        <v>456</v>
      </c>
      <c r="F375" s="409" t="s">
        <v>82</v>
      </c>
      <c r="G375" s="409"/>
      <c r="H375" s="1270">
        <f>H376</f>
        <v>660.6</v>
      </c>
      <c r="I375" s="529"/>
      <c r="J375" s="269"/>
      <c r="K375" s="530"/>
      <c r="N375" s="1270">
        <f>N376</f>
        <v>660.6</v>
      </c>
      <c r="U375" s="1270">
        <f>U376</f>
        <v>660.6</v>
      </c>
    </row>
    <row r="376" spans="1:21" hidden="1" x14ac:dyDescent="0.25">
      <c r="A376" s="732"/>
      <c r="B376" s="1152" t="s">
        <v>830</v>
      </c>
      <c r="C376" s="409"/>
      <c r="D376" s="409" t="s">
        <v>453</v>
      </c>
      <c r="E376" s="409" t="s">
        <v>456</v>
      </c>
      <c r="F376" s="409" t="s">
        <v>831</v>
      </c>
      <c r="G376" s="409"/>
      <c r="H376" s="1270">
        <f>H377</f>
        <v>660.6</v>
      </c>
      <c r="I376" s="529"/>
      <c r="J376" s="269"/>
      <c r="K376" s="530"/>
      <c r="N376" s="1270">
        <f>N377</f>
        <v>660.6</v>
      </c>
      <c r="U376" s="1270">
        <f>U377</f>
        <v>660.6</v>
      </c>
    </row>
    <row r="377" spans="1:21" ht="13" hidden="1" x14ac:dyDescent="0.25">
      <c r="A377" s="732"/>
      <c r="B377" s="754" t="s">
        <v>256</v>
      </c>
      <c r="C377" s="409"/>
      <c r="D377" s="409" t="s">
        <v>453</v>
      </c>
      <c r="E377" s="409" t="s">
        <v>456</v>
      </c>
      <c r="F377" s="409" t="s">
        <v>831</v>
      </c>
      <c r="G377" s="409" t="s">
        <v>255</v>
      </c>
      <c r="H377" s="1270">
        <v>660.6</v>
      </c>
      <c r="I377" s="529"/>
      <c r="J377" s="269"/>
      <c r="K377" s="530"/>
      <c r="N377" s="1270">
        <v>660.6</v>
      </c>
      <c r="U377" s="1270">
        <v>660.6</v>
      </c>
    </row>
    <row r="378" spans="1:21" hidden="1" x14ac:dyDescent="0.25">
      <c r="A378" s="751"/>
      <c r="B378" s="282" t="s">
        <v>244</v>
      </c>
      <c r="C378" s="279"/>
      <c r="D378" s="278" t="s">
        <v>453</v>
      </c>
      <c r="E378" s="278" t="s">
        <v>452</v>
      </c>
      <c r="F378" s="278"/>
      <c r="G378" s="278"/>
      <c r="H378" s="1268">
        <f t="shared" ref="H378:J379" si="73">H379</f>
        <v>1650.46</v>
      </c>
      <c r="I378" s="277">
        <f t="shared" si="73"/>
        <v>1250.5</v>
      </c>
      <c r="J378" s="276">
        <f t="shared" si="73"/>
        <v>1348</v>
      </c>
      <c r="N378" s="1268">
        <f t="shared" ref="N378:N379" si="74">N379</f>
        <v>1650.46</v>
      </c>
      <c r="U378" s="1268">
        <f t="shared" ref="U378:U379" si="75">U379</f>
        <v>1650.46</v>
      </c>
    </row>
    <row r="379" spans="1:21" ht="31.5" hidden="1" x14ac:dyDescent="0.25">
      <c r="A379" s="281"/>
      <c r="B379" s="307" t="s">
        <v>621</v>
      </c>
      <c r="C379" s="279"/>
      <c r="D379" s="278" t="s">
        <v>453</v>
      </c>
      <c r="E379" s="278" t="s">
        <v>452</v>
      </c>
      <c r="F379" s="278" t="s">
        <v>273</v>
      </c>
      <c r="G379" s="278"/>
      <c r="H379" s="1268">
        <f t="shared" si="73"/>
        <v>1650.46</v>
      </c>
      <c r="I379" s="277">
        <f t="shared" si="73"/>
        <v>1250.5</v>
      </c>
      <c r="J379" s="276">
        <f t="shared" si="73"/>
        <v>1348</v>
      </c>
      <c r="N379" s="1268">
        <f t="shared" si="74"/>
        <v>1650.46</v>
      </c>
      <c r="U379" s="1268">
        <f t="shared" si="75"/>
        <v>1650.46</v>
      </c>
    </row>
    <row r="380" spans="1:21" hidden="1" x14ac:dyDescent="0.25">
      <c r="A380" s="273"/>
      <c r="B380" s="310" t="s">
        <v>836</v>
      </c>
      <c r="C380" s="272"/>
      <c r="D380" s="271" t="s">
        <v>453</v>
      </c>
      <c r="E380" s="271" t="s">
        <v>452</v>
      </c>
      <c r="F380" s="271" t="s">
        <v>251</v>
      </c>
      <c r="G380" s="271"/>
      <c r="H380" s="1264">
        <f>H381+H384</f>
        <v>1650.46</v>
      </c>
      <c r="I380" s="270">
        <f>I381+I384</f>
        <v>1250.5</v>
      </c>
      <c r="J380" s="269">
        <f>J381+J384</f>
        <v>1348</v>
      </c>
      <c r="N380" s="1264">
        <f>N381+N384</f>
        <v>1650.46</v>
      </c>
      <c r="U380" s="1264">
        <f>U381+U384</f>
        <v>1650.46</v>
      </c>
    </row>
    <row r="381" spans="1:21" hidden="1" x14ac:dyDescent="0.25">
      <c r="A381" s="273"/>
      <c r="B381" s="274" t="s">
        <v>250</v>
      </c>
      <c r="C381" s="272"/>
      <c r="D381" s="271" t="s">
        <v>453</v>
      </c>
      <c r="E381" s="271" t="s">
        <v>452</v>
      </c>
      <c r="F381" s="271" t="s">
        <v>249</v>
      </c>
      <c r="G381" s="271"/>
      <c r="H381" s="1264">
        <f t="shared" ref="H381:J382" si="76">H382</f>
        <v>1650.46</v>
      </c>
      <c r="I381" s="270">
        <f t="shared" si="76"/>
        <v>1250.5</v>
      </c>
      <c r="J381" s="269">
        <f t="shared" si="76"/>
        <v>1348</v>
      </c>
      <c r="N381" s="1264">
        <f t="shared" ref="N381:N382" si="77">N382</f>
        <v>1650.46</v>
      </c>
      <c r="U381" s="1264">
        <f t="shared" ref="U381:U382" si="78">U382</f>
        <v>1650.46</v>
      </c>
    </row>
    <row r="382" spans="1:21" ht="13" hidden="1" x14ac:dyDescent="0.25">
      <c r="A382" s="273"/>
      <c r="B382" s="90" t="s">
        <v>248</v>
      </c>
      <c r="C382" s="272"/>
      <c r="D382" s="271" t="s">
        <v>453</v>
      </c>
      <c r="E382" s="271" t="s">
        <v>452</v>
      </c>
      <c r="F382" s="271" t="s">
        <v>243</v>
      </c>
      <c r="G382" s="271"/>
      <c r="H382" s="1264">
        <f t="shared" si="76"/>
        <v>1650.46</v>
      </c>
      <c r="I382" s="270">
        <f t="shared" si="76"/>
        <v>1250.5</v>
      </c>
      <c r="J382" s="269">
        <f t="shared" si="76"/>
        <v>1348</v>
      </c>
      <c r="N382" s="1264">
        <f t="shared" si="77"/>
        <v>1650.46</v>
      </c>
      <c r="U382" s="1264">
        <f t="shared" si="78"/>
        <v>1650.46</v>
      </c>
    </row>
    <row r="383" spans="1:21" ht="20.5" hidden="1" thickBot="1" x14ac:dyDescent="0.3">
      <c r="A383" s="268"/>
      <c r="B383" s="267" t="s">
        <v>454</v>
      </c>
      <c r="C383" s="266"/>
      <c r="D383" s="265" t="s">
        <v>453</v>
      </c>
      <c r="E383" s="265" t="s">
        <v>452</v>
      </c>
      <c r="F383" s="265" t="s">
        <v>243</v>
      </c>
      <c r="G383" s="265" t="s">
        <v>1</v>
      </c>
      <c r="H383" s="1271">
        <v>1650.46</v>
      </c>
      <c r="I383" s="264">
        <v>1250.5</v>
      </c>
      <c r="J383" s="407">
        <v>1348</v>
      </c>
      <c r="N383" s="1271">
        <v>1650.46</v>
      </c>
      <c r="U383" s="1271">
        <v>1650.46</v>
      </c>
    </row>
    <row r="384" spans="1:21" x14ac:dyDescent="0.25">
      <c r="H384" s="1272"/>
      <c r="N384" s="1272"/>
      <c r="U384" s="1272"/>
    </row>
    <row r="385" spans="8:21" x14ac:dyDescent="0.25">
      <c r="H385" s="1272"/>
      <c r="N385" s="1272"/>
      <c r="U385" s="1272"/>
    </row>
    <row r="386" spans="8:21" x14ac:dyDescent="0.25">
      <c r="H386" s="1272"/>
      <c r="N386" s="1272"/>
      <c r="U386" s="1272"/>
    </row>
  </sheetData>
  <mergeCells count="5">
    <mergeCell ref="H5:U5"/>
    <mergeCell ref="B12:H12"/>
    <mergeCell ref="A13:U13"/>
    <mergeCell ref="A14:U14"/>
    <mergeCell ref="A15:U15"/>
  </mergeCells>
  <pageMargins left="0.59055118110236227" right="0.59055118110236227" top="0.62992125984251968" bottom="0.15748031496062992" header="0.31496062992125984" footer="0.31496062992125984"/>
  <pageSetup scale="54" firstPageNumber="55" fitToHeight="3" orientation="portrait" useFirstPageNumber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576"/>
  <sheetViews>
    <sheetView tabSelected="1" topLeftCell="A4" zoomScale="78" zoomScaleNormal="78" zoomScaleSheetLayoutView="86" workbookViewId="0">
      <selection activeCell="AD294" sqref="AD294"/>
    </sheetView>
  </sheetViews>
  <sheetFormatPr defaultColWidth="9.1796875" defaultRowHeight="12.5" x14ac:dyDescent="0.25"/>
  <cols>
    <col min="1" max="1" width="5.26953125" style="1" customWidth="1"/>
    <col min="2" max="2" width="62.453125" style="6" customWidth="1"/>
    <col min="3" max="3" width="10" style="5" customWidth="1"/>
    <col min="4" max="4" width="9.26953125" style="4" customWidth="1"/>
    <col min="5" max="5" width="10.453125" style="4" customWidth="1"/>
    <col min="6" max="6" width="11.54296875" style="4" customWidth="1"/>
    <col min="7" max="7" width="10.26953125" style="4" customWidth="1"/>
    <col min="8" max="8" width="14.7265625" style="2249" customWidth="1"/>
    <col min="9" max="9" width="18.7265625" style="2249" hidden="1" customWidth="1"/>
    <col min="10" max="10" width="15.7265625" style="237" hidden="1" customWidth="1"/>
    <col min="11" max="11" width="11.1796875" style="237" hidden="1" customWidth="1"/>
    <col min="12" max="12" width="14.7265625" style="237" hidden="1" customWidth="1"/>
    <col min="13" max="13" width="13.1796875" style="237" hidden="1" customWidth="1"/>
    <col min="14" max="14" width="14.7265625" style="2249" customWidth="1"/>
    <col min="15" max="16" width="8.81640625" style="237" hidden="1" customWidth="1"/>
    <col min="17" max="17" width="15.453125" style="237" hidden="1" customWidth="1"/>
    <col min="18" max="20" width="9.1796875" style="237" hidden="1" customWidth="1"/>
    <col min="21" max="21" width="14.7265625" style="2249" customWidth="1"/>
    <col min="22" max="22" width="10.453125" style="1" hidden="1" customWidth="1"/>
    <col min="23" max="24" width="10.1796875" style="1" hidden="1" customWidth="1"/>
    <col min="25" max="25" width="9.1796875" style="1" hidden="1" customWidth="1"/>
    <col min="26" max="26" width="14.81640625" style="1" hidden="1" customWidth="1"/>
    <col min="27" max="27" width="17.1796875" style="1" hidden="1" customWidth="1"/>
    <col min="28" max="28" width="13.54296875" style="1" hidden="1" customWidth="1"/>
    <col min="29" max="29" width="18.453125" style="1" customWidth="1"/>
    <col min="30" max="30" width="19.7265625" style="1" customWidth="1"/>
    <col min="31" max="16384" width="9.1796875" style="1"/>
  </cols>
  <sheetData>
    <row r="1" spans="5:22" ht="13" customHeight="1" x14ac:dyDescent="0.35">
      <c r="H1" s="3358" t="s">
        <v>625</v>
      </c>
      <c r="I1" s="3358"/>
      <c r="J1" s="3358"/>
      <c r="K1" s="3358"/>
      <c r="L1" s="3358"/>
      <c r="M1" s="3358"/>
      <c r="N1" s="3358"/>
      <c r="O1" s="3358"/>
      <c r="P1" s="3358"/>
      <c r="Q1" s="3358"/>
      <c r="R1" s="3358"/>
      <c r="S1" s="3358"/>
      <c r="T1" s="3358"/>
      <c r="U1" s="3358"/>
    </row>
    <row r="2" spans="5:22" ht="15.65" customHeight="1" x14ac:dyDescent="0.35">
      <c r="H2" s="3358" t="s">
        <v>450</v>
      </c>
      <c r="I2" s="3358"/>
      <c r="J2" s="3358"/>
      <c r="K2" s="3358"/>
      <c r="L2" s="3358"/>
      <c r="M2" s="3358"/>
      <c r="N2" s="3358"/>
      <c r="O2" s="3358"/>
      <c r="P2" s="3358"/>
      <c r="Q2" s="3358"/>
      <c r="R2" s="3358"/>
      <c r="S2" s="3358"/>
      <c r="T2" s="3358"/>
      <c r="U2" s="3358"/>
    </row>
    <row r="3" spans="5:22" ht="16" customHeight="1" x14ac:dyDescent="0.35">
      <c r="H3" s="3358" t="s">
        <v>449</v>
      </c>
      <c r="I3" s="3358"/>
      <c r="J3" s="3358"/>
      <c r="K3" s="3358"/>
      <c r="L3" s="3358"/>
      <c r="M3" s="3358"/>
      <c r="N3" s="3358"/>
      <c r="O3" s="3358"/>
      <c r="P3" s="3358"/>
      <c r="Q3" s="3358"/>
      <c r="R3" s="3358"/>
      <c r="S3" s="3358"/>
      <c r="T3" s="3358"/>
      <c r="U3" s="3358"/>
    </row>
    <row r="4" spans="5:22" ht="14.5" customHeight="1" x14ac:dyDescent="0.35">
      <c r="H4" s="3358" t="s">
        <v>448</v>
      </c>
      <c r="I4" s="3358"/>
      <c r="J4" s="3358"/>
      <c r="K4" s="3358"/>
      <c r="L4" s="3358"/>
      <c r="M4" s="3358"/>
      <c r="N4" s="3358"/>
      <c r="O4" s="3358"/>
      <c r="P4" s="3358"/>
      <c r="Q4" s="3358"/>
      <c r="R4" s="3358"/>
      <c r="S4" s="3358"/>
      <c r="T4" s="3358"/>
      <c r="U4" s="3358"/>
    </row>
    <row r="5" spans="5:22" ht="16" customHeight="1" x14ac:dyDescent="0.25">
      <c r="H5" s="3357" t="s">
        <v>1238</v>
      </c>
      <c r="I5" s="3357"/>
      <c r="J5" s="3357"/>
      <c r="K5" s="3357"/>
      <c r="L5" s="3357"/>
      <c r="M5" s="3357"/>
      <c r="N5" s="3357"/>
      <c r="O5" s="3357"/>
      <c r="P5" s="3357"/>
      <c r="Q5" s="3357"/>
      <c r="R5" s="3357"/>
      <c r="S5" s="3357"/>
      <c r="T5" s="3357"/>
      <c r="U5" s="3357"/>
    </row>
    <row r="6" spans="5:22" ht="14.5" customHeight="1" x14ac:dyDescent="0.25"/>
    <row r="7" spans="5:22" ht="15.5" x14ac:dyDescent="0.35">
      <c r="E7" s="1030"/>
      <c r="F7" s="1030"/>
      <c r="G7" s="1030"/>
      <c r="H7" s="410"/>
      <c r="I7" s="1825"/>
      <c r="J7" s="1825"/>
      <c r="K7" s="1825"/>
      <c r="L7" s="1825"/>
      <c r="M7" s="1825"/>
      <c r="O7" s="1825"/>
      <c r="P7" s="1825"/>
      <c r="Q7" s="1825"/>
      <c r="R7" s="1825"/>
      <c r="U7" s="410" t="s">
        <v>946</v>
      </c>
    </row>
    <row r="8" spans="5:22" ht="15.5" x14ac:dyDescent="0.35">
      <c r="E8" s="261"/>
      <c r="F8" s="261"/>
      <c r="G8" s="261"/>
      <c r="H8" s="410"/>
      <c r="I8" s="1825"/>
      <c r="J8" s="1825"/>
      <c r="K8" s="1825"/>
      <c r="L8" s="1825"/>
      <c r="M8" s="1825"/>
      <c r="P8" s="1825"/>
      <c r="Q8" s="1825"/>
      <c r="R8" s="1825"/>
      <c r="U8" s="410" t="s">
        <v>450</v>
      </c>
    </row>
    <row r="9" spans="5:22" ht="15.5" x14ac:dyDescent="0.35">
      <c r="E9" s="261"/>
      <c r="F9" s="261"/>
      <c r="G9" s="261"/>
      <c r="H9" s="410"/>
      <c r="I9" s="1825"/>
      <c r="J9" s="1825"/>
      <c r="K9" s="1825"/>
      <c r="L9" s="1825"/>
      <c r="M9" s="1825"/>
      <c r="O9" s="1825"/>
      <c r="P9" s="1825"/>
      <c r="Q9" s="1825"/>
      <c r="R9" s="1825"/>
      <c r="U9" s="410" t="s">
        <v>449</v>
      </c>
    </row>
    <row r="10" spans="5:22" ht="15.5" x14ac:dyDescent="0.35">
      <c r="E10" s="261"/>
      <c r="F10" s="261"/>
      <c r="G10" s="261"/>
      <c r="H10" s="410"/>
      <c r="I10" s="1825"/>
      <c r="J10" s="1825"/>
      <c r="K10" s="1825"/>
      <c r="L10" s="1825"/>
      <c r="M10" s="1825"/>
      <c r="O10" s="1825"/>
      <c r="P10" s="1825"/>
      <c r="Q10" s="1825"/>
      <c r="R10" s="1825"/>
      <c r="U10" s="410" t="s">
        <v>448</v>
      </c>
    </row>
    <row r="11" spans="5:22" ht="15.5" x14ac:dyDescent="0.25">
      <c r="E11" s="388"/>
      <c r="F11" s="388"/>
      <c r="G11" s="388"/>
      <c r="H11" s="3357" t="s">
        <v>1224</v>
      </c>
      <c r="I11" s="3357"/>
      <c r="J11" s="3357"/>
      <c r="K11" s="3357"/>
      <c r="L11" s="3357"/>
      <c r="M11" s="3357"/>
      <c r="N11" s="3357"/>
      <c r="O11" s="3357"/>
      <c r="P11" s="3357"/>
      <c r="Q11" s="3357"/>
      <c r="R11" s="3357"/>
      <c r="S11" s="3357"/>
      <c r="T11" s="3357"/>
      <c r="U11" s="3357"/>
      <c r="V11" s="1824"/>
    </row>
    <row r="12" spans="5:22" ht="15.5" hidden="1" x14ac:dyDescent="0.35">
      <c r="I12" s="413"/>
      <c r="J12" s="413"/>
      <c r="K12" s="413"/>
      <c r="L12" s="413"/>
      <c r="M12" s="2249"/>
      <c r="O12" s="410"/>
      <c r="P12" s="410"/>
      <c r="Q12" s="410"/>
      <c r="R12" s="410"/>
    </row>
    <row r="13" spans="5:22" ht="15.5" hidden="1" x14ac:dyDescent="0.35">
      <c r="E13" s="254"/>
      <c r="F13" s="254"/>
      <c r="G13" s="254"/>
      <c r="H13" s="2902" t="s">
        <v>446</v>
      </c>
      <c r="I13" s="413"/>
      <c r="J13" s="415"/>
      <c r="K13" s="415"/>
      <c r="L13" s="415"/>
      <c r="M13" s="2902"/>
      <c r="N13" s="2902" t="s">
        <v>446</v>
      </c>
      <c r="O13" s="410"/>
      <c r="P13" s="410"/>
      <c r="Q13" s="410"/>
      <c r="R13" s="410"/>
      <c r="U13" s="2902" t="s">
        <v>446</v>
      </c>
    </row>
    <row r="14" spans="5:22" ht="15.5" hidden="1" x14ac:dyDescent="0.35">
      <c r="E14" s="254"/>
      <c r="F14" s="254"/>
      <c r="G14" s="254"/>
      <c r="H14" s="1827"/>
      <c r="I14" s="413"/>
      <c r="J14" s="415"/>
      <c r="K14" s="415"/>
      <c r="L14" s="415"/>
      <c r="M14" s="1827"/>
      <c r="N14" s="1827"/>
      <c r="P14" s="410"/>
      <c r="Q14" s="410"/>
      <c r="U14" s="1827"/>
    </row>
    <row r="15" spans="5:22" ht="15.5" hidden="1" x14ac:dyDescent="0.35">
      <c r="E15" s="254"/>
      <c r="F15" s="254"/>
      <c r="G15" s="254"/>
      <c r="H15" s="2902" t="s">
        <v>848</v>
      </c>
      <c r="I15" s="413"/>
      <c r="J15" s="415"/>
      <c r="K15" s="415"/>
      <c r="L15" s="415"/>
      <c r="M15" s="2902"/>
      <c r="N15" s="2902" t="s">
        <v>848</v>
      </c>
      <c r="O15" s="410"/>
      <c r="P15" s="410"/>
      <c r="Q15" s="410"/>
      <c r="R15" s="410"/>
      <c r="U15" s="2902" t="s">
        <v>848</v>
      </c>
    </row>
    <row r="16" spans="5:22" ht="15.5" hidden="1" x14ac:dyDescent="0.35">
      <c r="H16" s="393"/>
      <c r="I16" s="1828">
        <v>73707.5</v>
      </c>
      <c r="J16" s="413"/>
      <c r="K16" s="413"/>
      <c r="L16" s="413"/>
      <c r="M16" s="2249"/>
      <c r="N16" s="393"/>
      <c r="O16" s="410"/>
      <c r="P16" s="410"/>
      <c r="Q16" s="410"/>
      <c r="U16" s="393"/>
    </row>
    <row r="17" spans="1:30" ht="13" hidden="1" x14ac:dyDescent="0.3">
      <c r="G17" s="392"/>
      <c r="H17" s="393"/>
      <c r="I17" s="1829">
        <v>3685.4</v>
      </c>
      <c r="N17" s="393"/>
      <c r="U17" s="393"/>
    </row>
    <row r="18" spans="1:30" ht="15.5" hidden="1" x14ac:dyDescent="0.3">
      <c r="B18" s="3387"/>
      <c r="C18" s="3387"/>
      <c r="D18" s="3387"/>
      <c r="E18" s="3387"/>
      <c r="F18" s="3387"/>
      <c r="G18" s="3387"/>
      <c r="H18" s="3387"/>
      <c r="I18" s="1830" t="e">
        <f>I16-I17-#REF!</f>
        <v>#REF!</v>
      </c>
      <c r="N18" s="237"/>
      <c r="U18" s="237"/>
    </row>
    <row r="19" spans="1:30" ht="15.65" customHeight="1" x14ac:dyDescent="0.25">
      <c r="A19" s="3388" t="s">
        <v>614</v>
      </c>
      <c r="B19" s="3388"/>
      <c r="C19" s="3388"/>
      <c r="D19" s="3388"/>
      <c r="E19" s="3388"/>
      <c r="F19" s="3388"/>
      <c r="G19" s="3388"/>
      <c r="H19" s="3388"/>
      <c r="I19" s="3388"/>
      <c r="J19" s="3388"/>
      <c r="K19" s="3388"/>
      <c r="L19" s="3388"/>
      <c r="M19" s="3388"/>
      <c r="N19" s="3388"/>
      <c r="O19" s="3388"/>
      <c r="P19" s="3388"/>
      <c r="Q19" s="3388"/>
      <c r="R19" s="3388"/>
      <c r="S19" s="3388"/>
      <c r="T19" s="3388"/>
      <c r="U19" s="3388"/>
      <c r="AA19" s="1831"/>
    </row>
    <row r="20" spans="1:30" ht="15.65" customHeight="1" x14ac:dyDescent="0.25">
      <c r="A20" s="3388" t="s">
        <v>613</v>
      </c>
      <c r="B20" s="3388"/>
      <c r="C20" s="3388"/>
      <c r="D20" s="3388"/>
      <c r="E20" s="3388"/>
      <c r="F20" s="3388"/>
      <c r="G20" s="3388"/>
      <c r="H20" s="3388"/>
      <c r="I20" s="3388"/>
      <c r="J20" s="3388"/>
      <c r="K20" s="3388"/>
      <c r="L20" s="3388"/>
      <c r="M20" s="3388"/>
      <c r="N20" s="3388"/>
      <c r="O20" s="3388"/>
      <c r="P20" s="3388"/>
      <c r="Q20" s="3388"/>
      <c r="R20" s="3388"/>
      <c r="S20" s="3388"/>
      <c r="T20" s="3388"/>
      <c r="U20" s="3388"/>
      <c r="AA20" s="1832">
        <f>AA22-99005.965</f>
        <v>41294.817879999988</v>
      </c>
      <c r="AB20" s="237">
        <f>AB22-99831.286</f>
        <v>12179.24500000001</v>
      </c>
    </row>
    <row r="21" spans="1:30" ht="15" customHeight="1" x14ac:dyDescent="0.25">
      <c r="A21" s="3388" t="s">
        <v>1203</v>
      </c>
      <c r="B21" s="3388"/>
      <c r="C21" s="3388"/>
      <c r="D21" s="3388"/>
      <c r="E21" s="3388"/>
      <c r="F21" s="3388"/>
      <c r="G21" s="3388"/>
      <c r="H21" s="3388"/>
      <c r="I21" s="3388"/>
      <c r="J21" s="3388"/>
      <c r="K21" s="3388"/>
      <c r="L21" s="3388"/>
      <c r="M21" s="3388"/>
      <c r="N21" s="3388"/>
      <c r="O21" s="3388"/>
      <c r="P21" s="3388"/>
      <c r="Q21" s="3388"/>
      <c r="R21" s="3388"/>
      <c r="S21" s="3388"/>
      <c r="T21" s="3388"/>
      <c r="U21" s="3388"/>
      <c r="AA21" s="1833"/>
      <c r="AC21" s="237"/>
    </row>
    <row r="22" spans="1:30" ht="16" thickBot="1" x14ac:dyDescent="0.4">
      <c r="A22" s="375"/>
      <c r="B22" s="236"/>
      <c r="C22" s="235"/>
      <c r="D22" s="234"/>
      <c r="E22" s="234"/>
      <c r="F22" s="234"/>
      <c r="G22" s="234"/>
      <c r="H22" s="1834"/>
      <c r="I22" s="2903"/>
      <c r="N22" s="1834"/>
      <c r="U22" s="1834" t="s">
        <v>829</v>
      </c>
      <c r="AA22" s="237">
        <f>N24+AA24</f>
        <v>140300.78287999998</v>
      </c>
      <c r="AB22" s="237">
        <f>U24+AB24</f>
        <v>112010.531</v>
      </c>
    </row>
    <row r="23" spans="1:30" ht="13" thickBot="1" x14ac:dyDescent="0.3">
      <c r="A23" s="1158" t="s">
        <v>611</v>
      </c>
      <c r="B23" s="1159" t="s">
        <v>322</v>
      </c>
      <c r="C23" s="1160" t="s">
        <v>610</v>
      </c>
      <c r="D23" s="1161" t="s">
        <v>609</v>
      </c>
      <c r="E23" s="1161" t="s">
        <v>608</v>
      </c>
      <c r="F23" s="1161" t="s">
        <v>607</v>
      </c>
      <c r="G23" s="1658" t="s">
        <v>606</v>
      </c>
      <c r="H23" s="1673" t="s">
        <v>904</v>
      </c>
      <c r="I23" s="846" t="s">
        <v>604</v>
      </c>
      <c r="J23" s="368" t="s">
        <v>603</v>
      </c>
      <c r="K23" s="1855"/>
      <c r="L23" s="1855"/>
      <c r="M23" s="1855"/>
      <c r="N23" s="1162" t="s">
        <v>996</v>
      </c>
      <c r="O23" s="1855"/>
      <c r="P23" s="1855"/>
      <c r="Q23" s="1855"/>
      <c r="R23" s="1855"/>
      <c r="S23" s="1855"/>
      <c r="T23" s="1855"/>
      <c r="U23" s="1673" t="s">
        <v>1204</v>
      </c>
    </row>
    <row r="24" spans="1:30" ht="13.5" thickBot="1" x14ac:dyDescent="0.3">
      <c r="A24" s="1163"/>
      <c r="B24" s="1164" t="s">
        <v>618</v>
      </c>
      <c r="C24" s="1165"/>
      <c r="D24" s="1166"/>
      <c r="E24" s="1166"/>
      <c r="F24" s="1166"/>
      <c r="G24" s="1659"/>
      <c r="H24" s="2732">
        <f>H26+H538+H566</f>
        <v>125614.26163000002</v>
      </c>
      <c r="I24" s="2733">
        <f>I25+I59+I517</f>
        <v>41834.239999999998</v>
      </c>
      <c r="J24" s="2734">
        <f>J25+J59+J517</f>
        <v>39496.512999999999</v>
      </c>
      <c r="K24" s="2735">
        <f>K27+K139+K171+K191+K230+K237+K251+K271+K273+K284+K324+K410+K430+K457+K475+K505</f>
        <v>32490.631000000001</v>
      </c>
      <c r="L24" s="2735">
        <v>95708.6</v>
      </c>
      <c r="M24" s="2735">
        <f>H24-L24</f>
        <v>29905.661630000017</v>
      </c>
      <c r="N24" s="2736">
        <f>N26+N538</f>
        <v>137773.94387999998</v>
      </c>
      <c r="O24" s="2735"/>
      <c r="P24" s="2735"/>
      <c r="Q24" s="2735"/>
      <c r="R24" s="2735"/>
      <c r="S24" s="2735"/>
      <c r="T24" s="2735"/>
      <c r="U24" s="2732">
        <f>U26+U538</f>
        <v>106949.63</v>
      </c>
      <c r="AA24" s="1">
        <v>2526.8389999999999</v>
      </c>
      <c r="AB24" s="1">
        <v>5060.9009999999998</v>
      </c>
      <c r="AC24" s="237"/>
      <c r="AD24" s="237"/>
    </row>
    <row r="25" spans="1:30" ht="21.5" hidden="1" thickBot="1" x14ac:dyDescent="0.3">
      <c r="A25" s="1168">
        <v>1</v>
      </c>
      <c r="B25" s="1169" t="s">
        <v>601</v>
      </c>
      <c r="C25" s="1161" t="s">
        <v>430</v>
      </c>
      <c r="D25" s="1161"/>
      <c r="E25" s="1161"/>
      <c r="F25" s="1161"/>
      <c r="G25" s="1658"/>
      <c r="H25" s="2737">
        <f>H27</f>
        <v>26834.366000000002</v>
      </c>
      <c r="I25" s="2738">
        <f>I27</f>
        <v>0</v>
      </c>
      <c r="J25" s="2739">
        <f>J27</f>
        <v>0</v>
      </c>
      <c r="K25" s="2735"/>
      <c r="L25" s="2735"/>
      <c r="M25" s="2735"/>
      <c r="N25" s="2740">
        <f>N27</f>
        <v>25358.172999999999</v>
      </c>
      <c r="O25" s="2735"/>
      <c r="P25" s="2735"/>
      <c r="Q25" s="2735"/>
      <c r="R25" s="2735"/>
      <c r="S25" s="2735"/>
      <c r="T25" s="2735"/>
      <c r="U25" s="2737">
        <f>U27</f>
        <v>26219.221000000001</v>
      </c>
    </row>
    <row r="26" spans="1:30" ht="23.5" thickBot="1" x14ac:dyDescent="0.3">
      <c r="A26" s="1168">
        <v>1</v>
      </c>
      <c r="B26" s="1171" t="s">
        <v>584</v>
      </c>
      <c r="C26" s="1161" t="s">
        <v>430</v>
      </c>
      <c r="D26" s="1161"/>
      <c r="E26" s="1161"/>
      <c r="F26" s="1161"/>
      <c r="G26" s="1658"/>
      <c r="H26" s="2737">
        <f>H27+H127+H137+H175+H248+H407+H428+H456+H475+H505</f>
        <v>122148.87763000002</v>
      </c>
      <c r="I26" s="2738">
        <f>I27+I107+I138+I219+I323+I336+I413+I442+I97</f>
        <v>17641.879999999997</v>
      </c>
      <c r="J26" s="2741">
        <f>J27+J107+J138+J219+J323+J336+J413+J442+J97</f>
        <v>13887.225999999999</v>
      </c>
      <c r="K26" s="2735"/>
      <c r="L26" s="2735"/>
      <c r="M26" s="2735"/>
      <c r="N26" s="2740">
        <f>N27+N127+N137+N175+N248+N407+N428+N456+N475+N505</f>
        <v>133889.76587999999</v>
      </c>
      <c r="O26" s="2735"/>
      <c r="P26" s="2735"/>
      <c r="Q26" s="2735"/>
      <c r="R26" s="2735"/>
      <c r="S26" s="2735"/>
      <c r="T26" s="2735"/>
      <c r="U26" s="2737">
        <f>U27+U127+U137+U175+U248+U407+U428+U456+U475+U505</f>
        <v>102888.69600000001</v>
      </c>
      <c r="AA26" s="1836"/>
    </row>
    <row r="27" spans="1:30" ht="13" thickBot="1" x14ac:dyDescent="0.3">
      <c r="A27" s="1172"/>
      <c r="B27" s="1173" t="s">
        <v>431</v>
      </c>
      <c r="C27" s="1174"/>
      <c r="D27" s="1175" t="s">
        <v>456</v>
      </c>
      <c r="E27" s="1175" t="s">
        <v>459</v>
      </c>
      <c r="F27" s="1175"/>
      <c r="G27" s="1660"/>
      <c r="H27" s="2742">
        <f>H61+H86+H100+H107+H93</f>
        <v>26834.366000000002</v>
      </c>
      <c r="I27" s="2743">
        <f>I28+I40+I53</f>
        <v>0</v>
      </c>
      <c r="J27" s="2744">
        <f>J28+J40+J53</f>
        <v>0</v>
      </c>
      <c r="K27" s="2745">
        <f>K39+K45+K46+K47+K67+K69+K71+K74+K77+K85+K92+K106+K110+K111+K113+K116</f>
        <v>18000.908000000003</v>
      </c>
      <c r="L27" s="2735"/>
      <c r="M27" s="2735"/>
      <c r="N27" s="2746">
        <f>N34+N40+N61+N86+N100+N107</f>
        <v>25358.172999999999</v>
      </c>
      <c r="O27" s="2735"/>
      <c r="P27" s="2735"/>
      <c r="Q27" s="2735"/>
      <c r="R27" s="2735"/>
      <c r="S27" s="2735"/>
      <c r="T27" s="2735"/>
      <c r="U27" s="2742">
        <f>U34+U40+U61+U86+U100+U107</f>
        <v>26219.221000000001</v>
      </c>
    </row>
    <row r="28" spans="1:30" ht="21.5" hidden="1" thickBot="1" x14ac:dyDescent="0.3">
      <c r="A28" s="842"/>
      <c r="B28" s="752" t="s">
        <v>600</v>
      </c>
      <c r="C28" s="1177"/>
      <c r="D28" s="408" t="s">
        <v>456</v>
      </c>
      <c r="E28" s="408" t="s">
        <v>488</v>
      </c>
      <c r="F28" s="408"/>
      <c r="G28" s="1661"/>
      <c r="H28" s="2747"/>
      <c r="I28" s="2748">
        <f t="shared" ref="I28:J32" si="0">I29</f>
        <v>0</v>
      </c>
      <c r="J28" s="2749">
        <f t="shared" si="0"/>
        <v>0</v>
      </c>
      <c r="K28" s="2735"/>
      <c r="L28" s="2735"/>
      <c r="M28" s="2735"/>
      <c r="N28" s="2750"/>
      <c r="O28" s="2735"/>
      <c r="P28" s="2735"/>
      <c r="Q28" s="2735"/>
      <c r="R28" s="2735"/>
      <c r="S28" s="2735"/>
      <c r="T28" s="2735"/>
      <c r="U28" s="2747"/>
    </row>
    <row r="29" spans="1:30" ht="21.5" hidden="1" thickBot="1" x14ac:dyDescent="0.3">
      <c r="A29" s="1179"/>
      <c r="B29" s="753" t="s">
        <v>599</v>
      </c>
      <c r="C29" s="1180"/>
      <c r="D29" s="409" t="s">
        <v>456</v>
      </c>
      <c r="E29" s="409" t="s">
        <v>488</v>
      </c>
      <c r="F29" s="409" t="s">
        <v>157</v>
      </c>
      <c r="G29" s="1662"/>
      <c r="H29" s="2751"/>
      <c r="I29" s="2752">
        <f t="shared" si="0"/>
        <v>0</v>
      </c>
      <c r="J29" s="2753">
        <f t="shared" si="0"/>
        <v>0</v>
      </c>
      <c r="K29" s="2735"/>
      <c r="L29" s="2735"/>
      <c r="M29" s="2735"/>
      <c r="N29" s="2754"/>
      <c r="O29" s="2735"/>
      <c r="P29" s="2735"/>
      <c r="Q29" s="2735"/>
      <c r="R29" s="2735"/>
      <c r="S29" s="2735"/>
      <c r="T29" s="2735"/>
      <c r="U29" s="2751"/>
    </row>
    <row r="30" spans="1:30" ht="21.5" hidden="1" thickBot="1" x14ac:dyDescent="0.3">
      <c r="A30" s="842"/>
      <c r="B30" s="753" t="s">
        <v>596</v>
      </c>
      <c r="C30" s="1180"/>
      <c r="D30" s="409" t="s">
        <v>456</v>
      </c>
      <c r="E30" s="409" t="s">
        <v>488</v>
      </c>
      <c r="F30" s="409" t="s">
        <v>598</v>
      </c>
      <c r="G30" s="1662"/>
      <c r="H30" s="2751"/>
      <c r="I30" s="2752">
        <f t="shared" si="0"/>
        <v>0</v>
      </c>
      <c r="J30" s="2753">
        <f t="shared" si="0"/>
        <v>0</v>
      </c>
      <c r="K30" s="2735"/>
      <c r="L30" s="2735"/>
      <c r="M30" s="2735"/>
      <c r="N30" s="2754"/>
      <c r="O30" s="2735"/>
      <c r="P30" s="2735"/>
      <c r="Q30" s="2735"/>
      <c r="R30" s="2735"/>
      <c r="S30" s="2735"/>
      <c r="T30" s="2735"/>
      <c r="U30" s="2751"/>
    </row>
    <row r="31" spans="1:30" ht="13" hidden="1" thickBot="1" x14ac:dyDescent="0.3">
      <c r="A31" s="842"/>
      <c r="B31" s="753" t="s">
        <v>582</v>
      </c>
      <c r="C31" s="1180"/>
      <c r="D31" s="409" t="s">
        <v>595</v>
      </c>
      <c r="E31" s="409" t="s">
        <v>594</v>
      </c>
      <c r="F31" s="409" t="s">
        <v>597</v>
      </c>
      <c r="G31" s="1662"/>
      <c r="H31" s="2751"/>
      <c r="I31" s="2752">
        <f t="shared" si="0"/>
        <v>0</v>
      </c>
      <c r="J31" s="2753">
        <f t="shared" si="0"/>
        <v>0</v>
      </c>
      <c r="K31" s="2735"/>
      <c r="L31" s="2735"/>
      <c r="M31" s="2735"/>
      <c r="N31" s="2754"/>
      <c r="O31" s="2735"/>
      <c r="P31" s="2735"/>
      <c r="Q31" s="2735"/>
      <c r="R31" s="2735"/>
      <c r="S31" s="2735"/>
      <c r="T31" s="2735"/>
      <c r="U31" s="2751"/>
    </row>
    <row r="32" spans="1:30" ht="21.5" hidden="1" thickBot="1" x14ac:dyDescent="0.3">
      <c r="A32" s="842"/>
      <c r="B32" s="753" t="s">
        <v>596</v>
      </c>
      <c r="C32" s="1180"/>
      <c r="D32" s="409" t="s">
        <v>595</v>
      </c>
      <c r="E32" s="409" t="s">
        <v>594</v>
      </c>
      <c r="F32" s="409" t="s">
        <v>593</v>
      </c>
      <c r="G32" s="1662"/>
      <c r="H32" s="2751"/>
      <c r="I32" s="2752">
        <f t="shared" si="0"/>
        <v>0</v>
      </c>
      <c r="J32" s="2753">
        <f t="shared" si="0"/>
        <v>0</v>
      </c>
      <c r="K32" s="2735"/>
      <c r="L32" s="2735"/>
      <c r="M32" s="2735"/>
      <c r="N32" s="2754"/>
      <c r="O32" s="2735"/>
      <c r="P32" s="2735"/>
      <c r="Q32" s="2735"/>
      <c r="R32" s="2735"/>
      <c r="S32" s="2735"/>
      <c r="T32" s="2735"/>
      <c r="U32" s="2751"/>
    </row>
    <row r="33" spans="1:21" ht="13" hidden="1" thickBot="1" x14ac:dyDescent="0.3">
      <c r="A33" s="842"/>
      <c r="B33" s="1182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2751"/>
      <c r="I33" s="2752"/>
      <c r="J33" s="2753"/>
      <c r="K33" s="2735"/>
      <c r="L33" s="2735"/>
      <c r="M33" s="2735"/>
      <c r="N33" s="2754"/>
      <c r="O33" s="2735"/>
      <c r="P33" s="2735"/>
      <c r="Q33" s="2735"/>
      <c r="R33" s="2735"/>
      <c r="S33" s="2735"/>
      <c r="T33" s="2735"/>
      <c r="U33" s="2751"/>
    </row>
    <row r="34" spans="1:21" ht="23.5" hidden="1" thickBot="1" x14ac:dyDescent="0.3">
      <c r="A34" s="842"/>
      <c r="B34" s="1184" t="s">
        <v>600</v>
      </c>
      <c r="C34" s="1183"/>
      <c r="D34" s="408" t="s">
        <v>456</v>
      </c>
      <c r="E34" s="408" t="s">
        <v>488</v>
      </c>
      <c r="F34" s="409"/>
      <c r="G34" s="1662"/>
      <c r="H34" s="2747"/>
      <c r="I34" s="2752"/>
      <c r="J34" s="2753"/>
      <c r="K34" s="2735"/>
      <c r="L34" s="2735"/>
      <c r="M34" s="2735"/>
      <c r="N34" s="2750"/>
      <c r="O34" s="2735"/>
      <c r="P34" s="2735"/>
      <c r="Q34" s="2735"/>
      <c r="R34" s="2735"/>
      <c r="S34" s="2735"/>
      <c r="T34" s="2735"/>
      <c r="U34" s="2747"/>
    </row>
    <row r="35" spans="1:21" ht="24.75" hidden="1" customHeight="1" x14ac:dyDescent="0.25">
      <c r="A35" s="842"/>
      <c r="B35" s="753" t="s">
        <v>866</v>
      </c>
      <c r="C35" s="1183"/>
      <c r="D35" s="409" t="s">
        <v>456</v>
      </c>
      <c r="E35" s="409" t="s">
        <v>488</v>
      </c>
      <c r="F35" s="409" t="s">
        <v>157</v>
      </c>
      <c r="G35" s="1662"/>
      <c r="H35" s="2751"/>
      <c r="I35" s="2752"/>
      <c r="J35" s="2753"/>
      <c r="K35" s="2735"/>
      <c r="L35" s="2735"/>
      <c r="M35" s="2735"/>
      <c r="N35" s="2754"/>
      <c r="O35" s="2735"/>
      <c r="P35" s="2735"/>
      <c r="Q35" s="2735"/>
      <c r="R35" s="2735"/>
      <c r="S35" s="2735"/>
      <c r="T35" s="2735"/>
      <c r="U35" s="2751"/>
    </row>
    <row r="36" spans="1:21" ht="21.5" hidden="1" thickBot="1" x14ac:dyDescent="0.3">
      <c r="A36" s="842"/>
      <c r="B36" s="753" t="s">
        <v>867</v>
      </c>
      <c r="C36" s="1183"/>
      <c r="D36" s="409" t="s">
        <v>456</v>
      </c>
      <c r="E36" s="409" t="s">
        <v>488</v>
      </c>
      <c r="F36" s="409" t="s">
        <v>598</v>
      </c>
      <c r="G36" s="1662"/>
      <c r="H36" s="2751"/>
      <c r="I36" s="2752"/>
      <c r="J36" s="2753"/>
      <c r="K36" s="2735"/>
      <c r="L36" s="2735"/>
      <c r="M36" s="2735"/>
      <c r="N36" s="2754"/>
      <c r="O36" s="2735"/>
      <c r="P36" s="2735"/>
      <c r="Q36" s="2735"/>
      <c r="R36" s="2735"/>
      <c r="S36" s="2735"/>
      <c r="T36" s="2735"/>
      <c r="U36" s="2751"/>
    </row>
    <row r="37" spans="1:21" ht="13" hidden="1" thickBot="1" x14ac:dyDescent="0.3">
      <c r="A37" s="842"/>
      <c r="B37" s="753" t="s">
        <v>582</v>
      </c>
      <c r="C37" s="1183"/>
      <c r="D37" s="409" t="s">
        <v>456</v>
      </c>
      <c r="E37" s="409" t="s">
        <v>488</v>
      </c>
      <c r="F37" s="409" t="s">
        <v>597</v>
      </c>
      <c r="G37" s="1662"/>
      <c r="H37" s="2751"/>
      <c r="I37" s="2752"/>
      <c r="J37" s="2753"/>
      <c r="K37" s="2735"/>
      <c r="L37" s="2735"/>
      <c r="M37" s="2735"/>
      <c r="N37" s="2754"/>
      <c r="O37" s="2735"/>
      <c r="P37" s="2735"/>
      <c r="Q37" s="2735"/>
      <c r="R37" s="2735"/>
      <c r="S37" s="2735"/>
      <c r="T37" s="2735"/>
      <c r="U37" s="2751"/>
    </row>
    <row r="38" spans="1:21" ht="21.5" hidden="1" thickBot="1" x14ac:dyDescent="0.3">
      <c r="A38" s="842"/>
      <c r="B38" s="753" t="s">
        <v>867</v>
      </c>
      <c r="C38" s="1183"/>
      <c r="D38" s="409" t="s">
        <v>456</v>
      </c>
      <c r="E38" s="409" t="s">
        <v>488</v>
      </c>
      <c r="F38" s="409" t="s">
        <v>593</v>
      </c>
      <c r="G38" s="1662"/>
      <c r="H38" s="2751"/>
      <c r="I38" s="2752"/>
      <c r="J38" s="2753"/>
      <c r="K38" s="2735"/>
      <c r="L38" s="2735"/>
      <c r="M38" s="2735"/>
      <c r="N38" s="2754"/>
      <c r="O38" s="2735"/>
      <c r="P38" s="2735"/>
      <c r="Q38" s="2735"/>
      <c r="R38" s="2735"/>
      <c r="S38" s="2735"/>
      <c r="T38" s="2735"/>
      <c r="U38" s="2751"/>
    </row>
    <row r="39" spans="1:21" ht="13" hidden="1" thickBot="1" x14ac:dyDescent="0.3">
      <c r="A39" s="842"/>
      <c r="B39" s="1185" t="s">
        <v>571</v>
      </c>
      <c r="C39" s="1183"/>
      <c r="D39" s="409" t="s">
        <v>456</v>
      </c>
      <c r="E39" s="409" t="s">
        <v>488</v>
      </c>
      <c r="F39" s="409" t="s">
        <v>593</v>
      </c>
      <c r="G39" s="1662" t="s">
        <v>5</v>
      </c>
      <c r="H39" s="2751"/>
      <c r="I39" s="2752"/>
      <c r="J39" s="2753"/>
      <c r="K39" s="2735"/>
      <c r="L39" s="2735"/>
      <c r="M39" s="2735"/>
      <c r="N39" s="2754"/>
      <c r="O39" s="2735"/>
      <c r="P39" s="2735"/>
      <c r="Q39" s="2735"/>
      <c r="R39" s="2735"/>
      <c r="S39" s="2735"/>
      <c r="T39" s="2735"/>
      <c r="U39" s="2751"/>
    </row>
    <row r="40" spans="1:21" ht="35" hidden="1" thickBot="1" x14ac:dyDescent="0.3">
      <c r="A40" s="842"/>
      <c r="B40" s="1184" t="s">
        <v>592</v>
      </c>
      <c r="C40" s="1177"/>
      <c r="D40" s="408" t="s">
        <v>456</v>
      </c>
      <c r="E40" s="408" t="s">
        <v>495</v>
      </c>
      <c r="F40" s="408"/>
      <c r="G40" s="1661"/>
      <c r="H40" s="2747"/>
      <c r="I40" s="2748"/>
      <c r="J40" s="2749"/>
      <c r="K40" s="2735"/>
      <c r="L40" s="2735"/>
      <c r="M40" s="2735"/>
      <c r="N40" s="2750"/>
      <c r="O40" s="2735"/>
      <c r="P40" s="2735"/>
      <c r="Q40" s="2735"/>
      <c r="R40" s="2735"/>
      <c r="S40" s="2735"/>
      <c r="T40" s="2735"/>
      <c r="U40" s="2747"/>
    </row>
    <row r="41" spans="1:21" ht="26.25" hidden="1" customHeight="1" x14ac:dyDescent="0.25">
      <c r="A41" s="1179"/>
      <c r="B41" s="753" t="s">
        <v>588</v>
      </c>
      <c r="C41" s="1180"/>
      <c r="D41" s="409" t="s">
        <v>456</v>
      </c>
      <c r="E41" s="409" t="s">
        <v>495</v>
      </c>
      <c r="F41" s="409" t="s">
        <v>157</v>
      </c>
      <c r="G41" s="1662"/>
      <c r="H41" s="2751"/>
      <c r="I41" s="2752"/>
      <c r="J41" s="2753"/>
      <c r="K41" s="2735"/>
      <c r="L41" s="2735"/>
      <c r="M41" s="2735"/>
      <c r="N41" s="2754"/>
      <c r="O41" s="2735"/>
      <c r="P41" s="2735"/>
      <c r="Q41" s="2735"/>
      <c r="R41" s="2735"/>
      <c r="S41" s="2735"/>
      <c r="T41" s="2735"/>
      <c r="U41" s="2751"/>
    </row>
    <row r="42" spans="1:21" ht="27" hidden="1" customHeight="1" x14ac:dyDescent="0.25">
      <c r="A42" s="842"/>
      <c r="B42" s="753" t="s">
        <v>591</v>
      </c>
      <c r="C42" s="1180"/>
      <c r="D42" s="409" t="s">
        <v>456</v>
      </c>
      <c r="E42" s="409" t="s">
        <v>495</v>
      </c>
      <c r="F42" s="409" t="s">
        <v>155</v>
      </c>
      <c r="G42" s="1662"/>
      <c r="H42" s="2751"/>
      <c r="I42" s="2752"/>
      <c r="J42" s="2753"/>
      <c r="K42" s="2735"/>
      <c r="L42" s="2735"/>
      <c r="M42" s="2735"/>
      <c r="N42" s="2754"/>
      <c r="O42" s="2735"/>
      <c r="P42" s="2735"/>
      <c r="Q42" s="2735"/>
      <c r="R42" s="2735"/>
      <c r="S42" s="2735"/>
      <c r="T42" s="2735"/>
      <c r="U42" s="2751"/>
    </row>
    <row r="43" spans="1:21" ht="13" hidden="1" thickBot="1" x14ac:dyDescent="0.3">
      <c r="A43" s="842"/>
      <c r="B43" s="753" t="s">
        <v>582</v>
      </c>
      <c r="C43" s="1180"/>
      <c r="D43" s="409" t="s">
        <v>456</v>
      </c>
      <c r="E43" s="409" t="s">
        <v>495</v>
      </c>
      <c r="F43" s="409" t="s">
        <v>154</v>
      </c>
      <c r="G43" s="1662"/>
      <c r="H43" s="2751"/>
      <c r="I43" s="2752"/>
      <c r="J43" s="2753"/>
      <c r="K43" s="2735"/>
      <c r="L43" s="2735"/>
      <c r="M43" s="2735"/>
      <c r="N43" s="2754"/>
      <c r="O43" s="2735"/>
      <c r="P43" s="2735"/>
      <c r="Q43" s="2735"/>
      <c r="R43" s="2735"/>
      <c r="S43" s="2735"/>
      <c r="T43" s="2735"/>
      <c r="U43" s="2751"/>
    </row>
    <row r="44" spans="1:21" ht="13" hidden="1" thickBot="1" x14ac:dyDescent="0.3">
      <c r="A44" s="842"/>
      <c r="B44" s="753" t="s">
        <v>153</v>
      </c>
      <c r="C44" s="1180"/>
      <c r="D44" s="409" t="s">
        <v>456</v>
      </c>
      <c r="E44" s="409" t="s">
        <v>495</v>
      </c>
      <c r="F44" s="409" t="s">
        <v>152</v>
      </c>
      <c r="G44" s="1662"/>
      <c r="H44" s="2751"/>
      <c r="I44" s="2752"/>
      <c r="J44" s="2753"/>
      <c r="K44" s="2735"/>
      <c r="L44" s="2735"/>
      <c r="M44" s="2735"/>
      <c r="N44" s="2754"/>
      <c r="O44" s="2735"/>
      <c r="P44" s="2735"/>
      <c r="Q44" s="2735"/>
      <c r="R44" s="2735"/>
      <c r="S44" s="2735"/>
      <c r="T44" s="2735"/>
      <c r="U44" s="2751"/>
    </row>
    <row r="45" spans="1:21" ht="13" hidden="1" thickBot="1" x14ac:dyDescent="0.3">
      <c r="A45" s="842"/>
      <c r="B45" s="1182" t="s">
        <v>571</v>
      </c>
      <c r="C45" s="1183"/>
      <c r="D45" s="409" t="s">
        <v>456</v>
      </c>
      <c r="E45" s="409" t="s">
        <v>495</v>
      </c>
      <c r="F45" s="409" t="s">
        <v>152</v>
      </c>
      <c r="G45" s="1662" t="s">
        <v>5</v>
      </c>
      <c r="H45" s="2751"/>
      <c r="I45" s="2752"/>
      <c r="J45" s="2755"/>
      <c r="K45" s="2735"/>
      <c r="L45" s="2735"/>
      <c r="M45" s="2735"/>
      <c r="N45" s="2754"/>
      <c r="O45" s="2735"/>
      <c r="P45" s="2735"/>
      <c r="Q45" s="2735"/>
      <c r="R45" s="2735"/>
      <c r="S45" s="2735"/>
      <c r="T45" s="2735"/>
      <c r="U45" s="2751"/>
    </row>
    <row r="46" spans="1:21" ht="21.5" hidden="1" thickBot="1" x14ac:dyDescent="0.3">
      <c r="A46" s="842"/>
      <c r="B46" s="1182" t="s">
        <v>454</v>
      </c>
      <c r="C46" s="1183"/>
      <c r="D46" s="409" t="s">
        <v>456</v>
      </c>
      <c r="E46" s="409" t="s">
        <v>495</v>
      </c>
      <c r="F46" s="409" t="s">
        <v>152</v>
      </c>
      <c r="G46" s="1662" t="s">
        <v>1</v>
      </c>
      <c r="H46" s="2756"/>
      <c r="I46" s="2752"/>
      <c r="J46" s="2755"/>
      <c r="K46" s="2757"/>
      <c r="L46" s="2735"/>
      <c r="M46" s="2735"/>
      <c r="N46" s="2758"/>
      <c r="O46" s="2735"/>
      <c r="P46" s="2735"/>
      <c r="Q46" s="2735"/>
      <c r="R46" s="2735"/>
      <c r="S46" s="2735"/>
      <c r="T46" s="2735"/>
      <c r="U46" s="2756"/>
    </row>
    <row r="47" spans="1:21" ht="13" hidden="1" thickBot="1" x14ac:dyDescent="0.3">
      <c r="A47" s="842"/>
      <c r="B47" s="1182" t="s">
        <v>457</v>
      </c>
      <c r="C47" s="1183"/>
      <c r="D47" s="409" t="s">
        <v>456</v>
      </c>
      <c r="E47" s="409" t="s">
        <v>495</v>
      </c>
      <c r="F47" s="409" t="s">
        <v>152</v>
      </c>
      <c r="G47" s="1662" t="s">
        <v>91</v>
      </c>
      <c r="H47" s="2756"/>
      <c r="I47" s="2752"/>
      <c r="J47" s="2759"/>
      <c r="K47" s="2757"/>
      <c r="L47" s="2735"/>
      <c r="M47" s="2735"/>
      <c r="N47" s="2758"/>
      <c r="O47" s="2735"/>
      <c r="P47" s="2735"/>
      <c r="Q47" s="2735"/>
      <c r="R47" s="2735"/>
      <c r="S47" s="2735"/>
      <c r="T47" s="2735"/>
      <c r="U47" s="2756"/>
    </row>
    <row r="48" spans="1:21" ht="13" hidden="1" thickBot="1" x14ac:dyDescent="0.3">
      <c r="A48" s="842"/>
      <c r="B48" s="1182"/>
      <c r="C48" s="1183"/>
      <c r="D48" s="409"/>
      <c r="E48" s="409"/>
      <c r="F48" s="409"/>
      <c r="G48" s="1662"/>
      <c r="H48" s="2756"/>
      <c r="I48" s="2752"/>
      <c r="J48" s="2759"/>
      <c r="K48" s="2757"/>
      <c r="L48" s="2735"/>
      <c r="M48" s="2735"/>
      <c r="N48" s="2758"/>
      <c r="O48" s="2735"/>
      <c r="P48" s="2735"/>
      <c r="Q48" s="2735"/>
      <c r="R48" s="2735"/>
      <c r="S48" s="2735"/>
      <c r="T48" s="2735"/>
      <c r="U48" s="2756"/>
    </row>
    <row r="49" spans="1:27" ht="32" hidden="1" thickBot="1" x14ac:dyDescent="0.3">
      <c r="A49" s="1179"/>
      <c r="B49" s="1117" t="s">
        <v>590</v>
      </c>
      <c r="C49" s="1188"/>
      <c r="D49" s="409" t="s">
        <v>456</v>
      </c>
      <c r="E49" s="409" t="s">
        <v>495</v>
      </c>
      <c r="F49" s="409" t="s">
        <v>117</v>
      </c>
      <c r="G49" s="1662"/>
      <c r="H49" s="2751">
        <f t="shared" ref="H49:J51" si="1">H50</f>
        <v>0</v>
      </c>
      <c r="I49" s="2752">
        <f t="shared" si="1"/>
        <v>659.56200000000001</v>
      </c>
      <c r="J49" s="2753">
        <f t="shared" si="1"/>
        <v>725.51900000000001</v>
      </c>
      <c r="K49" s="2735"/>
      <c r="L49" s="2735"/>
      <c r="M49" s="2735"/>
      <c r="N49" s="2754"/>
      <c r="O49" s="2735"/>
      <c r="P49" s="2735"/>
      <c r="Q49" s="2735"/>
      <c r="R49" s="2735"/>
      <c r="S49" s="2735"/>
      <c r="T49" s="2735"/>
      <c r="U49" s="2751"/>
    </row>
    <row r="50" spans="1:27" ht="13" hidden="1" thickBot="1" x14ac:dyDescent="0.3">
      <c r="A50" s="1179"/>
      <c r="B50" s="1117" t="s">
        <v>582</v>
      </c>
      <c r="C50" s="1188"/>
      <c r="D50" s="409" t="s">
        <v>456</v>
      </c>
      <c r="E50" s="409" t="s">
        <v>495</v>
      </c>
      <c r="F50" s="409" t="s">
        <v>116</v>
      </c>
      <c r="G50" s="1662"/>
      <c r="H50" s="2751">
        <f t="shared" si="1"/>
        <v>0</v>
      </c>
      <c r="I50" s="2752">
        <f t="shared" si="1"/>
        <v>659.56200000000001</v>
      </c>
      <c r="J50" s="2753">
        <f t="shared" si="1"/>
        <v>725.51900000000001</v>
      </c>
      <c r="K50" s="2735"/>
      <c r="L50" s="2735"/>
      <c r="M50" s="2735"/>
      <c r="N50" s="2754"/>
      <c r="O50" s="2735"/>
      <c r="P50" s="2735"/>
      <c r="Q50" s="2735"/>
      <c r="R50" s="2735"/>
      <c r="S50" s="2735"/>
      <c r="T50" s="2735"/>
      <c r="U50" s="2751"/>
    </row>
    <row r="51" spans="1:27" ht="21.5" hidden="1" thickBot="1" x14ac:dyDescent="0.3">
      <c r="A51" s="1179"/>
      <c r="B51" s="1117" t="s">
        <v>589</v>
      </c>
      <c r="C51" s="1188"/>
      <c r="D51" s="409" t="s">
        <v>456</v>
      </c>
      <c r="E51" s="409" t="s">
        <v>495</v>
      </c>
      <c r="F51" s="409" t="s">
        <v>113</v>
      </c>
      <c r="G51" s="1662"/>
      <c r="H51" s="2751">
        <f t="shared" si="1"/>
        <v>0</v>
      </c>
      <c r="I51" s="2752">
        <f t="shared" si="1"/>
        <v>659.56200000000001</v>
      </c>
      <c r="J51" s="2753">
        <f t="shared" si="1"/>
        <v>725.51900000000001</v>
      </c>
      <c r="K51" s="2735"/>
      <c r="L51" s="2735"/>
      <c r="M51" s="2735"/>
      <c r="N51" s="2754"/>
      <c r="O51" s="2735"/>
      <c r="P51" s="2735"/>
      <c r="Q51" s="2735"/>
      <c r="R51" s="2735"/>
      <c r="S51" s="2735"/>
      <c r="T51" s="2735"/>
      <c r="U51" s="2751"/>
    </row>
    <row r="52" spans="1:27" ht="13" hidden="1" thickBot="1" x14ac:dyDescent="0.3">
      <c r="A52" s="842"/>
      <c r="B52" s="1182" t="s">
        <v>571</v>
      </c>
      <c r="C52" s="1183"/>
      <c r="D52" s="409" t="s">
        <v>456</v>
      </c>
      <c r="E52" s="409" t="s">
        <v>495</v>
      </c>
      <c r="F52" s="409" t="s">
        <v>113</v>
      </c>
      <c r="G52" s="1662" t="s">
        <v>5</v>
      </c>
      <c r="H52" s="2751"/>
      <c r="I52" s="2752">
        <v>659.56200000000001</v>
      </c>
      <c r="J52" s="2755">
        <v>725.51900000000001</v>
      </c>
      <c r="K52" s="2735">
        <v>0</v>
      </c>
      <c r="L52" s="2735"/>
      <c r="M52" s="2735"/>
      <c r="N52" s="2754"/>
      <c r="O52" s="2735"/>
      <c r="P52" s="2735"/>
      <c r="Q52" s="2735"/>
      <c r="R52" s="2735"/>
      <c r="S52" s="2735"/>
      <c r="T52" s="2735"/>
      <c r="U52" s="2751"/>
    </row>
    <row r="53" spans="1:27" ht="21.5" hidden="1" thickBot="1" x14ac:dyDescent="0.3">
      <c r="A53" s="842"/>
      <c r="B53" s="1117" t="s">
        <v>122</v>
      </c>
      <c r="C53" s="1189"/>
      <c r="D53" s="408" t="s">
        <v>456</v>
      </c>
      <c r="E53" s="408" t="s">
        <v>585</v>
      </c>
      <c r="F53" s="408"/>
      <c r="G53" s="1661"/>
      <c r="H53" s="2747"/>
      <c r="I53" s="2748">
        <f t="shared" ref="H53:J57" si="2">I54</f>
        <v>0</v>
      </c>
      <c r="J53" s="2760">
        <f t="shared" si="2"/>
        <v>0</v>
      </c>
      <c r="K53" s="2735"/>
      <c r="L53" s="2735"/>
      <c r="M53" s="2735"/>
      <c r="N53" s="2750"/>
      <c r="O53" s="2735"/>
      <c r="P53" s="2735"/>
      <c r="Q53" s="2735"/>
      <c r="R53" s="2735"/>
      <c r="S53" s="2735"/>
      <c r="T53" s="2735"/>
      <c r="U53" s="2747"/>
    </row>
    <row r="54" spans="1:27" ht="21.5" hidden="1" thickBot="1" x14ac:dyDescent="0.3">
      <c r="A54" s="1179"/>
      <c r="B54" s="753" t="s">
        <v>588</v>
      </c>
      <c r="C54" s="1180"/>
      <c r="D54" s="409" t="s">
        <v>456</v>
      </c>
      <c r="E54" s="409" t="s">
        <v>585</v>
      </c>
      <c r="F54" s="409" t="s">
        <v>157</v>
      </c>
      <c r="G54" s="1662"/>
      <c r="H54" s="2751">
        <f t="shared" si="2"/>
        <v>0</v>
      </c>
      <c r="I54" s="2752">
        <f t="shared" si="2"/>
        <v>0</v>
      </c>
      <c r="J54" s="2755">
        <f t="shared" si="2"/>
        <v>0</v>
      </c>
      <c r="K54" s="2735"/>
      <c r="L54" s="2735"/>
      <c r="M54" s="2735"/>
      <c r="N54" s="2754">
        <f t="shared" ref="N54:N57" si="3">N55</f>
        <v>0</v>
      </c>
      <c r="O54" s="2735"/>
      <c r="P54" s="2735"/>
      <c r="Q54" s="2735"/>
      <c r="R54" s="2735"/>
      <c r="S54" s="2735"/>
      <c r="T54" s="2735"/>
      <c r="U54" s="2751">
        <f t="shared" ref="U54:U57" si="4">U55</f>
        <v>0</v>
      </c>
    </row>
    <row r="55" spans="1:27" ht="21.5" hidden="1" thickBot="1" x14ac:dyDescent="0.3">
      <c r="A55" s="842"/>
      <c r="B55" s="753" t="s">
        <v>587</v>
      </c>
      <c r="C55" s="1180"/>
      <c r="D55" s="409" t="s">
        <v>456</v>
      </c>
      <c r="E55" s="409" t="s">
        <v>585</v>
      </c>
      <c r="F55" s="409" t="s">
        <v>155</v>
      </c>
      <c r="G55" s="1662"/>
      <c r="H55" s="2751">
        <f t="shared" si="2"/>
        <v>0</v>
      </c>
      <c r="I55" s="2752">
        <f t="shared" si="2"/>
        <v>0</v>
      </c>
      <c r="J55" s="2755">
        <f t="shared" si="2"/>
        <v>0</v>
      </c>
      <c r="K55" s="2735"/>
      <c r="L55" s="2735"/>
      <c r="M55" s="2735"/>
      <c r="N55" s="2754">
        <f t="shared" si="3"/>
        <v>0</v>
      </c>
      <c r="O55" s="2735"/>
      <c r="P55" s="2735"/>
      <c r="Q55" s="2735"/>
      <c r="R55" s="2735"/>
      <c r="S55" s="2735"/>
      <c r="T55" s="2735"/>
      <c r="U55" s="2751">
        <f t="shared" si="4"/>
        <v>0</v>
      </c>
    </row>
    <row r="56" spans="1:27" ht="13" hidden="1" thickBot="1" x14ac:dyDescent="0.3">
      <c r="A56" s="842"/>
      <c r="B56" s="753" t="s">
        <v>582</v>
      </c>
      <c r="C56" s="1180"/>
      <c r="D56" s="409" t="s">
        <v>456</v>
      </c>
      <c r="E56" s="409" t="s">
        <v>585</v>
      </c>
      <c r="F56" s="409" t="s">
        <v>154</v>
      </c>
      <c r="G56" s="1662"/>
      <c r="H56" s="2751">
        <f t="shared" si="2"/>
        <v>0</v>
      </c>
      <c r="I56" s="2752">
        <f t="shared" si="2"/>
        <v>0</v>
      </c>
      <c r="J56" s="2755">
        <f t="shared" si="2"/>
        <v>0</v>
      </c>
      <c r="K56" s="2735"/>
      <c r="L56" s="2735"/>
      <c r="M56" s="2735"/>
      <c r="N56" s="2754">
        <f t="shared" si="3"/>
        <v>0</v>
      </c>
      <c r="O56" s="2735"/>
      <c r="P56" s="2735"/>
      <c r="Q56" s="2735"/>
      <c r="R56" s="2735"/>
      <c r="S56" s="2735"/>
      <c r="T56" s="2735"/>
      <c r="U56" s="2751">
        <f t="shared" si="4"/>
        <v>0</v>
      </c>
    </row>
    <row r="57" spans="1:27" ht="21.5" hidden="1" thickBot="1" x14ac:dyDescent="0.3">
      <c r="A57" s="842"/>
      <c r="B57" s="1117" t="s">
        <v>586</v>
      </c>
      <c r="C57" s="1188"/>
      <c r="D57" s="409" t="s">
        <v>456</v>
      </c>
      <c r="E57" s="409" t="s">
        <v>585</v>
      </c>
      <c r="F57" s="409" t="s">
        <v>129</v>
      </c>
      <c r="G57" s="1662"/>
      <c r="H57" s="2751">
        <f t="shared" si="2"/>
        <v>0</v>
      </c>
      <c r="I57" s="2752">
        <f t="shared" si="2"/>
        <v>0</v>
      </c>
      <c r="J57" s="2755">
        <f t="shared" si="2"/>
        <v>0</v>
      </c>
      <c r="K57" s="2735"/>
      <c r="L57" s="2735"/>
      <c r="M57" s="2735"/>
      <c r="N57" s="2754">
        <f t="shared" si="3"/>
        <v>0</v>
      </c>
      <c r="O57" s="2735"/>
      <c r="P57" s="2735"/>
      <c r="Q57" s="2735"/>
      <c r="R57" s="2735"/>
      <c r="S57" s="2735"/>
      <c r="T57" s="2735"/>
      <c r="U57" s="2751">
        <f t="shared" si="4"/>
        <v>0</v>
      </c>
    </row>
    <row r="58" spans="1:27" ht="13" hidden="1" thickBot="1" x14ac:dyDescent="0.3">
      <c r="A58" s="1190"/>
      <c r="B58" s="1191" t="s">
        <v>575</v>
      </c>
      <c r="C58" s="1192"/>
      <c r="D58" s="1193" t="s">
        <v>456</v>
      </c>
      <c r="E58" s="1193" t="s">
        <v>585</v>
      </c>
      <c r="F58" s="1193" t="s">
        <v>129</v>
      </c>
      <c r="G58" s="1663" t="s">
        <v>120</v>
      </c>
      <c r="H58" s="2761"/>
      <c r="I58" s="2762"/>
      <c r="J58" s="2763"/>
      <c r="K58" s="2735"/>
      <c r="L58" s="2735"/>
      <c r="M58" s="2735"/>
      <c r="N58" s="2764"/>
      <c r="O58" s="2735"/>
      <c r="P58" s="2735"/>
      <c r="Q58" s="2735"/>
      <c r="R58" s="2735"/>
      <c r="S58" s="2735"/>
      <c r="T58" s="2735"/>
      <c r="U58" s="2761"/>
    </row>
    <row r="59" spans="1:27" ht="23.5" hidden="1" thickBot="1" x14ac:dyDescent="0.3">
      <c r="A59" s="1168">
        <v>2</v>
      </c>
      <c r="B59" s="1171" t="s">
        <v>584</v>
      </c>
      <c r="C59" s="1161" t="s">
        <v>430</v>
      </c>
      <c r="D59" s="1161"/>
      <c r="E59" s="1161"/>
      <c r="F59" s="1161"/>
      <c r="G59" s="1658"/>
      <c r="H59" s="2737">
        <f>H60+H137+H175+H248+H407+H429+H456+H475+H127</f>
        <v>117084.66663000001</v>
      </c>
      <c r="I59" s="2738">
        <f>I60+I137+I175+I248+I407+I429+I456+I475+I127</f>
        <v>33621.64</v>
      </c>
      <c r="J59" s="2741">
        <f>J60+J137+J175+J248+J407+J429+J456+J475+J127</f>
        <v>31233.512999999999</v>
      </c>
      <c r="K59" s="2735"/>
      <c r="L59" s="2735"/>
      <c r="M59" s="2735"/>
      <c r="N59" s="2740">
        <f>N60+N137+N175+N248+N407+N429+N456+N475+N127</f>
        <v>125371.08588000001</v>
      </c>
      <c r="O59" s="2735"/>
      <c r="P59" s="2735"/>
      <c r="Q59" s="2735"/>
      <c r="R59" s="2735"/>
      <c r="S59" s="2735"/>
      <c r="T59" s="2735"/>
      <c r="U59" s="2737">
        <f>U60+U137+U175+U248+U407+U429+U456+U475+U127</f>
        <v>95079.687000000005</v>
      </c>
    </row>
    <row r="60" spans="1:27" ht="13" hidden="1" thickBot="1" x14ac:dyDescent="0.3">
      <c r="A60" s="1841"/>
      <c r="B60" s="1842" t="s">
        <v>431</v>
      </c>
      <c r="C60" s="1843"/>
      <c r="D60" s="1844" t="s">
        <v>456</v>
      </c>
      <c r="E60" s="1844" t="s">
        <v>459</v>
      </c>
      <c r="F60" s="1844"/>
      <c r="G60" s="1845"/>
      <c r="H60" s="2732">
        <f>H61+H100+H107+H93</f>
        <v>26413.716</v>
      </c>
      <c r="I60" s="2765">
        <f>I61+I100+I107</f>
        <v>15821.640000000001</v>
      </c>
      <c r="J60" s="2766">
        <f>J61+J100+J107</f>
        <v>16796.02</v>
      </c>
      <c r="K60" s="2735"/>
      <c r="L60" s="2735"/>
      <c r="M60" s="2735"/>
      <c r="N60" s="2736">
        <f>N61+N100+N107+N93</f>
        <v>25358.172999999999</v>
      </c>
      <c r="O60" s="2735"/>
      <c r="P60" s="2735"/>
      <c r="Q60" s="2735"/>
      <c r="R60" s="2735"/>
      <c r="S60" s="2735"/>
      <c r="T60" s="2735"/>
      <c r="U60" s="2732">
        <f>U61+U100+U107+U93</f>
        <v>26219.221000000001</v>
      </c>
    </row>
    <row r="61" spans="1:27" ht="34.5" x14ac:dyDescent="0.25">
      <c r="A61" s="1848"/>
      <c r="B61" s="1849" t="s">
        <v>105</v>
      </c>
      <c r="C61" s="1850"/>
      <c r="D61" s="1361" t="s">
        <v>456</v>
      </c>
      <c r="E61" s="1361" t="s">
        <v>452</v>
      </c>
      <c r="F61" s="1361"/>
      <c r="G61" s="1851"/>
      <c r="H61" s="2767">
        <f>H62</f>
        <v>21810.916000000001</v>
      </c>
      <c r="I61" s="2768">
        <f>I62</f>
        <v>15223.140000000001</v>
      </c>
      <c r="J61" s="2769">
        <f>J62</f>
        <v>16197.52</v>
      </c>
      <c r="K61" s="2770">
        <f>K67+K69+K71+K74+K77+K85+K92</f>
        <v>17500.908000000003</v>
      </c>
      <c r="L61" s="2770">
        <f>18156.908</f>
        <v>18156.907999999999</v>
      </c>
      <c r="M61" s="2770">
        <f>L61-K61</f>
        <v>655.99999999999636</v>
      </c>
      <c r="N61" s="2771">
        <f>N62</f>
        <v>22298.172999999999</v>
      </c>
      <c r="O61" s="2770"/>
      <c r="P61" s="2770"/>
      <c r="Q61" s="2770"/>
      <c r="R61" s="2770"/>
      <c r="S61" s="2770"/>
      <c r="T61" s="2770"/>
      <c r="U61" s="2767">
        <f>U62</f>
        <v>21909.221000000001</v>
      </c>
      <c r="V61" s="237"/>
      <c r="AA61" s="1857"/>
    </row>
    <row r="62" spans="1:27" ht="28.5" customHeight="1" x14ac:dyDescent="0.25">
      <c r="A62" s="1179"/>
      <c r="B62" s="753" t="s">
        <v>583</v>
      </c>
      <c r="C62" s="1180"/>
      <c r="D62" s="409" t="s">
        <v>456</v>
      </c>
      <c r="E62" s="409" t="s">
        <v>452</v>
      </c>
      <c r="F62" s="409" t="s">
        <v>157</v>
      </c>
      <c r="G62" s="1662"/>
      <c r="H62" s="2751">
        <f>H63+H81</f>
        <v>21810.916000000001</v>
      </c>
      <c r="I62" s="2752">
        <f>I63+I81</f>
        <v>15223.140000000001</v>
      </c>
      <c r="J62" s="2753">
        <f>J63+J81</f>
        <v>16197.52</v>
      </c>
      <c r="K62" s="2735"/>
      <c r="L62" s="2735"/>
      <c r="M62" s="2735"/>
      <c r="N62" s="2754">
        <f>N63+N81</f>
        <v>22298.172999999999</v>
      </c>
      <c r="O62" s="2735"/>
      <c r="P62" s="2735"/>
      <c r="Q62" s="2735"/>
      <c r="R62" s="2735"/>
      <c r="S62" s="2735"/>
      <c r="T62" s="2735"/>
      <c r="U62" s="2751">
        <f>U63+U81</f>
        <v>21909.221000000001</v>
      </c>
      <c r="V62" s="237"/>
    </row>
    <row r="63" spans="1:27" ht="30.75" customHeight="1" x14ac:dyDescent="0.25">
      <c r="A63" s="842"/>
      <c r="B63" s="1197" t="s">
        <v>156</v>
      </c>
      <c r="C63" s="1180"/>
      <c r="D63" s="409" t="s">
        <v>456</v>
      </c>
      <c r="E63" s="409" t="s">
        <v>452</v>
      </c>
      <c r="F63" s="409" t="s">
        <v>155</v>
      </c>
      <c r="G63" s="1662"/>
      <c r="H63" s="2751">
        <f>H64</f>
        <v>20216.827000000001</v>
      </c>
      <c r="I63" s="2752">
        <f>I64</f>
        <v>13595.477000000001</v>
      </c>
      <c r="J63" s="2753">
        <f>J64</f>
        <v>14414.787</v>
      </c>
      <c r="K63" s="2735"/>
      <c r="L63" s="2735"/>
      <c r="M63" s="2735"/>
      <c r="N63" s="2754">
        <f>N64</f>
        <v>20640.319</v>
      </c>
      <c r="O63" s="2735"/>
      <c r="P63" s="2735"/>
      <c r="Q63" s="2735"/>
      <c r="R63" s="2735"/>
      <c r="S63" s="2735"/>
      <c r="T63" s="2735"/>
      <c r="U63" s="2751">
        <f>U64</f>
        <v>20185.054</v>
      </c>
    </row>
    <row r="64" spans="1:27" x14ac:dyDescent="0.25">
      <c r="A64" s="842"/>
      <c r="B64" s="753" t="s">
        <v>582</v>
      </c>
      <c r="C64" s="1180"/>
      <c r="D64" s="409" t="s">
        <v>456</v>
      </c>
      <c r="E64" s="409" t="s">
        <v>452</v>
      </c>
      <c r="F64" s="409" t="s">
        <v>154</v>
      </c>
      <c r="G64" s="1662"/>
      <c r="H64" s="2751">
        <f>H65+H72+H75+H78</f>
        <v>20216.827000000001</v>
      </c>
      <c r="I64" s="2752">
        <f>I65+I72+I75+I78</f>
        <v>13595.477000000001</v>
      </c>
      <c r="J64" s="2753">
        <f>J65+J72+J75+J78</f>
        <v>14414.787</v>
      </c>
      <c r="K64" s="2735"/>
      <c r="L64" s="2735"/>
      <c r="M64" s="2735"/>
      <c r="N64" s="2754">
        <f>N65+N72+N75+N78</f>
        <v>20640.319</v>
      </c>
      <c r="O64" s="2735"/>
      <c r="P64" s="2735"/>
      <c r="Q64" s="2735"/>
      <c r="R64" s="2735"/>
      <c r="S64" s="2735"/>
      <c r="T64" s="2735"/>
      <c r="U64" s="2751">
        <f>U65+U72+U75+U78</f>
        <v>20185.054</v>
      </c>
    </row>
    <row r="65" spans="1:21" x14ac:dyDescent="0.25">
      <c r="A65" s="842"/>
      <c r="B65" s="1197" t="s">
        <v>153</v>
      </c>
      <c r="C65" s="1188"/>
      <c r="D65" s="409" t="s">
        <v>456</v>
      </c>
      <c r="E65" s="409" t="s">
        <v>452</v>
      </c>
      <c r="F65" s="409" t="s">
        <v>152</v>
      </c>
      <c r="G65" s="1662"/>
      <c r="H65" s="2751">
        <f>H67+H69+H71</f>
        <v>19811.426660000001</v>
      </c>
      <c r="I65" s="2752">
        <f>I67+I69</f>
        <v>13595.477000000001</v>
      </c>
      <c r="J65" s="2753">
        <f>J67+J69</f>
        <v>14414.787</v>
      </c>
      <c r="K65" s="2735"/>
      <c r="L65" s="2735"/>
      <c r="M65" s="2735"/>
      <c r="N65" s="2754">
        <f>N67+N69+N71</f>
        <v>20640.319</v>
      </c>
      <c r="O65" s="2735"/>
      <c r="P65" s="2735"/>
      <c r="Q65" s="2735"/>
      <c r="R65" s="2735"/>
      <c r="S65" s="2735"/>
      <c r="T65" s="2735"/>
      <c r="U65" s="2751">
        <f>U67+U69+U71</f>
        <v>20185.054</v>
      </c>
    </row>
    <row r="66" spans="1:21" ht="39" x14ac:dyDescent="0.25">
      <c r="A66" s="842"/>
      <c r="B66" s="49" t="s">
        <v>1063</v>
      </c>
      <c r="C66" s="1188"/>
      <c r="D66" s="409" t="s">
        <v>456</v>
      </c>
      <c r="E66" s="409" t="s">
        <v>452</v>
      </c>
      <c r="F66" s="409" t="s">
        <v>152</v>
      </c>
      <c r="G66" s="1662" t="s">
        <v>1062</v>
      </c>
      <c r="H66" s="2751">
        <f>H67</f>
        <v>14382.018</v>
      </c>
      <c r="I66" s="2752"/>
      <c r="J66" s="2759"/>
      <c r="K66" s="2735"/>
      <c r="L66" s="2735"/>
      <c r="M66" s="2735"/>
      <c r="N66" s="2754">
        <f t="shared" ref="N66:U66" si="5">N67</f>
        <v>14927.62</v>
      </c>
      <c r="O66" s="2735">
        <f t="shared" si="5"/>
        <v>0</v>
      </c>
      <c r="P66" s="2735">
        <f t="shared" si="5"/>
        <v>0</v>
      </c>
      <c r="Q66" s="2735">
        <f t="shared" si="5"/>
        <v>0</v>
      </c>
      <c r="R66" s="2735">
        <f t="shared" si="5"/>
        <v>0</v>
      </c>
      <c r="S66" s="2735">
        <f t="shared" si="5"/>
        <v>0</v>
      </c>
      <c r="T66" s="2735">
        <f t="shared" si="5"/>
        <v>0</v>
      </c>
      <c r="U66" s="2751">
        <f t="shared" si="5"/>
        <v>15514.164000000001</v>
      </c>
    </row>
    <row r="67" spans="1:21" x14ac:dyDescent="0.25">
      <c r="A67" s="842"/>
      <c r="B67" s="1182" t="s">
        <v>571</v>
      </c>
      <c r="C67" s="1183"/>
      <c r="D67" s="409" t="s">
        <v>456</v>
      </c>
      <c r="E67" s="409" t="s">
        <v>452</v>
      </c>
      <c r="F67" s="409" t="s">
        <v>152</v>
      </c>
      <c r="G67" s="1662" t="s">
        <v>5</v>
      </c>
      <c r="H67" s="2751">
        <v>14382.018</v>
      </c>
      <c r="I67" s="2752">
        <v>8998.8070000000007</v>
      </c>
      <c r="J67" s="2755">
        <v>9997.6880000000001</v>
      </c>
      <c r="K67" s="2735">
        <f>11012.345+22.735+0.6+3325.728-618.8</f>
        <v>13742.608</v>
      </c>
      <c r="L67" s="2735"/>
      <c r="M67" s="2735"/>
      <c r="N67" s="2754">
        <v>14927.62</v>
      </c>
      <c r="O67" s="2735"/>
      <c r="P67" s="2735"/>
      <c r="Q67" s="2735"/>
      <c r="R67" s="2735"/>
      <c r="S67" s="2735"/>
      <c r="T67" s="2735"/>
      <c r="U67" s="2751">
        <v>15514.164000000001</v>
      </c>
    </row>
    <row r="68" spans="1:21" x14ac:dyDescent="0.25">
      <c r="A68" s="842"/>
      <c r="B68" s="753" t="s">
        <v>948</v>
      </c>
      <c r="C68" s="1183"/>
      <c r="D68" s="409" t="s">
        <v>456</v>
      </c>
      <c r="E68" s="409" t="s">
        <v>452</v>
      </c>
      <c r="F68" s="409" t="s">
        <v>152</v>
      </c>
      <c r="G68" s="1662" t="s">
        <v>955</v>
      </c>
      <c r="H68" s="2751">
        <f>H69</f>
        <v>5419.4086600000001</v>
      </c>
      <c r="I68" s="2752"/>
      <c r="J68" s="2755"/>
      <c r="K68" s="2735"/>
      <c r="L68" s="2735"/>
      <c r="M68" s="2735"/>
      <c r="N68" s="2754">
        <f>N69</f>
        <v>5702.6989999999996</v>
      </c>
      <c r="O68" s="2735"/>
      <c r="P68" s="2735"/>
      <c r="Q68" s="2735"/>
      <c r="R68" s="2735"/>
      <c r="S68" s="2735"/>
      <c r="T68" s="2735"/>
      <c r="U68" s="2751">
        <f>U69</f>
        <v>4660.8900000000003</v>
      </c>
    </row>
    <row r="69" spans="1:21" ht="21" x14ac:dyDescent="0.25">
      <c r="A69" s="842"/>
      <c r="B69" s="1182" t="s">
        <v>454</v>
      </c>
      <c r="C69" s="1183"/>
      <c r="D69" s="409" t="s">
        <v>456</v>
      </c>
      <c r="E69" s="409" t="s">
        <v>452</v>
      </c>
      <c r="F69" s="409" t="s">
        <v>152</v>
      </c>
      <c r="G69" s="1662" t="s">
        <v>1</v>
      </c>
      <c r="H69" s="2751">
        <f>5417.617+21-19.20834</f>
        <v>5419.4086600000001</v>
      </c>
      <c r="I69" s="2752">
        <v>4596.67</v>
      </c>
      <c r="J69" s="2755">
        <v>4417.0990000000002</v>
      </c>
      <c r="K69" s="2757">
        <f>1845.107-350.262-37.2</f>
        <v>1457.645</v>
      </c>
      <c r="L69" s="2735"/>
      <c r="M69" s="2735"/>
      <c r="N69" s="2754">
        <v>5702.6989999999996</v>
      </c>
      <c r="O69" s="2735"/>
      <c r="P69" s="2735"/>
      <c r="Q69" s="2735"/>
      <c r="R69" s="2735"/>
      <c r="S69" s="2735"/>
      <c r="T69" s="2735"/>
      <c r="U69" s="2751">
        <v>4660.8900000000003</v>
      </c>
    </row>
    <row r="70" spans="1:21" x14ac:dyDescent="0.25">
      <c r="A70" s="842"/>
      <c r="B70" s="1198" t="s">
        <v>1068</v>
      </c>
      <c r="C70" s="1183"/>
      <c r="D70" s="409" t="s">
        <v>456</v>
      </c>
      <c r="E70" s="409" t="s">
        <v>452</v>
      </c>
      <c r="F70" s="409" t="s">
        <v>152</v>
      </c>
      <c r="G70" s="1662" t="s">
        <v>1064</v>
      </c>
      <c r="H70" s="2751">
        <f t="shared" ref="H70:U70" si="6">H71</f>
        <v>10</v>
      </c>
      <c r="I70" s="2752">
        <f t="shared" si="6"/>
        <v>0</v>
      </c>
      <c r="J70" s="2755">
        <f t="shared" si="6"/>
        <v>0</v>
      </c>
      <c r="K70" s="2757">
        <f t="shared" si="6"/>
        <v>10</v>
      </c>
      <c r="L70" s="2735">
        <f t="shared" si="6"/>
        <v>0</v>
      </c>
      <c r="M70" s="2735">
        <f t="shared" si="6"/>
        <v>0</v>
      </c>
      <c r="N70" s="2754">
        <f t="shared" si="6"/>
        <v>10</v>
      </c>
      <c r="O70" s="2735">
        <f t="shared" si="6"/>
        <v>0</v>
      </c>
      <c r="P70" s="2735">
        <f t="shared" si="6"/>
        <v>0</v>
      </c>
      <c r="Q70" s="2735">
        <f t="shared" si="6"/>
        <v>0</v>
      </c>
      <c r="R70" s="2735">
        <f t="shared" si="6"/>
        <v>0</v>
      </c>
      <c r="S70" s="2735">
        <f t="shared" si="6"/>
        <v>0</v>
      </c>
      <c r="T70" s="2735">
        <f t="shared" si="6"/>
        <v>0</v>
      </c>
      <c r="U70" s="2751">
        <f t="shared" si="6"/>
        <v>10</v>
      </c>
    </row>
    <row r="71" spans="1:21" x14ac:dyDescent="0.25">
      <c r="A71" s="842"/>
      <c r="B71" s="1198" t="s">
        <v>457</v>
      </c>
      <c r="C71" s="1183"/>
      <c r="D71" s="409" t="s">
        <v>456</v>
      </c>
      <c r="E71" s="409" t="s">
        <v>452</v>
      </c>
      <c r="F71" s="409" t="s">
        <v>152</v>
      </c>
      <c r="G71" s="1662" t="s">
        <v>91</v>
      </c>
      <c r="H71" s="2751">
        <v>10</v>
      </c>
      <c r="I71" s="2752"/>
      <c r="J71" s="2755"/>
      <c r="K71" s="2757">
        <v>10</v>
      </c>
      <c r="L71" s="2735"/>
      <c r="M71" s="2735"/>
      <c r="N71" s="2754">
        <v>10</v>
      </c>
      <c r="O71" s="2735"/>
      <c r="P71" s="2735"/>
      <c r="Q71" s="2735"/>
      <c r="R71" s="2735"/>
      <c r="S71" s="2735"/>
      <c r="T71" s="2735"/>
      <c r="U71" s="2751">
        <v>10</v>
      </c>
    </row>
    <row r="72" spans="1:21" ht="21" x14ac:dyDescent="0.25">
      <c r="A72" s="842"/>
      <c r="B72" s="1199" t="s">
        <v>151</v>
      </c>
      <c r="C72" s="1188"/>
      <c r="D72" s="409" t="s">
        <v>456</v>
      </c>
      <c r="E72" s="409" t="s">
        <v>452</v>
      </c>
      <c r="F72" s="409" t="s">
        <v>623</v>
      </c>
      <c r="G72" s="1662"/>
      <c r="H72" s="2772">
        <f>H74</f>
        <v>57.192</v>
      </c>
      <c r="I72" s="2773">
        <f>I74</f>
        <v>0</v>
      </c>
      <c r="J72" s="2774">
        <f>J74</f>
        <v>0</v>
      </c>
      <c r="K72" s="2735"/>
      <c r="L72" s="2735"/>
      <c r="M72" s="2735"/>
      <c r="N72" s="2775">
        <f>N74</f>
        <v>0</v>
      </c>
      <c r="O72" s="2735"/>
      <c r="P72" s="2735"/>
      <c r="Q72" s="2735"/>
      <c r="R72" s="2735"/>
      <c r="S72" s="2735"/>
      <c r="T72" s="2735"/>
      <c r="U72" s="2772">
        <f>U74</f>
        <v>0</v>
      </c>
    </row>
    <row r="73" spans="1:21" x14ac:dyDescent="0.25">
      <c r="A73" s="842"/>
      <c r="B73" s="1199" t="s">
        <v>1069</v>
      </c>
      <c r="C73" s="1188"/>
      <c r="D73" s="409" t="s">
        <v>456</v>
      </c>
      <c r="E73" s="409" t="s">
        <v>452</v>
      </c>
      <c r="F73" s="409" t="s">
        <v>623</v>
      </c>
      <c r="G73" s="1662" t="s">
        <v>1066</v>
      </c>
      <c r="H73" s="2772">
        <f t="shared" ref="H73:U73" si="7">H74</f>
        <v>57.192</v>
      </c>
      <c r="I73" s="2773">
        <f t="shared" si="7"/>
        <v>0</v>
      </c>
      <c r="J73" s="2774">
        <f t="shared" si="7"/>
        <v>0</v>
      </c>
      <c r="K73" s="2735">
        <f t="shared" si="7"/>
        <v>50.6</v>
      </c>
      <c r="L73" s="2735">
        <f t="shared" si="7"/>
        <v>0</v>
      </c>
      <c r="M73" s="2735">
        <f t="shared" si="7"/>
        <v>0</v>
      </c>
      <c r="N73" s="2775">
        <f t="shared" si="7"/>
        <v>0</v>
      </c>
      <c r="O73" s="2735">
        <f t="shared" si="7"/>
        <v>0</v>
      </c>
      <c r="P73" s="2735">
        <f t="shared" si="7"/>
        <v>0</v>
      </c>
      <c r="Q73" s="2735">
        <f t="shared" si="7"/>
        <v>0</v>
      </c>
      <c r="R73" s="2735">
        <f t="shared" si="7"/>
        <v>0</v>
      </c>
      <c r="S73" s="2735">
        <f t="shared" si="7"/>
        <v>0</v>
      </c>
      <c r="T73" s="2735">
        <f t="shared" si="7"/>
        <v>0</v>
      </c>
      <c r="U73" s="2772">
        <f t="shared" si="7"/>
        <v>0</v>
      </c>
    </row>
    <row r="74" spans="1:21" x14ac:dyDescent="0.25">
      <c r="A74" s="842"/>
      <c r="B74" s="1182" t="s">
        <v>575</v>
      </c>
      <c r="C74" s="1183"/>
      <c r="D74" s="409" t="s">
        <v>456</v>
      </c>
      <c r="E74" s="409" t="s">
        <v>452</v>
      </c>
      <c r="F74" s="409" t="s">
        <v>623</v>
      </c>
      <c r="G74" s="1662" t="s">
        <v>120</v>
      </c>
      <c r="H74" s="2772">
        <v>57.192</v>
      </c>
      <c r="I74" s="2773"/>
      <c r="J74" s="2774"/>
      <c r="K74" s="2735">
        <v>50.6</v>
      </c>
      <c r="L74" s="2735"/>
      <c r="M74" s="2735"/>
      <c r="N74" s="2775">
        <v>0</v>
      </c>
      <c r="O74" s="2735"/>
      <c r="P74" s="2735"/>
      <c r="Q74" s="2735"/>
      <c r="R74" s="2735"/>
      <c r="S74" s="2735"/>
      <c r="T74" s="2735"/>
      <c r="U74" s="2772">
        <v>0</v>
      </c>
    </row>
    <row r="75" spans="1:21" ht="21" x14ac:dyDescent="0.25">
      <c r="A75" s="842"/>
      <c r="B75" s="1201" t="s">
        <v>149</v>
      </c>
      <c r="C75" s="1188"/>
      <c r="D75" s="409" t="s">
        <v>456</v>
      </c>
      <c r="E75" s="409" t="s">
        <v>452</v>
      </c>
      <c r="F75" s="409" t="s">
        <v>148</v>
      </c>
      <c r="G75" s="1662"/>
      <c r="H75" s="2772">
        <f>H77</f>
        <v>329</v>
      </c>
      <c r="I75" s="2773">
        <f>I77</f>
        <v>0</v>
      </c>
      <c r="J75" s="2774">
        <f>J77</f>
        <v>0</v>
      </c>
      <c r="K75" s="2735"/>
      <c r="L75" s="2735"/>
      <c r="M75" s="2735"/>
      <c r="N75" s="2775">
        <f>N77</f>
        <v>0</v>
      </c>
      <c r="O75" s="2735"/>
      <c r="P75" s="2735"/>
      <c r="Q75" s="2735"/>
      <c r="R75" s="2735"/>
      <c r="S75" s="2735"/>
      <c r="T75" s="2735"/>
      <c r="U75" s="2772">
        <f>U77</f>
        <v>0</v>
      </c>
    </row>
    <row r="76" spans="1:21" x14ac:dyDescent="0.25">
      <c r="A76" s="842"/>
      <c r="B76" s="1201" t="s">
        <v>1069</v>
      </c>
      <c r="C76" s="1188"/>
      <c r="D76" s="409" t="s">
        <v>456</v>
      </c>
      <c r="E76" s="409" t="s">
        <v>452</v>
      </c>
      <c r="F76" s="409" t="s">
        <v>148</v>
      </c>
      <c r="G76" s="1662" t="s">
        <v>1066</v>
      </c>
      <c r="H76" s="2772">
        <f t="shared" ref="H76:U76" si="8">H77</f>
        <v>329</v>
      </c>
      <c r="I76" s="2773">
        <f t="shared" si="8"/>
        <v>0</v>
      </c>
      <c r="J76" s="2774">
        <f t="shared" si="8"/>
        <v>0</v>
      </c>
      <c r="K76" s="2735">
        <f t="shared" si="8"/>
        <v>307.5</v>
      </c>
      <c r="L76" s="2735">
        <f t="shared" si="8"/>
        <v>0</v>
      </c>
      <c r="M76" s="2735">
        <f t="shared" si="8"/>
        <v>0</v>
      </c>
      <c r="N76" s="2775">
        <f t="shared" si="8"/>
        <v>0</v>
      </c>
      <c r="O76" s="2735">
        <f t="shared" si="8"/>
        <v>0</v>
      </c>
      <c r="P76" s="2735">
        <f t="shared" si="8"/>
        <v>0</v>
      </c>
      <c r="Q76" s="2735">
        <f t="shared" si="8"/>
        <v>0</v>
      </c>
      <c r="R76" s="2735">
        <f t="shared" si="8"/>
        <v>0</v>
      </c>
      <c r="S76" s="2735">
        <f t="shared" si="8"/>
        <v>0</v>
      </c>
      <c r="T76" s="2735">
        <f t="shared" si="8"/>
        <v>0</v>
      </c>
      <c r="U76" s="2772">
        <f t="shared" si="8"/>
        <v>0</v>
      </c>
    </row>
    <row r="77" spans="1:21" x14ac:dyDescent="0.25">
      <c r="A77" s="842"/>
      <c r="B77" s="1182" t="s">
        <v>575</v>
      </c>
      <c r="C77" s="1183"/>
      <c r="D77" s="409" t="s">
        <v>456</v>
      </c>
      <c r="E77" s="409" t="s">
        <v>452</v>
      </c>
      <c r="F77" s="409" t="s">
        <v>148</v>
      </c>
      <c r="G77" s="1662" t="s">
        <v>120</v>
      </c>
      <c r="H77" s="2772">
        <f>350-21</f>
        <v>329</v>
      </c>
      <c r="I77" s="2773"/>
      <c r="J77" s="2774"/>
      <c r="K77" s="2735">
        <v>307.5</v>
      </c>
      <c r="L77" s="2735"/>
      <c r="M77" s="2735"/>
      <c r="N77" s="2775">
        <v>0</v>
      </c>
      <c r="O77" s="2735"/>
      <c r="P77" s="2735"/>
      <c r="Q77" s="2735"/>
      <c r="R77" s="2735"/>
      <c r="S77" s="2735"/>
      <c r="T77" s="2735"/>
      <c r="U77" s="2772">
        <v>0</v>
      </c>
    </row>
    <row r="78" spans="1:21" ht="39" x14ac:dyDescent="0.25">
      <c r="A78" s="842"/>
      <c r="B78" s="2904" t="s">
        <v>1234</v>
      </c>
      <c r="C78" s="1183"/>
      <c r="D78" s="409" t="s">
        <v>456</v>
      </c>
      <c r="E78" s="409" t="s">
        <v>452</v>
      </c>
      <c r="F78" s="409" t="s">
        <v>146</v>
      </c>
      <c r="G78" s="1662"/>
      <c r="H78" s="2772">
        <f>H80</f>
        <v>19.20834</v>
      </c>
      <c r="I78" s="2773">
        <f>I80</f>
        <v>0</v>
      </c>
      <c r="J78" s="2774">
        <f>J80</f>
        <v>0</v>
      </c>
      <c r="K78" s="2735"/>
      <c r="L78" s="2735"/>
      <c r="M78" s="2735"/>
      <c r="N78" s="2775">
        <f>N80</f>
        <v>0</v>
      </c>
      <c r="O78" s="2735"/>
      <c r="P78" s="2735"/>
      <c r="Q78" s="2735"/>
      <c r="R78" s="2735"/>
      <c r="S78" s="2735"/>
      <c r="T78" s="2735"/>
      <c r="U78" s="2772">
        <f>U80</f>
        <v>0</v>
      </c>
    </row>
    <row r="79" spans="1:21" x14ac:dyDescent="0.25">
      <c r="A79" s="842"/>
      <c r="B79" s="1201" t="s">
        <v>1069</v>
      </c>
      <c r="C79" s="1183"/>
      <c r="D79" s="409" t="s">
        <v>456</v>
      </c>
      <c r="E79" s="409" t="s">
        <v>452</v>
      </c>
      <c r="F79" s="409" t="s">
        <v>146</v>
      </c>
      <c r="G79" s="1662" t="s">
        <v>1066</v>
      </c>
      <c r="H79" s="2772">
        <f>H80</f>
        <v>19.20834</v>
      </c>
      <c r="I79" s="2773"/>
      <c r="J79" s="2774"/>
      <c r="K79" s="2735"/>
      <c r="L79" s="2735"/>
      <c r="M79" s="2735"/>
      <c r="N79" s="2775"/>
      <c r="O79" s="2735"/>
      <c r="P79" s="2735"/>
      <c r="Q79" s="2735"/>
      <c r="R79" s="2735"/>
      <c r="S79" s="2735"/>
      <c r="T79" s="2735"/>
      <c r="U79" s="2772"/>
    </row>
    <row r="80" spans="1:21" x14ac:dyDescent="0.25">
      <c r="A80" s="842"/>
      <c r="B80" s="1182" t="s">
        <v>575</v>
      </c>
      <c r="C80" s="1183"/>
      <c r="D80" s="409" t="s">
        <v>456</v>
      </c>
      <c r="E80" s="409" t="s">
        <v>452</v>
      </c>
      <c r="F80" s="409" t="s">
        <v>146</v>
      </c>
      <c r="G80" s="1662" t="s">
        <v>120</v>
      </c>
      <c r="H80" s="2772">
        <v>19.20834</v>
      </c>
      <c r="I80" s="2773"/>
      <c r="J80" s="2774"/>
      <c r="K80" s="2735"/>
      <c r="L80" s="2735"/>
      <c r="M80" s="2735"/>
      <c r="N80" s="2775">
        <v>0</v>
      </c>
      <c r="O80" s="2735"/>
      <c r="P80" s="2735"/>
      <c r="Q80" s="2735"/>
      <c r="R80" s="2735"/>
      <c r="S80" s="2735"/>
      <c r="T80" s="2735"/>
      <c r="U80" s="2772">
        <v>0</v>
      </c>
    </row>
    <row r="81" spans="1:21" ht="31.5" x14ac:dyDescent="0.25">
      <c r="A81" s="842"/>
      <c r="B81" s="1203" t="s">
        <v>111</v>
      </c>
      <c r="C81" s="1183"/>
      <c r="D81" s="409" t="s">
        <v>456</v>
      </c>
      <c r="E81" s="409" t="s">
        <v>452</v>
      </c>
      <c r="F81" s="1204" t="s">
        <v>110</v>
      </c>
      <c r="G81" s="1662"/>
      <c r="H81" s="2772">
        <f>H82</f>
        <v>1594.0889999999999</v>
      </c>
      <c r="I81" s="2773">
        <f t="shared" ref="I81:J82" si="9">I82</f>
        <v>1627.663</v>
      </c>
      <c r="J81" s="2774">
        <f t="shared" si="9"/>
        <v>1782.7329999999999</v>
      </c>
      <c r="K81" s="2735"/>
      <c r="L81" s="2735"/>
      <c r="M81" s="2735"/>
      <c r="N81" s="2775">
        <f>N82</f>
        <v>1657.854</v>
      </c>
      <c r="O81" s="2735"/>
      <c r="P81" s="2735"/>
      <c r="Q81" s="2735"/>
      <c r="R81" s="2735"/>
      <c r="S81" s="2735"/>
      <c r="T81" s="2735"/>
      <c r="U81" s="2772">
        <f>U82</f>
        <v>1724.1669999999999</v>
      </c>
    </row>
    <row r="82" spans="1:21" x14ac:dyDescent="0.25">
      <c r="A82" s="842"/>
      <c r="B82" s="1197" t="s">
        <v>109</v>
      </c>
      <c r="C82" s="1183"/>
      <c r="D82" s="409" t="s">
        <v>456</v>
      </c>
      <c r="E82" s="409" t="s">
        <v>452</v>
      </c>
      <c r="F82" s="1204" t="s">
        <v>108</v>
      </c>
      <c r="G82" s="1662"/>
      <c r="H82" s="2772">
        <f>H83</f>
        <v>1594.0889999999999</v>
      </c>
      <c r="I82" s="2773">
        <f t="shared" si="9"/>
        <v>1627.663</v>
      </c>
      <c r="J82" s="2774">
        <f t="shared" si="9"/>
        <v>1782.7329999999999</v>
      </c>
      <c r="K82" s="2735"/>
      <c r="L82" s="2735"/>
      <c r="M82" s="2735"/>
      <c r="N82" s="2775">
        <f>N83</f>
        <v>1657.854</v>
      </c>
      <c r="O82" s="2735"/>
      <c r="P82" s="2735"/>
      <c r="Q82" s="2735"/>
      <c r="R82" s="2735"/>
      <c r="S82" s="2735"/>
      <c r="T82" s="2735"/>
      <c r="U82" s="2772">
        <f>U83</f>
        <v>1724.1669999999999</v>
      </c>
    </row>
    <row r="83" spans="1:21" ht="21" x14ac:dyDescent="0.25">
      <c r="A83" s="842"/>
      <c r="B83" s="1205" t="s">
        <v>107</v>
      </c>
      <c r="C83" s="1183"/>
      <c r="D83" s="409" t="s">
        <v>456</v>
      </c>
      <c r="E83" s="409" t="s">
        <v>452</v>
      </c>
      <c r="F83" s="1204" t="s">
        <v>104</v>
      </c>
      <c r="G83" s="1662"/>
      <c r="H83" s="2772">
        <f>H85</f>
        <v>1594.0889999999999</v>
      </c>
      <c r="I83" s="2773">
        <f>I85</f>
        <v>1627.663</v>
      </c>
      <c r="J83" s="2774">
        <f>J85</f>
        <v>1782.7329999999999</v>
      </c>
      <c r="K83" s="2735"/>
      <c r="L83" s="2735"/>
      <c r="M83" s="2735"/>
      <c r="N83" s="2775">
        <f>N85</f>
        <v>1657.854</v>
      </c>
      <c r="O83" s="2735"/>
      <c r="P83" s="2735"/>
      <c r="Q83" s="2735"/>
      <c r="R83" s="2735"/>
      <c r="S83" s="2735"/>
      <c r="T83" s="2735"/>
      <c r="U83" s="2772">
        <f>U85</f>
        <v>1724.1669999999999</v>
      </c>
    </row>
    <row r="84" spans="1:21" ht="39" x14ac:dyDescent="0.25">
      <c r="A84" s="842"/>
      <c r="B84" s="49" t="s">
        <v>1063</v>
      </c>
      <c r="C84" s="1183"/>
      <c r="D84" s="409" t="s">
        <v>456</v>
      </c>
      <c r="E84" s="409" t="s">
        <v>452</v>
      </c>
      <c r="F84" s="1204" t="s">
        <v>104</v>
      </c>
      <c r="G84" s="1662" t="s">
        <v>1062</v>
      </c>
      <c r="H84" s="2772">
        <f t="shared" ref="H84:U84" si="10">H85</f>
        <v>1594.0889999999999</v>
      </c>
      <c r="I84" s="2773">
        <f t="shared" si="10"/>
        <v>1627.663</v>
      </c>
      <c r="J84" s="2774">
        <f t="shared" si="10"/>
        <v>1782.7329999999999</v>
      </c>
      <c r="K84" s="2735">
        <f t="shared" si="10"/>
        <v>1512.6</v>
      </c>
      <c r="L84" s="2735">
        <f t="shared" si="10"/>
        <v>0</v>
      </c>
      <c r="M84" s="2735">
        <f t="shared" si="10"/>
        <v>0</v>
      </c>
      <c r="N84" s="2775">
        <f t="shared" si="10"/>
        <v>1657.854</v>
      </c>
      <c r="O84" s="2735">
        <f t="shared" si="10"/>
        <v>0</v>
      </c>
      <c r="P84" s="2735">
        <f t="shared" si="10"/>
        <v>0</v>
      </c>
      <c r="Q84" s="2735">
        <f t="shared" si="10"/>
        <v>0</v>
      </c>
      <c r="R84" s="2735">
        <f t="shared" si="10"/>
        <v>0</v>
      </c>
      <c r="S84" s="2735">
        <f t="shared" si="10"/>
        <v>0</v>
      </c>
      <c r="T84" s="2735">
        <f t="shared" si="10"/>
        <v>0</v>
      </c>
      <c r="U84" s="2772">
        <f t="shared" si="10"/>
        <v>1724.1669999999999</v>
      </c>
    </row>
    <row r="85" spans="1:21" x14ac:dyDescent="0.25">
      <c r="A85" s="842"/>
      <c r="B85" s="1182" t="s">
        <v>571</v>
      </c>
      <c r="C85" s="1183"/>
      <c r="D85" s="409" t="s">
        <v>456</v>
      </c>
      <c r="E85" s="409" t="s">
        <v>452</v>
      </c>
      <c r="F85" s="1204" t="s">
        <v>104</v>
      </c>
      <c r="G85" s="1662" t="s">
        <v>5</v>
      </c>
      <c r="H85" s="2772">
        <v>1594.0889999999999</v>
      </c>
      <c r="I85" s="2773">
        <v>1627.663</v>
      </c>
      <c r="J85" s="2774">
        <v>1782.7329999999999</v>
      </c>
      <c r="K85" s="2735">
        <f>1161.751+350.849</f>
        <v>1512.6</v>
      </c>
      <c r="L85" s="2735"/>
      <c r="M85" s="2735"/>
      <c r="N85" s="2775">
        <v>1657.854</v>
      </c>
      <c r="O85" s="2735"/>
      <c r="P85" s="2735"/>
      <c r="Q85" s="2735"/>
      <c r="R85" s="2735"/>
      <c r="S85" s="2735"/>
      <c r="T85" s="2735"/>
      <c r="U85" s="2772">
        <v>1724.1669999999999</v>
      </c>
    </row>
    <row r="86" spans="1:21" s="760" customFormat="1" ht="23" x14ac:dyDescent="0.3">
      <c r="A86" s="842"/>
      <c r="B86" s="1206" t="s">
        <v>122</v>
      </c>
      <c r="C86" s="1207"/>
      <c r="D86" s="408" t="s">
        <v>456</v>
      </c>
      <c r="E86" s="408" t="s">
        <v>585</v>
      </c>
      <c r="F86" s="763"/>
      <c r="G86" s="1661"/>
      <c r="H86" s="2776">
        <f>H87</f>
        <v>420.65</v>
      </c>
      <c r="I86" s="2777"/>
      <c r="J86" s="2778"/>
      <c r="K86" s="2779"/>
      <c r="L86" s="2779"/>
      <c r="M86" s="2779"/>
      <c r="N86" s="2780">
        <f t="shared" ref="N86:U89" si="11">N87</f>
        <v>0</v>
      </c>
      <c r="O86" s="2779">
        <f t="shared" si="11"/>
        <v>0</v>
      </c>
      <c r="P86" s="2779">
        <f t="shared" si="11"/>
        <v>0</v>
      </c>
      <c r="Q86" s="2779">
        <f t="shared" si="11"/>
        <v>0</v>
      </c>
      <c r="R86" s="2779">
        <f t="shared" si="11"/>
        <v>0</v>
      </c>
      <c r="S86" s="2779">
        <f t="shared" si="11"/>
        <v>0</v>
      </c>
      <c r="T86" s="2779">
        <f t="shared" si="11"/>
        <v>0</v>
      </c>
      <c r="U86" s="2776">
        <f t="shared" si="11"/>
        <v>0</v>
      </c>
    </row>
    <row r="87" spans="1:21" ht="21" x14ac:dyDescent="0.25">
      <c r="A87" s="842"/>
      <c r="B87" s="1209" t="s">
        <v>588</v>
      </c>
      <c r="C87" s="1183"/>
      <c r="D87" s="409" t="s">
        <v>456</v>
      </c>
      <c r="E87" s="409" t="s">
        <v>585</v>
      </c>
      <c r="F87" s="1204" t="s">
        <v>157</v>
      </c>
      <c r="G87" s="1662"/>
      <c r="H87" s="2772">
        <f>H88</f>
        <v>420.65</v>
      </c>
      <c r="I87" s="2773"/>
      <c r="J87" s="2774"/>
      <c r="K87" s="2735"/>
      <c r="L87" s="2735"/>
      <c r="M87" s="2735"/>
      <c r="N87" s="2775">
        <f t="shared" si="11"/>
        <v>0</v>
      </c>
      <c r="O87" s="2735">
        <f t="shared" si="11"/>
        <v>0</v>
      </c>
      <c r="P87" s="2735">
        <f t="shared" si="11"/>
        <v>0</v>
      </c>
      <c r="Q87" s="2735">
        <f t="shared" si="11"/>
        <v>0</v>
      </c>
      <c r="R87" s="2735">
        <f t="shared" si="11"/>
        <v>0</v>
      </c>
      <c r="S87" s="2735">
        <f t="shared" si="11"/>
        <v>0</v>
      </c>
      <c r="T87" s="2735">
        <f t="shared" si="11"/>
        <v>0</v>
      </c>
      <c r="U87" s="2772">
        <f t="shared" si="11"/>
        <v>0</v>
      </c>
    </row>
    <row r="88" spans="1:21" ht="21" x14ac:dyDescent="0.25">
      <c r="A88" s="842"/>
      <c r="B88" s="1209" t="s">
        <v>587</v>
      </c>
      <c r="C88" s="1183"/>
      <c r="D88" s="409" t="s">
        <v>456</v>
      </c>
      <c r="E88" s="409" t="s">
        <v>585</v>
      </c>
      <c r="F88" s="1204" t="s">
        <v>155</v>
      </c>
      <c r="G88" s="1662"/>
      <c r="H88" s="2772">
        <f>H89</f>
        <v>420.65</v>
      </c>
      <c r="I88" s="2773"/>
      <c r="J88" s="2774"/>
      <c r="K88" s="2735"/>
      <c r="L88" s="2735"/>
      <c r="M88" s="2735"/>
      <c r="N88" s="2775">
        <f t="shared" si="11"/>
        <v>0</v>
      </c>
      <c r="O88" s="2735">
        <f t="shared" si="11"/>
        <v>0</v>
      </c>
      <c r="P88" s="2735">
        <f t="shared" si="11"/>
        <v>0</v>
      </c>
      <c r="Q88" s="2735">
        <f t="shared" si="11"/>
        <v>0</v>
      </c>
      <c r="R88" s="2735">
        <f t="shared" si="11"/>
        <v>0</v>
      </c>
      <c r="S88" s="2735">
        <f t="shared" si="11"/>
        <v>0</v>
      </c>
      <c r="T88" s="2735">
        <f t="shared" si="11"/>
        <v>0</v>
      </c>
      <c r="U88" s="2772">
        <f t="shared" si="11"/>
        <v>0</v>
      </c>
    </row>
    <row r="89" spans="1:21" x14ac:dyDescent="0.25">
      <c r="A89" s="842"/>
      <c r="B89" s="1209" t="s">
        <v>582</v>
      </c>
      <c r="C89" s="1183"/>
      <c r="D89" s="409" t="s">
        <v>456</v>
      </c>
      <c r="E89" s="409" t="s">
        <v>585</v>
      </c>
      <c r="F89" s="1204" t="s">
        <v>154</v>
      </c>
      <c r="G89" s="1662"/>
      <c r="H89" s="2772">
        <f>H90</f>
        <v>420.65</v>
      </c>
      <c r="I89" s="2773"/>
      <c r="J89" s="2774"/>
      <c r="K89" s="2735"/>
      <c r="L89" s="2735"/>
      <c r="M89" s="2735"/>
      <c r="N89" s="2775">
        <f t="shared" si="11"/>
        <v>0</v>
      </c>
      <c r="O89" s="2735">
        <f t="shared" si="11"/>
        <v>0</v>
      </c>
      <c r="P89" s="2735">
        <f t="shared" si="11"/>
        <v>0</v>
      </c>
      <c r="Q89" s="2735">
        <f t="shared" si="11"/>
        <v>0</v>
      </c>
      <c r="R89" s="2735">
        <f t="shared" si="11"/>
        <v>0</v>
      </c>
      <c r="S89" s="2735">
        <f t="shared" si="11"/>
        <v>0</v>
      </c>
      <c r="T89" s="2735">
        <f t="shared" si="11"/>
        <v>0</v>
      </c>
      <c r="U89" s="2772">
        <f t="shared" si="11"/>
        <v>0</v>
      </c>
    </row>
    <row r="90" spans="1:21" ht="21" x14ac:dyDescent="0.25">
      <c r="A90" s="842"/>
      <c r="B90" s="1209" t="s">
        <v>586</v>
      </c>
      <c r="C90" s="1183"/>
      <c r="D90" s="409" t="s">
        <v>456</v>
      </c>
      <c r="E90" s="409" t="s">
        <v>585</v>
      </c>
      <c r="F90" s="1204" t="s">
        <v>129</v>
      </c>
      <c r="G90" s="1662"/>
      <c r="H90" s="2772">
        <f>H92</f>
        <v>420.65</v>
      </c>
      <c r="I90" s="2773"/>
      <c r="J90" s="2774"/>
      <c r="K90" s="2735"/>
      <c r="L90" s="2735"/>
      <c r="M90" s="2735"/>
      <c r="N90" s="2775">
        <f t="shared" ref="N90:U90" si="12">N92</f>
        <v>0</v>
      </c>
      <c r="O90" s="2735">
        <f t="shared" si="12"/>
        <v>0</v>
      </c>
      <c r="P90" s="2735">
        <f t="shared" si="12"/>
        <v>0</v>
      </c>
      <c r="Q90" s="2735">
        <f t="shared" si="12"/>
        <v>0</v>
      </c>
      <c r="R90" s="2735">
        <f t="shared" si="12"/>
        <v>0</v>
      </c>
      <c r="S90" s="2735">
        <f t="shared" si="12"/>
        <v>0</v>
      </c>
      <c r="T90" s="2735">
        <f t="shared" si="12"/>
        <v>0</v>
      </c>
      <c r="U90" s="2772">
        <f t="shared" si="12"/>
        <v>0</v>
      </c>
    </row>
    <row r="91" spans="1:21" x14ac:dyDescent="0.25">
      <c r="A91" s="842"/>
      <c r="B91" s="1209" t="s">
        <v>1069</v>
      </c>
      <c r="C91" s="1183"/>
      <c r="D91" s="409" t="s">
        <v>456</v>
      </c>
      <c r="E91" s="409" t="s">
        <v>585</v>
      </c>
      <c r="F91" s="1204" t="s">
        <v>129</v>
      </c>
      <c r="G91" s="1662" t="s">
        <v>1066</v>
      </c>
      <c r="H91" s="2772">
        <f t="shared" ref="H91:U91" si="13">H92</f>
        <v>420.65</v>
      </c>
      <c r="I91" s="2773">
        <f t="shared" si="13"/>
        <v>0</v>
      </c>
      <c r="J91" s="2774">
        <f t="shared" si="13"/>
        <v>0</v>
      </c>
      <c r="K91" s="2735">
        <f t="shared" si="13"/>
        <v>419.95499999999998</v>
      </c>
      <c r="L91" s="2735">
        <f t="shared" si="13"/>
        <v>0</v>
      </c>
      <c r="M91" s="2735">
        <f t="shared" si="13"/>
        <v>0</v>
      </c>
      <c r="N91" s="2775">
        <f t="shared" si="13"/>
        <v>0</v>
      </c>
      <c r="O91" s="2735">
        <f t="shared" si="13"/>
        <v>0</v>
      </c>
      <c r="P91" s="2735">
        <f t="shared" si="13"/>
        <v>0</v>
      </c>
      <c r="Q91" s="2735">
        <f t="shared" si="13"/>
        <v>0</v>
      </c>
      <c r="R91" s="2735">
        <f t="shared" si="13"/>
        <v>0</v>
      </c>
      <c r="S91" s="2735">
        <f t="shared" si="13"/>
        <v>0</v>
      </c>
      <c r="T91" s="2735">
        <f t="shared" si="13"/>
        <v>0</v>
      </c>
      <c r="U91" s="2772">
        <f t="shared" si="13"/>
        <v>0</v>
      </c>
    </row>
    <row r="92" spans="1:21" x14ac:dyDescent="0.25">
      <c r="A92" s="842"/>
      <c r="B92" s="1198" t="s">
        <v>575</v>
      </c>
      <c r="C92" s="1183"/>
      <c r="D92" s="409" t="s">
        <v>456</v>
      </c>
      <c r="E92" s="409" t="s">
        <v>585</v>
      </c>
      <c r="F92" s="1204" t="s">
        <v>129</v>
      </c>
      <c r="G92" s="1662" t="s">
        <v>120</v>
      </c>
      <c r="H92" s="2772">
        <v>420.65</v>
      </c>
      <c r="I92" s="2773"/>
      <c r="J92" s="2774"/>
      <c r="K92" s="2735">
        <v>419.95499999999998</v>
      </c>
      <c r="L92" s="2735"/>
      <c r="M92" s="2735"/>
      <c r="N92" s="2775">
        <v>0</v>
      </c>
      <c r="O92" s="2735"/>
      <c r="P92" s="2735"/>
      <c r="Q92" s="2735"/>
      <c r="R92" s="2735"/>
      <c r="S92" s="2735"/>
      <c r="T92" s="2735"/>
      <c r="U92" s="2772">
        <v>0</v>
      </c>
    </row>
    <row r="93" spans="1:21" s="760" customFormat="1" ht="13" hidden="1" x14ac:dyDescent="0.3">
      <c r="A93" s="842"/>
      <c r="B93" s="1210" t="s">
        <v>419</v>
      </c>
      <c r="C93" s="408"/>
      <c r="D93" s="408" t="s">
        <v>456</v>
      </c>
      <c r="E93" s="408" t="s">
        <v>506</v>
      </c>
      <c r="F93" s="763"/>
      <c r="G93" s="1661"/>
      <c r="H93" s="2776">
        <f>H94</f>
        <v>0</v>
      </c>
      <c r="I93" s="2777"/>
      <c r="J93" s="2778"/>
      <c r="K93" s="2779"/>
      <c r="L93" s="2779"/>
      <c r="M93" s="2779"/>
      <c r="N93" s="2780">
        <f>N94</f>
        <v>0</v>
      </c>
      <c r="O93" s="2779"/>
      <c r="P93" s="2779"/>
      <c r="Q93" s="2779"/>
      <c r="R93" s="2779"/>
      <c r="S93" s="2779"/>
      <c r="T93" s="2779"/>
      <c r="U93" s="2776">
        <f>U94</f>
        <v>0</v>
      </c>
    </row>
    <row r="94" spans="1:21" ht="21" hidden="1" x14ac:dyDescent="0.25">
      <c r="A94" s="1179"/>
      <c r="B94" s="762" t="s">
        <v>499</v>
      </c>
      <c r="C94" s="409"/>
      <c r="D94" s="409" t="s">
        <v>456</v>
      </c>
      <c r="E94" s="409" t="s">
        <v>506</v>
      </c>
      <c r="F94" s="409" t="s">
        <v>89</v>
      </c>
      <c r="G94" s="1662"/>
      <c r="H94" s="2772">
        <f>H95</f>
        <v>0</v>
      </c>
      <c r="I94" s="2773"/>
      <c r="J94" s="2774"/>
      <c r="K94" s="2735"/>
      <c r="L94" s="2735"/>
      <c r="M94" s="2735"/>
      <c r="N94" s="2775">
        <f>N95</f>
        <v>0</v>
      </c>
      <c r="O94" s="2735"/>
      <c r="P94" s="2735"/>
      <c r="Q94" s="2735"/>
      <c r="R94" s="2735"/>
      <c r="S94" s="2735"/>
      <c r="T94" s="2735"/>
      <c r="U94" s="2772">
        <f>U95</f>
        <v>0</v>
      </c>
    </row>
    <row r="95" spans="1:21" hidden="1" x14ac:dyDescent="0.25">
      <c r="A95" s="842"/>
      <c r="B95" s="709" t="s">
        <v>109</v>
      </c>
      <c r="C95" s="409"/>
      <c r="D95" s="409" t="s">
        <v>456</v>
      </c>
      <c r="E95" s="409" t="s">
        <v>506</v>
      </c>
      <c r="F95" s="409" t="s">
        <v>581</v>
      </c>
      <c r="G95" s="1662"/>
      <c r="H95" s="2772">
        <f>H96</f>
        <v>0</v>
      </c>
      <c r="I95" s="2773"/>
      <c r="J95" s="2774"/>
      <c r="K95" s="2735"/>
      <c r="L95" s="2735"/>
      <c r="M95" s="2735"/>
      <c r="N95" s="2775">
        <f>N96</f>
        <v>0</v>
      </c>
      <c r="O95" s="2735"/>
      <c r="P95" s="2735"/>
      <c r="Q95" s="2735"/>
      <c r="R95" s="2735"/>
      <c r="S95" s="2735"/>
      <c r="T95" s="2735"/>
      <c r="U95" s="2772">
        <f>U96</f>
        <v>0</v>
      </c>
    </row>
    <row r="96" spans="1:21" hidden="1" x14ac:dyDescent="0.25">
      <c r="A96" s="842"/>
      <c r="B96" s="709" t="s">
        <v>109</v>
      </c>
      <c r="C96" s="409"/>
      <c r="D96" s="409" t="s">
        <v>456</v>
      </c>
      <c r="E96" s="409" t="s">
        <v>506</v>
      </c>
      <c r="F96" s="409" t="s">
        <v>82</v>
      </c>
      <c r="G96" s="1662"/>
      <c r="H96" s="2772">
        <f>H97</f>
        <v>0</v>
      </c>
      <c r="I96" s="2773"/>
      <c r="J96" s="2774"/>
      <c r="K96" s="2735"/>
      <c r="L96" s="2735"/>
      <c r="M96" s="2735"/>
      <c r="N96" s="2775">
        <f>N97</f>
        <v>0</v>
      </c>
      <c r="O96" s="2735"/>
      <c r="P96" s="2735"/>
      <c r="Q96" s="2735"/>
      <c r="R96" s="2735"/>
      <c r="S96" s="2735"/>
      <c r="T96" s="2735"/>
      <c r="U96" s="2772">
        <f>U97</f>
        <v>0</v>
      </c>
    </row>
    <row r="97" spans="1:21" ht="21" hidden="1" x14ac:dyDescent="0.25">
      <c r="A97" s="842"/>
      <c r="B97" s="1209" t="s">
        <v>788</v>
      </c>
      <c r="C97" s="409"/>
      <c r="D97" s="409" t="s">
        <v>456</v>
      </c>
      <c r="E97" s="409" t="s">
        <v>506</v>
      </c>
      <c r="F97" s="409" t="s">
        <v>1104</v>
      </c>
      <c r="G97" s="1662"/>
      <c r="H97" s="2772">
        <f>H99</f>
        <v>0</v>
      </c>
      <c r="I97" s="2773"/>
      <c r="J97" s="2774"/>
      <c r="K97" s="2735"/>
      <c r="L97" s="2735"/>
      <c r="M97" s="2735"/>
      <c r="N97" s="2775">
        <f>N99</f>
        <v>0</v>
      </c>
      <c r="O97" s="2735"/>
      <c r="P97" s="2735"/>
      <c r="Q97" s="2735"/>
      <c r="R97" s="2735"/>
      <c r="S97" s="2735"/>
      <c r="T97" s="2735"/>
      <c r="U97" s="2772">
        <f>U99</f>
        <v>0</v>
      </c>
    </row>
    <row r="98" spans="1:21" hidden="1" x14ac:dyDescent="0.25">
      <c r="A98" s="842"/>
      <c r="B98" s="753" t="s">
        <v>948</v>
      </c>
      <c r="C98" s="409"/>
      <c r="D98" s="409" t="s">
        <v>456</v>
      </c>
      <c r="E98" s="409" t="s">
        <v>506</v>
      </c>
      <c r="F98" s="409" t="s">
        <v>1104</v>
      </c>
      <c r="G98" s="1662" t="s">
        <v>955</v>
      </c>
      <c r="H98" s="2772">
        <f t="shared" ref="H98:U98" si="14">H99</f>
        <v>0</v>
      </c>
      <c r="I98" s="2773">
        <f t="shared" si="14"/>
        <v>0</v>
      </c>
      <c r="J98" s="2774">
        <f t="shared" si="14"/>
        <v>0</v>
      </c>
      <c r="K98" s="2735">
        <f t="shared" si="14"/>
        <v>0</v>
      </c>
      <c r="L98" s="2735">
        <f t="shared" si="14"/>
        <v>0</v>
      </c>
      <c r="M98" s="2735">
        <f t="shared" si="14"/>
        <v>0</v>
      </c>
      <c r="N98" s="2775">
        <f t="shared" si="14"/>
        <v>0</v>
      </c>
      <c r="O98" s="2735">
        <f t="shared" si="14"/>
        <v>0</v>
      </c>
      <c r="P98" s="2735">
        <f t="shared" si="14"/>
        <v>0</v>
      </c>
      <c r="Q98" s="2735">
        <f t="shared" si="14"/>
        <v>0</v>
      </c>
      <c r="R98" s="2735">
        <f t="shared" si="14"/>
        <v>0</v>
      </c>
      <c r="S98" s="2735">
        <f t="shared" si="14"/>
        <v>0</v>
      </c>
      <c r="T98" s="2735">
        <f t="shared" si="14"/>
        <v>0</v>
      </c>
      <c r="U98" s="2772">
        <f t="shared" si="14"/>
        <v>0</v>
      </c>
    </row>
    <row r="99" spans="1:21" ht="21" hidden="1" x14ac:dyDescent="0.25">
      <c r="A99" s="842"/>
      <c r="B99" s="1182" t="s">
        <v>454</v>
      </c>
      <c r="C99" s="409"/>
      <c r="D99" s="409" t="s">
        <v>456</v>
      </c>
      <c r="E99" s="409" t="s">
        <v>506</v>
      </c>
      <c r="F99" s="409" t="s">
        <v>1104</v>
      </c>
      <c r="G99" s="1662" t="s">
        <v>1</v>
      </c>
      <c r="H99" s="2772"/>
      <c r="I99" s="2773"/>
      <c r="J99" s="2774"/>
      <c r="K99" s="2735"/>
      <c r="L99" s="2735"/>
      <c r="M99" s="2735"/>
      <c r="N99" s="2775">
        <v>0</v>
      </c>
      <c r="O99" s="2735"/>
      <c r="P99" s="2735"/>
      <c r="Q99" s="2735"/>
      <c r="R99" s="2735"/>
      <c r="S99" s="2735"/>
      <c r="T99" s="2735"/>
      <c r="U99" s="2772">
        <v>0</v>
      </c>
    </row>
    <row r="100" spans="1:21" x14ac:dyDescent="0.25">
      <c r="A100" s="842"/>
      <c r="B100" s="1184" t="s">
        <v>68</v>
      </c>
      <c r="C100" s="1177"/>
      <c r="D100" s="408" t="s">
        <v>456</v>
      </c>
      <c r="E100" s="408" t="s">
        <v>464</v>
      </c>
      <c r="F100" s="408"/>
      <c r="G100" s="1661"/>
      <c r="H100" s="2776">
        <f t="shared" ref="H100:J103" si="15">H101</f>
        <v>2400</v>
      </c>
      <c r="I100" s="2777">
        <f t="shared" si="15"/>
        <v>0</v>
      </c>
      <c r="J100" s="2778">
        <f t="shared" si="15"/>
        <v>0</v>
      </c>
      <c r="K100" s="2735"/>
      <c r="L100" s="2735"/>
      <c r="M100" s="2735"/>
      <c r="N100" s="2780">
        <f t="shared" ref="N100:N103" si="16">N101</f>
        <v>2500</v>
      </c>
      <c r="O100" s="2735"/>
      <c r="P100" s="2735"/>
      <c r="Q100" s="2735"/>
      <c r="R100" s="2735"/>
      <c r="S100" s="2735"/>
      <c r="T100" s="2735"/>
      <c r="U100" s="2776">
        <f t="shared" ref="U100:U103" si="17">U101</f>
        <v>2650</v>
      </c>
    </row>
    <row r="101" spans="1:21" ht="21" x14ac:dyDescent="0.25">
      <c r="A101" s="1179"/>
      <c r="B101" s="753" t="s">
        <v>499</v>
      </c>
      <c r="C101" s="1180"/>
      <c r="D101" s="409" t="s">
        <v>456</v>
      </c>
      <c r="E101" s="409" t="s">
        <v>464</v>
      </c>
      <c r="F101" s="409" t="s">
        <v>89</v>
      </c>
      <c r="G101" s="1662"/>
      <c r="H101" s="2772">
        <f t="shared" si="15"/>
        <v>2400</v>
      </c>
      <c r="I101" s="2773">
        <f t="shared" si="15"/>
        <v>0</v>
      </c>
      <c r="J101" s="2774">
        <f t="shared" si="15"/>
        <v>0</v>
      </c>
      <c r="K101" s="2735"/>
      <c r="L101" s="2735"/>
      <c r="M101" s="2735"/>
      <c r="N101" s="2775">
        <f t="shared" si="16"/>
        <v>2500</v>
      </c>
      <c r="O101" s="2735"/>
      <c r="P101" s="2735"/>
      <c r="Q101" s="2735"/>
      <c r="R101" s="2735"/>
      <c r="S101" s="2735"/>
      <c r="T101" s="2735"/>
      <c r="U101" s="2772">
        <f t="shared" si="17"/>
        <v>2650</v>
      </c>
    </row>
    <row r="102" spans="1:21" x14ac:dyDescent="0.25">
      <c r="A102" s="842"/>
      <c r="B102" s="1180" t="s">
        <v>109</v>
      </c>
      <c r="C102" s="1180"/>
      <c r="D102" s="409" t="s">
        <v>456</v>
      </c>
      <c r="E102" s="409" t="s">
        <v>464</v>
      </c>
      <c r="F102" s="409" t="s">
        <v>581</v>
      </c>
      <c r="G102" s="1662"/>
      <c r="H102" s="2772">
        <f t="shared" si="15"/>
        <v>2400</v>
      </c>
      <c r="I102" s="2773">
        <f t="shared" si="15"/>
        <v>0</v>
      </c>
      <c r="J102" s="2774">
        <f t="shared" si="15"/>
        <v>0</v>
      </c>
      <c r="K102" s="2735"/>
      <c r="L102" s="2735"/>
      <c r="M102" s="2735"/>
      <c r="N102" s="2775">
        <f t="shared" si="16"/>
        <v>2500</v>
      </c>
      <c r="O102" s="2735"/>
      <c r="P102" s="2735"/>
      <c r="Q102" s="2735"/>
      <c r="R102" s="2735"/>
      <c r="S102" s="2735"/>
      <c r="T102" s="2735"/>
      <c r="U102" s="2772">
        <f t="shared" si="17"/>
        <v>2650</v>
      </c>
    </row>
    <row r="103" spans="1:21" x14ac:dyDescent="0.25">
      <c r="A103" s="842"/>
      <c r="B103" s="1180" t="s">
        <v>109</v>
      </c>
      <c r="C103" s="1180"/>
      <c r="D103" s="409" t="s">
        <v>456</v>
      </c>
      <c r="E103" s="409" t="s">
        <v>464</v>
      </c>
      <c r="F103" s="409" t="s">
        <v>82</v>
      </c>
      <c r="G103" s="1662"/>
      <c r="H103" s="2772">
        <f t="shared" si="15"/>
        <v>2400</v>
      </c>
      <c r="I103" s="2773">
        <f t="shared" si="15"/>
        <v>0</v>
      </c>
      <c r="J103" s="2774">
        <f t="shared" si="15"/>
        <v>0</v>
      </c>
      <c r="K103" s="2735"/>
      <c r="L103" s="2735"/>
      <c r="M103" s="2735"/>
      <c r="N103" s="2775">
        <f t="shared" si="16"/>
        <v>2500</v>
      </c>
      <c r="O103" s="2735"/>
      <c r="P103" s="2735"/>
      <c r="Q103" s="2735"/>
      <c r="R103" s="2735"/>
      <c r="S103" s="2735"/>
      <c r="T103" s="2735"/>
      <c r="U103" s="2772">
        <f t="shared" si="17"/>
        <v>2650</v>
      </c>
    </row>
    <row r="104" spans="1:21" ht="21" x14ac:dyDescent="0.25">
      <c r="A104" s="842"/>
      <c r="B104" s="1180" t="s">
        <v>72</v>
      </c>
      <c r="C104" s="1180"/>
      <c r="D104" s="409" t="s">
        <v>456</v>
      </c>
      <c r="E104" s="409" t="s">
        <v>464</v>
      </c>
      <c r="F104" s="409" t="s">
        <v>67</v>
      </c>
      <c r="G104" s="1662"/>
      <c r="H104" s="2772">
        <f>H106</f>
        <v>2400</v>
      </c>
      <c r="I104" s="2773">
        <f>I106</f>
        <v>0</v>
      </c>
      <c r="J104" s="2774">
        <f>J106</f>
        <v>0</v>
      </c>
      <c r="K104" s="2735"/>
      <c r="L104" s="2735"/>
      <c r="M104" s="2735"/>
      <c r="N104" s="2775">
        <f>N106</f>
        <v>2500</v>
      </c>
      <c r="O104" s="2735"/>
      <c r="P104" s="2735"/>
      <c r="Q104" s="2735"/>
      <c r="R104" s="2735"/>
      <c r="S104" s="2735"/>
      <c r="T104" s="2735"/>
      <c r="U104" s="2772">
        <f>U106</f>
        <v>2650</v>
      </c>
    </row>
    <row r="105" spans="1:21" x14ac:dyDescent="0.25">
      <c r="A105" s="842"/>
      <c r="B105" s="1180" t="s">
        <v>1068</v>
      </c>
      <c r="C105" s="1180"/>
      <c r="D105" s="409" t="s">
        <v>456</v>
      </c>
      <c r="E105" s="409" t="s">
        <v>464</v>
      </c>
      <c r="F105" s="409" t="s">
        <v>67</v>
      </c>
      <c r="G105" s="1662" t="s">
        <v>1064</v>
      </c>
      <c r="H105" s="2772">
        <f t="shared" ref="H105:U105" si="18">H106</f>
        <v>2400</v>
      </c>
      <c r="I105" s="2773">
        <f t="shared" si="18"/>
        <v>0</v>
      </c>
      <c r="J105" s="2774">
        <f t="shared" si="18"/>
        <v>0</v>
      </c>
      <c r="K105" s="2735">
        <f t="shared" si="18"/>
        <v>0</v>
      </c>
      <c r="L105" s="2735">
        <f t="shared" si="18"/>
        <v>0</v>
      </c>
      <c r="M105" s="2735">
        <f t="shared" si="18"/>
        <v>0</v>
      </c>
      <c r="N105" s="2775">
        <f t="shared" si="18"/>
        <v>2500</v>
      </c>
      <c r="O105" s="2735">
        <f t="shared" si="18"/>
        <v>0</v>
      </c>
      <c r="P105" s="2735">
        <f t="shared" si="18"/>
        <v>0</v>
      </c>
      <c r="Q105" s="2735">
        <f t="shared" si="18"/>
        <v>0</v>
      </c>
      <c r="R105" s="2735">
        <f t="shared" si="18"/>
        <v>0</v>
      </c>
      <c r="S105" s="2735">
        <f t="shared" si="18"/>
        <v>0</v>
      </c>
      <c r="T105" s="2735">
        <f t="shared" si="18"/>
        <v>0</v>
      </c>
      <c r="U105" s="2772">
        <f t="shared" si="18"/>
        <v>2650</v>
      </c>
    </row>
    <row r="106" spans="1:21" ht="13.5" customHeight="1" x14ac:dyDescent="0.25">
      <c r="A106" s="842"/>
      <c r="B106" s="1182" t="s">
        <v>580</v>
      </c>
      <c r="C106" s="1183"/>
      <c r="D106" s="409" t="s">
        <v>456</v>
      </c>
      <c r="E106" s="409" t="s">
        <v>464</v>
      </c>
      <c r="F106" s="409" t="s">
        <v>67</v>
      </c>
      <c r="G106" s="1662" t="s">
        <v>579</v>
      </c>
      <c r="H106" s="2772">
        <v>2400</v>
      </c>
      <c r="I106" s="2773"/>
      <c r="J106" s="2774"/>
      <c r="K106" s="2735"/>
      <c r="L106" s="2735"/>
      <c r="M106" s="2735"/>
      <c r="N106" s="2775">
        <v>2500</v>
      </c>
      <c r="O106" s="2735"/>
      <c r="P106" s="2735"/>
      <c r="Q106" s="2735"/>
      <c r="R106" s="2735"/>
      <c r="S106" s="2735"/>
      <c r="T106" s="2735"/>
      <c r="U106" s="2772">
        <v>2650</v>
      </c>
    </row>
    <row r="107" spans="1:21" x14ac:dyDescent="0.25">
      <c r="A107" s="842"/>
      <c r="B107" s="1184" t="s">
        <v>93</v>
      </c>
      <c r="C107" s="1177"/>
      <c r="D107" s="408" t="s">
        <v>456</v>
      </c>
      <c r="E107" s="408" t="s">
        <v>573</v>
      </c>
      <c r="F107" s="408"/>
      <c r="G107" s="1661"/>
      <c r="H107" s="2776">
        <f>H108+H117</f>
        <v>2202.8000000000002</v>
      </c>
      <c r="I107" s="2777">
        <f>I108+I117</f>
        <v>598.5</v>
      </c>
      <c r="J107" s="2778">
        <f>J108+J117</f>
        <v>598.5</v>
      </c>
      <c r="K107" s="2735"/>
      <c r="L107" s="2735"/>
      <c r="M107" s="2735"/>
      <c r="N107" s="2780">
        <f>N113+N115+N116</f>
        <v>560</v>
      </c>
      <c r="O107" s="2735"/>
      <c r="P107" s="2735"/>
      <c r="Q107" s="2735"/>
      <c r="R107" s="2735"/>
      <c r="S107" s="2735"/>
      <c r="T107" s="2735"/>
      <c r="U107" s="2776">
        <f>U113+U115+U116</f>
        <v>1660</v>
      </c>
    </row>
    <row r="108" spans="1:21" x14ac:dyDescent="0.25">
      <c r="A108" s="1179"/>
      <c r="B108" s="753" t="s">
        <v>102</v>
      </c>
      <c r="C108" s="1180"/>
      <c r="D108" s="409" t="s">
        <v>456</v>
      </c>
      <c r="E108" s="409" t="s">
        <v>573</v>
      </c>
      <c r="F108" s="409" t="s">
        <v>101</v>
      </c>
      <c r="G108" s="1662"/>
      <c r="H108" s="2772">
        <f t="shared" ref="H108:J110" si="19">H109</f>
        <v>2202.8000000000002</v>
      </c>
      <c r="I108" s="2773">
        <f t="shared" si="19"/>
        <v>0</v>
      </c>
      <c r="J108" s="2774">
        <f t="shared" si="19"/>
        <v>0</v>
      </c>
      <c r="K108" s="2735"/>
      <c r="L108" s="2735"/>
      <c r="M108" s="2735"/>
      <c r="N108" s="2775">
        <f t="shared" ref="N108:N110" si="20">N109</f>
        <v>560</v>
      </c>
      <c r="O108" s="2735"/>
      <c r="P108" s="2735"/>
      <c r="Q108" s="2735"/>
      <c r="R108" s="2735"/>
      <c r="S108" s="2735"/>
      <c r="T108" s="2735"/>
      <c r="U108" s="2772">
        <f t="shared" ref="U108:U110" si="21">U109</f>
        <v>1660</v>
      </c>
    </row>
    <row r="109" spans="1:21" x14ac:dyDescent="0.25">
      <c r="A109" s="1179"/>
      <c r="B109" s="753" t="s">
        <v>109</v>
      </c>
      <c r="C109" s="1180"/>
      <c r="D109" s="409" t="s">
        <v>456</v>
      </c>
      <c r="E109" s="409" t="s">
        <v>573</v>
      </c>
      <c r="F109" s="409" t="s">
        <v>100</v>
      </c>
      <c r="G109" s="1662"/>
      <c r="H109" s="2772">
        <f t="shared" si="19"/>
        <v>2202.8000000000002</v>
      </c>
      <c r="I109" s="2773">
        <f t="shared" si="19"/>
        <v>0</v>
      </c>
      <c r="J109" s="2774">
        <f t="shared" si="19"/>
        <v>0</v>
      </c>
      <c r="K109" s="2735"/>
      <c r="L109" s="2735"/>
      <c r="M109" s="2735"/>
      <c r="N109" s="2775">
        <f t="shared" si="20"/>
        <v>560</v>
      </c>
      <c r="O109" s="2735"/>
      <c r="P109" s="2735"/>
      <c r="Q109" s="2735"/>
      <c r="R109" s="2735"/>
      <c r="S109" s="2735"/>
      <c r="T109" s="2735"/>
      <c r="U109" s="2772">
        <f t="shared" si="21"/>
        <v>1660</v>
      </c>
    </row>
    <row r="110" spans="1:21" x14ac:dyDescent="0.25">
      <c r="A110" s="1179"/>
      <c r="B110" s="753" t="s">
        <v>109</v>
      </c>
      <c r="C110" s="1180"/>
      <c r="D110" s="409" t="s">
        <v>456</v>
      </c>
      <c r="E110" s="409" t="s">
        <v>573</v>
      </c>
      <c r="F110" s="409" t="s">
        <v>99</v>
      </c>
      <c r="G110" s="1662"/>
      <c r="H110" s="2772">
        <f t="shared" si="19"/>
        <v>2202.8000000000002</v>
      </c>
      <c r="I110" s="2773">
        <f t="shared" si="19"/>
        <v>0</v>
      </c>
      <c r="J110" s="2774">
        <f t="shared" si="19"/>
        <v>0</v>
      </c>
      <c r="K110" s="2735"/>
      <c r="L110" s="2735"/>
      <c r="M110" s="2735"/>
      <c r="N110" s="2775">
        <f t="shared" si="20"/>
        <v>560</v>
      </c>
      <c r="O110" s="2735"/>
      <c r="P110" s="2735"/>
      <c r="Q110" s="2735"/>
      <c r="R110" s="2735"/>
      <c r="S110" s="2735"/>
      <c r="T110" s="2735"/>
      <c r="U110" s="2772">
        <f t="shared" si="21"/>
        <v>1660</v>
      </c>
    </row>
    <row r="111" spans="1:21" x14ac:dyDescent="0.25">
      <c r="A111" s="1179"/>
      <c r="B111" s="753" t="s">
        <v>577</v>
      </c>
      <c r="C111" s="1180"/>
      <c r="D111" s="409" t="s">
        <v>456</v>
      </c>
      <c r="E111" s="409" t="s">
        <v>573</v>
      </c>
      <c r="F111" s="409" t="s">
        <v>92</v>
      </c>
      <c r="G111" s="1662"/>
      <c r="H111" s="2772">
        <f>H113+H116+H115</f>
        <v>2202.8000000000002</v>
      </c>
      <c r="I111" s="2773">
        <f>I113+I116</f>
        <v>0</v>
      </c>
      <c r="J111" s="2774">
        <f>J113+J116</f>
        <v>0</v>
      </c>
      <c r="K111" s="2735">
        <v>500</v>
      </c>
      <c r="L111" s="2735" t="s">
        <v>959</v>
      </c>
      <c r="M111" s="2735"/>
      <c r="N111" s="2775">
        <f>N112+N114</f>
        <v>560</v>
      </c>
      <c r="O111" s="2735"/>
      <c r="P111" s="2735"/>
      <c r="Q111" s="2735"/>
      <c r="R111" s="2735"/>
      <c r="S111" s="2735"/>
      <c r="T111" s="2735"/>
      <c r="U111" s="2772">
        <f>U112+U114</f>
        <v>1660</v>
      </c>
    </row>
    <row r="112" spans="1:21" x14ac:dyDescent="0.25">
      <c r="A112" s="1179"/>
      <c r="B112" s="753" t="s">
        <v>948</v>
      </c>
      <c r="C112" s="1180"/>
      <c r="D112" s="409" t="s">
        <v>456</v>
      </c>
      <c r="E112" s="409" t="s">
        <v>573</v>
      </c>
      <c r="F112" s="409" t="s">
        <v>92</v>
      </c>
      <c r="G112" s="1662" t="s">
        <v>955</v>
      </c>
      <c r="H112" s="2772">
        <f t="shared" ref="H112:U112" si="22">H113</f>
        <v>1586.9684</v>
      </c>
      <c r="I112" s="2773">
        <f t="shared" si="22"/>
        <v>0</v>
      </c>
      <c r="J112" s="2774">
        <f t="shared" si="22"/>
        <v>0</v>
      </c>
      <c r="K112" s="2735">
        <f t="shared" si="22"/>
        <v>0</v>
      </c>
      <c r="L112" s="2735">
        <f t="shared" si="22"/>
        <v>0</v>
      </c>
      <c r="M112" s="2735">
        <f t="shared" si="22"/>
        <v>0</v>
      </c>
      <c r="N112" s="2775">
        <f t="shared" si="22"/>
        <v>550</v>
      </c>
      <c r="O112" s="2735">
        <f t="shared" si="22"/>
        <v>0</v>
      </c>
      <c r="P112" s="2735">
        <f t="shared" si="22"/>
        <v>0</v>
      </c>
      <c r="Q112" s="2735">
        <f t="shared" si="22"/>
        <v>0</v>
      </c>
      <c r="R112" s="2735">
        <f t="shared" si="22"/>
        <v>0</v>
      </c>
      <c r="S112" s="2735">
        <f t="shared" si="22"/>
        <v>0</v>
      </c>
      <c r="T112" s="2735">
        <f t="shared" si="22"/>
        <v>0</v>
      </c>
      <c r="U112" s="2772">
        <f t="shared" si="22"/>
        <v>1650</v>
      </c>
    </row>
    <row r="113" spans="1:25" ht="21" x14ac:dyDescent="0.25">
      <c r="A113" s="842"/>
      <c r="B113" s="1182" t="s">
        <v>454</v>
      </c>
      <c r="C113" s="1183"/>
      <c r="D113" s="409" t="s">
        <v>456</v>
      </c>
      <c r="E113" s="409" t="s">
        <v>573</v>
      </c>
      <c r="F113" s="409" t="s">
        <v>92</v>
      </c>
      <c r="G113" s="1662" t="s">
        <v>1</v>
      </c>
      <c r="H113" s="2772">
        <f>1500-316.64-189.1916+250+342.8</f>
        <v>1586.9684</v>
      </c>
      <c r="I113" s="2773"/>
      <c r="J113" s="2774"/>
      <c r="K113" s="2735"/>
      <c r="L113" s="2735"/>
      <c r="M113" s="2735"/>
      <c r="N113" s="2775">
        <f>1650-1100</f>
        <v>550</v>
      </c>
      <c r="O113" s="2735"/>
      <c r="P113" s="2735"/>
      <c r="Q113" s="2735"/>
      <c r="R113" s="2735"/>
      <c r="S113" s="2735"/>
      <c r="T113" s="2735"/>
      <c r="U113" s="2772">
        <v>1650</v>
      </c>
    </row>
    <row r="114" spans="1:25" x14ac:dyDescent="0.25">
      <c r="A114" s="842"/>
      <c r="B114" s="1182" t="s">
        <v>1068</v>
      </c>
      <c r="C114" s="1183"/>
      <c r="D114" s="409" t="s">
        <v>456</v>
      </c>
      <c r="E114" s="409" t="s">
        <v>573</v>
      </c>
      <c r="F114" s="409" t="s">
        <v>92</v>
      </c>
      <c r="G114" s="1662" t="s">
        <v>1064</v>
      </c>
      <c r="H114" s="2772">
        <f>H115+H116</f>
        <v>615.83159999999998</v>
      </c>
      <c r="I114" s="2773"/>
      <c r="J114" s="2774"/>
      <c r="K114" s="2735"/>
      <c r="L114" s="2735"/>
      <c r="M114" s="2735"/>
      <c r="N114" s="2775">
        <f t="shared" ref="N114:U114" si="23">N115+N116</f>
        <v>10</v>
      </c>
      <c r="O114" s="2735">
        <f t="shared" si="23"/>
        <v>0</v>
      </c>
      <c r="P114" s="2735">
        <f t="shared" si="23"/>
        <v>0</v>
      </c>
      <c r="Q114" s="2735">
        <f t="shared" si="23"/>
        <v>0</v>
      </c>
      <c r="R114" s="2735">
        <f t="shared" si="23"/>
        <v>0</v>
      </c>
      <c r="S114" s="2735">
        <f t="shared" si="23"/>
        <v>0</v>
      </c>
      <c r="T114" s="2735">
        <f t="shared" si="23"/>
        <v>0</v>
      </c>
      <c r="U114" s="2772">
        <f t="shared" si="23"/>
        <v>10</v>
      </c>
    </row>
    <row r="115" spans="1:25" x14ac:dyDescent="0.25">
      <c r="A115" s="842"/>
      <c r="B115" s="1182" t="s">
        <v>1003</v>
      </c>
      <c r="C115" s="1183"/>
      <c r="D115" s="409" t="s">
        <v>456</v>
      </c>
      <c r="E115" s="409" t="s">
        <v>573</v>
      </c>
      <c r="F115" s="409" t="s">
        <v>92</v>
      </c>
      <c r="G115" s="1662" t="s">
        <v>95</v>
      </c>
      <c r="H115" s="2772">
        <f>100+316.64+189.1916</f>
        <v>605.83159999999998</v>
      </c>
      <c r="I115" s="2773"/>
      <c r="J115" s="2774"/>
      <c r="K115" s="2735"/>
      <c r="L115" s="2735"/>
      <c r="M115" s="2735"/>
      <c r="N115" s="2775">
        <v>0</v>
      </c>
      <c r="O115" s="2735"/>
      <c r="P115" s="2735"/>
      <c r="Q115" s="2735"/>
      <c r="R115" s="2735"/>
      <c r="S115" s="2735"/>
      <c r="T115" s="2735"/>
      <c r="U115" s="2772">
        <v>0</v>
      </c>
    </row>
    <row r="116" spans="1:25" x14ac:dyDescent="0.25">
      <c r="A116" s="842"/>
      <c r="B116" s="1182" t="s">
        <v>457</v>
      </c>
      <c r="C116" s="1183"/>
      <c r="D116" s="409" t="s">
        <v>456</v>
      </c>
      <c r="E116" s="409" t="s">
        <v>573</v>
      </c>
      <c r="F116" s="409" t="s">
        <v>92</v>
      </c>
      <c r="G116" s="1662" t="s">
        <v>91</v>
      </c>
      <c r="H116" s="2772">
        <v>10</v>
      </c>
      <c r="I116" s="2773"/>
      <c r="J116" s="2774"/>
      <c r="K116" s="2735"/>
      <c r="L116" s="2735"/>
      <c r="M116" s="2735"/>
      <c r="N116" s="2775">
        <v>10</v>
      </c>
      <c r="O116" s="2735"/>
      <c r="P116" s="2735"/>
      <c r="Q116" s="2735"/>
      <c r="R116" s="2735"/>
      <c r="S116" s="2735"/>
      <c r="T116" s="2735"/>
      <c r="U116" s="2772">
        <v>10</v>
      </c>
    </row>
    <row r="117" spans="1:25" ht="21" hidden="1" x14ac:dyDescent="0.25">
      <c r="A117" s="1211"/>
      <c r="B117" s="753" t="s">
        <v>499</v>
      </c>
      <c r="C117" s="1177"/>
      <c r="D117" s="408" t="s">
        <v>456</v>
      </c>
      <c r="E117" s="408" t="s">
        <v>573</v>
      </c>
      <c r="F117" s="409" t="s">
        <v>89</v>
      </c>
      <c r="G117" s="1661"/>
      <c r="H117" s="2776">
        <f t="shared" ref="H117:J118" si="24">H118</f>
        <v>0</v>
      </c>
      <c r="I117" s="2777">
        <f t="shared" si="24"/>
        <v>598.5</v>
      </c>
      <c r="J117" s="2778">
        <f t="shared" si="24"/>
        <v>598.5</v>
      </c>
      <c r="K117" s="2735"/>
      <c r="L117" s="2735"/>
      <c r="M117" s="2735"/>
      <c r="N117" s="2780">
        <f t="shared" ref="N117:N118" si="25">N118</f>
        <v>0</v>
      </c>
      <c r="O117" s="2735"/>
      <c r="P117" s="2735"/>
      <c r="Q117" s="2735"/>
      <c r="R117" s="2735"/>
      <c r="S117" s="2735"/>
      <c r="T117" s="2735"/>
      <c r="U117" s="2776">
        <f t="shared" ref="U117:U118" si="26">U118</f>
        <v>0</v>
      </c>
    </row>
    <row r="118" spans="1:25" hidden="1" x14ac:dyDescent="0.25">
      <c r="A118" s="1179"/>
      <c r="B118" s="753" t="s">
        <v>109</v>
      </c>
      <c r="C118" s="1180"/>
      <c r="D118" s="409" t="s">
        <v>456</v>
      </c>
      <c r="E118" s="409" t="s">
        <v>573</v>
      </c>
      <c r="F118" s="409" t="s">
        <v>84</v>
      </c>
      <c r="G118" s="1662"/>
      <c r="H118" s="2772">
        <f t="shared" si="24"/>
        <v>0</v>
      </c>
      <c r="I118" s="2773">
        <f t="shared" si="24"/>
        <v>598.5</v>
      </c>
      <c r="J118" s="2774">
        <f t="shared" si="24"/>
        <v>598.5</v>
      </c>
      <c r="K118" s="2735"/>
      <c r="L118" s="2735"/>
      <c r="M118" s="2735"/>
      <c r="N118" s="2775">
        <f t="shared" si="25"/>
        <v>0</v>
      </c>
      <c r="O118" s="2735"/>
      <c r="P118" s="2735"/>
      <c r="Q118" s="2735"/>
      <c r="R118" s="2735"/>
      <c r="S118" s="2735"/>
      <c r="T118" s="2735"/>
      <c r="U118" s="2772">
        <f t="shared" si="26"/>
        <v>0</v>
      </c>
    </row>
    <row r="119" spans="1:25" hidden="1" x14ac:dyDescent="0.25">
      <c r="A119" s="1179"/>
      <c r="B119" s="753" t="s">
        <v>109</v>
      </c>
      <c r="C119" s="1180"/>
      <c r="D119" s="409" t="s">
        <v>456</v>
      </c>
      <c r="E119" s="409" t="s">
        <v>573</v>
      </c>
      <c r="F119" s="409" t="s">
        <v>82</v>
      </c>
      <c r="G119" s="1662"/>
      <c r="H119" s="2772">
        <f>H120</f>
        <v>0</v>
      </c>
      <c r="I119" s="2773">
        <f>I124</f>
        <v>598.5</v>
      </c>
      <c r="J119" s="2774">
        <f>J124</f>
        <v>598.5</v>
      </c>
      <c r="K119" s="2735"/>
      <c r="L119" s="2735"/>
      <c r="M119" s="2735"/>
      <c r="N119" s="2775">
        <f>N124</f>
        <v>0</v>
      </c>
      <c r="O119" s="2735"/>
      <c r="P119" s="2735"/>
      <c r="Q119" s="2735"/>
      <c r="R119" s="2735"/>
      <c r="S119" s="2735"/>
      <c r="T119" s="2735"/>
      <c r="U119" s="2772">
        <f>U124</f>
        <v>0</v>
      </c>
    </row>
    <row r="120" spans="1:25" ht="33" hidden="1" customHeight="1" x14ac:dyDescent="0.25">
      <c r="A120" s="1179"/>
      <c r="B120" s="753" t="s">
        <v>1004</v>
      </c>
      <c r="C120" s="1180"/>
      <c r="D120" s="409" t="s">
        <v>456</v>
      </c>
      <c r="E120" s="409" t="s">
        <v>573</v>
      </c>
      <c r="F120" s="409" t="s">
        <v>1005</v>
      </c>
      <c r="G120" s="1662"/>
      <c r="H120" s="2772">
        <f>H121</f>
        <v>0</v>
      </c>
      <c r="I120" s="2773">
        <f>I121</f>
        <v>0</v>
      </c>
      <c r="J120" s="2774">
        <f>J121</f>
        <v>0</v>
      </c>
      <c r="K120" s="2735"/>
      <c r="L120" s="2735"/>
      <c r="M120" s="2735"/>
      <c r="N120" s="2775">
        <f>N121</f>
        <v>0</v>
      </c>
      <c r="O120" s="2735"/>
      <c r="P120" s="2735"/>
      <c r="Q120" s="2735"/>
      <c r="R120" s="2735"/>
      <c r="S120" s="2735"/>
      <c r="T120" s="2735"/>
      <c r="U120" s="2772">
        <f>U121</f>
        <v>0</v>
      </c>
    </row>
    <row r="121" spans="1:25" hidden="1" x14ac:dyDescent="0.25">
      <c r="A121" s="842"/>
      <c r="B121" s="1182" t="s">
        <v>571</v>
      </c>
      <c r="C121" s="1183"/>
      <c r="D121" s="409" t="s">
        <v>456</v>
      </c>
      <c r="E121" s="409" t="s">
        <v>573</v>
      </c>
      <c r="F121" s="409" t="s">
        <v>1005</v>
      </c>
      <c r="G121" s="1662" t="s">
        <v>5</v>
      </c>
      <c r="H121" s="2772"/>
      <c r="I121" s="2773"/>
      <c r="J121" s="2774"/>
      <c r="K121" s="2735"/>
      <c r="L121" s="2735"/>
      <c r="M121" s="2735"/>
      <c r="N121" s="2775"/>
      <c r="O121" s="2735"/>
      <c r="P121" s="2735"/>
      <c r="Q121" s="2735"/>
      <c r="R121" s="2735"/>
      <c r="S121" s="2735"/>
      <c r="T121" s="2735"/>
      <c r="U121" s="2772"/>
    </row>
    <row r="122" spans="1:25" ht="21" hidden="1" x14ac:dyDescent="0.25">
      <c r="A122" s="842"/>
      <c r="B122" s="1199" t="s">
        <v>151</v>
      </c>
      <c r="C122" s="1188"/>
      <c r="D122" s="409" t="s">
        <v>456</v>
      </c>
      <c r="E122" s="409" t="s">
        <v>452</v>
      </c>
      <c r="F122" s="409" t="s">
        <v>150</v>
      </c>
      <c r="G122" s="1662"/>
      <c r="H122" s="2772">
        <f>H123</f>
        <v>0</v>
      </c>
      <c r="I122" s="2773">
        <f>I123</f>
        <v>0</v>
      </c>
      <c r="J122" s="2774">
        <f>J123</f>
        <v>0</v>
      </c>
      <c r="K122" s="2735"/>
      <c r="L122" s="2735"/>
      <c r="M122" s="2735"/>
      <c r="N122" s="2775">
        <f>N123</f>
        <v>0</v>
      </c>
      <c r="O122" s="2735"/>
      <c r="P122" s="2735"/>
      <c r="Q122" s="2735"/>
      <c r="R122" s="2735"/>
      <c r="S122" s="2735"/>
      <c r="T122" s="2735"/>
      <c r="U122" s="2772">
        <f>U123</f>
        <v>0</v>
      </c>
    </row>
    <row r="123" spans="1:25" hidden="1" x14ac:dyDescent="0.25">
      <c r="A123" s="842"/>
      <c r="B123" s="1182" t="s">
        <v>575</v>
      </c>
      <c r="C123" s="1183"/>
      <c r="D123" s="409" t="s">
        <v>456</v>
      </c>
      <c r="E123" s="409" t="s">
        <v>452</v>
      </c>
      <c r="F123" s="409" t="s">
        <v>150</v>
      </c>
      <c r="G123" s="1662" t="s">
        <v>120</v>
      </c>
      <c r="H123" s="2772"/>
      <c r="I123" s="2773"/>
      <c r="J123" s="2774"/>
      <c r="K123" s="2735"/>
      <c r="L123" s="2735"/>
      <c r="M123" s="2735"/>
      <c r="N123" s="2775"/>
      <c r="O123" s="2735"/>
      <c r="P123" s="2735"/>
      <c r="Q123" s="2735"/>
      <c r="R123" s="2735"/>
      <c r="S123" s="2735"/>
      <c r="T123" s="2735"/>
      <c r="U123" s="2772"/>
    </row>
    <row r="124" spans="1:25" ht="52" hidden="1" x14ac:dyDescent="0.25">
      <c r="A124" s="842"/>
      <c r="B124" s="398" t="s">
        <v>574</v>
      </c>
      <c r="C124" s="1188"/>
      <c r="D124" s="409" t="s">
        <v>456</v>
      </c>
      <c r="E124" s="409" t="s">
        <v>573</v>
      </c>
      <c r="F124" s="409" t="s">
        <v>127</v>
      </c>
      <c r="G124" s="1662"/>
      <c r="H124" s="2772">
        <f>H125+H126</f>
        <v>0</v>
      </c>
      <c r="I124" s="2773">
        <f>I125+I126</f>
        <v>598.5</v>
      </c>
      <c r="J124" s="2774">
        <f>J125+J126</f>
        <v>598.5</v>
      </c>
      <c r="K124" s="2735"/>
      <c r="L124" s="2735"/>
      <c r="M124" s="2735"/>
      <c r="N124" s="2775">
        <f>N125+N126</f>
        <v>0</v>
      </c>
      <c r="O124" s="2735"/>
      <c r="P124" s="2735"/>
      <c r="Q124" s="2735"/>
      <c r="R124" s="2735"/>
      <c r="S124" s="2735"/>
      <c r="T124" s="2735"/>
      <c r="U124" s="2772">
        <f>U125+U126</f>
        <v>0</v>
      </c>
    </row>
    <row r="125" spans="1:25" hidden="1" x14ac:dyDescent="0.25">
      <c r="A125" s="842"/>
      <c r="B125" s="1182" t="s">
        <v>571</v>
      </c>
      <c r="C125" s="1183"/>
      <c r="D125" s="409" t="s">
        <v>456</v>
      </c>
      <c r="E125" s="409" t="s">
        <v>573</v>
      </c>
      <c r="F125" s="409" t="s">
        <v>127</v>
      </c>
      <c r="G125" s="1662" t="s">
        <v>5</v>
      </c>
      <c r="H125" s="2772"/>
      <c r="I125" s="2773">
        <v>561.29999999999995</v>
      </c>
      <c r="J125" s="2774">
        <v>561.29999999999995</v>
      </c>
      <c r="K125" s="2735"/>
      <c r="L125" s="2735"/>
      <c r="M125" s="2735"/>
      <c r="N125" s="2775"/>
      <c r="O125" s="2735"/>
      <c r="P125" s="2735"/>
      <c r="Q125" s="2735"/>
      <c r="R125" s="2735"/>
      <c r="S125" s="2735"/>
      <c r="T125" s="2735"/>
      <c r="U125" s="2772"/>
    </row>
    <row r="126" spans="1:25" ht="21" hidden="1" x14ac:dyDescent="0.25">
      <c r="A126" s="842"/>
      <c r="B126" s="1182" t="s">
        <v>454</v>
      </c>
      <c r="C126" s="1183"/>
      <c r="D126" s="409" t="s">
        <v>456</v>
      </c>
      <c r="E126" s="409" t="s">
        <v>573</v>
      </c>
      <c r="F126" s="409" t="s">
        <v>127</v>
      </c>
      <c r="G126" s="1662" t="s">
        <v>1</v>
      </c>
      <c r="H126" s="2772"/>
      <c r="I126" s="2773">
        <v>37.200000000000003</v>
      </c>
      <c r="J126" s="2774">
        <v>37.200000000000003</v>
      </c>
      <c r="K126" s="2735"/>
      <c r="L126" s="2735"/>
      <c r="M126" s="2735"/>
      <c r="N126" s="2775"/>
      <c r="O126" s="2735"/>
      <c r="P126" s="2735"/>
      <c r="Q126" s="2735"/>
      <c r="R126" s="2735"/>
      <c r="S126" s="2735"/>
      <c r="T126" s="2735"/>
      <c r="U126" s="2772"/>
    </row>
    <row r="127" spans="1:25" x14ac:dyDescent="0.25">
      <c r="A127" s="842"/>
      <c r="B127" s="1252" t="s">
        <v>412</v>
      </c>
      <c r="C127" s="1183"/>
      <c r="D127" s="408" t="s">
        <v>488</v>
      </c>
      <c r="E127" s="408" t="s">
        <v>459</v>
      </c>
      <c r="F127" s="409"/>
      <c r="G127" s="1662"/>
      <c r="H127" s="2776">
        <f>H128</f>
        <v>892</v>
      </c>
      <c r="I127" s="2777">
        <f t="shared" ref="I127:J131" si="27">I128</f>
        <v>0</v>
      </c>
      <c r="J127" s="2778">
        <f t="shared" si="27"/>
        <v>0</v>
      </c>
      <c r="K127" s="2735"/>
      <c r="L127" s="2735"/>
      <c r="M127" s="2735"/>
      <c r="N127" s="2780">
        <f>N128</f>
        <v>892</v>
      </c>
      <c r="O127" s="2735"/>
      <c r="P127" s="2735"/>
      <c r="Q127" s="2735"/>
      <c r="R127" s="2735"/>
      <c r="S127" s="2735"/>
      <c r="T127" s="2735"/>
      <c r="U127" s="2776">
        <f>U128</f>
        <v>892</v>
      </c>
      <c r="V127" s="1861">
        <v>834.7</v>
      </c>
      <c r="W127" s="1861">
        <v>844.2</v>
      </c>
      <c r="X127" s="1861">
        <v>874.4</v>
      </c>
      <c r="Y127" s="2248" t="s">
        <v>444</v>
      </c>
    </row>
    <row r="128" spans="1:25" x14ac:dyDescent="0.25">
      <c r="A128" s="842"/>
      <c r="B128" s="1252" t="s">
        <v>6</v>
      </c>
      <c r="C128" s="1183"/>
      <c r="D128" s="408" t="s">
        <v>488</v>
      </c>
      <c r="E128" s="408" t="s">
        <v>495</v>
      </c>
      <c r="F128" s="409"/>
      <c r="G128" s="1662"/>
      <c r="H128" s="2776">
        <f>H129</f>
        <v>892</v>
      </c>
      <c r="I128" s="2777">
        <f t="shared" si="27"/>
        <v>0</v>
      </c>
      <c r="J128" s="2778">
        <f t="shared" si="27"/>
        <v>0</v>
      </c>
      <c r="K128" s="2745">
        <v>727.8</v>
      </c>
      <c r="L128" s="2735"/>
      <c r="M128" s="2735"/>
      <c r="N128" s="2780">
        <f>N129</f>
        <v>892</v>
      </c>
      <c r="O128" s="2735"/>
      <c r="P128" s="2735"/>
      <c r="Q128" s="2735"/>
      <c r="R128" s="2735"/>
      <c r="S128" s="2735"/>
      <c r="T128" s="2735"/>
      <c r="U128" s="2776">
        <f>U129</f>
        <v>892</v>
      </c>
    </row>
    <row r="129" spans="1:28" ht="21" x14ac:dyDescent="0.25">
      <c r="A129" s="842"/>
      <c r="B129" s="753" t="s">
        <v>499</v>
      </c>
      <c r="C129" s="1183"/>
      <c r="D129" s="408" t="s">
        <v>488</v>
      </c>
      <c r="E129" s="408" t="s">
        <v>495</v>
      </c>
      <c r="F129" s="409" t="s">
        <v>89</v>
      </c>
      <c r="G129" s="1662"/>
      <c r="H129" s="2776">
        <f>H130</f>
        <v>892</v>
      </c>
      <c r="I129" s="2777">
        <f t="shared" si="27"/>
        <v>0</v>
      </c>
      <c r="J129" s="2778">
        <f t="shared" si="27"/>
        <v>0</v>
      </c>
      <c r="K129" s="2735"/>
      <c r="L129" s="2735"/>
      <c r="M129" s="2735"/>
      <c r="N129" s="2780">
        <f>N130</f>
        <v>892</v>
      </c>
      <c r="O129" s="2735"/>
      <c r="P129" s="2735"/>
      <c r="Q129" s="2735"/>
      <c r="R129" s="2735"/>
      <c r="S129" s="2735"/>
      <c r="T129" s="2735"/>
      <c r="U129" s="2776">
        <f>U130</f>
        <v>892</v>
      </c>
    </row>
    <row r="130" spans="1:28" x14ac:dyDescent="0.25">
      <c r="A130" s="842"/>
      <c r="B130" s="753" t="s">
        <v>109</v>
      </c>
      <c r="C130" s="1183"/>
      <c r="D130" s="409" t="s">
        <v>488</v>
      </c>
      <c r="E130" s="409" t="s">
        <v>495</v>
      </c>
      <c r="F130" s="409" t="s">
        <v>84</v>
      </c>
      <c r="G130" s="1662"/>
      <c r="H130" s="2772">
        <f>H131</f>
        <v>892</v>
      </c>
      <c r="I130" s="2773">
        <f t="shared" si="27"/>
        <v>0</v>
      </c>
      <c r="J130" s="2774">
        <f t="shared" si="27"/>
        <v>0</v>
      </c>
      <c r="K130" s="2735"/>
      <c r="L130" s="2735"/>
      <c r="M130" s="2735"/>
      <c r="N130" s="2775">
        <f>N131</f>
        <v>892</v>
      </c>
      <c r="O130" s="2735"/>
      <c r="P130" s="2735"/>
      <c r="Q130" s="2735"/>
      <c r="R130" s="2735"/>
      <c r="S130" s="2735"/>
      <c r="T130" s="2735"/>
      <c r="U130" s="2772">
        <f>U131</f>
        <v>892</v>
      </c>
    </row>
    <row r="131" spans="1:28" x14ac:dyDescent="0.25">
      <c r="A131" s="842"/>
      <c r="B131" s="753" t="s">
        <v>109</v>
      </c>
      <c r="C131" s="1183"/>
      <c r="D131" s="409" t="s">
        <v>488</v>
      </c>
      <c r="E131" s="409" t="s">
        <v>495</v>
      </c>
      <c r="F131" s="409" t="s">
        <v>82</v>
      </c>
      <c r="G131" s="1662"/>
      <c r="H131" s="2772">
        <f>H132</f>
        <v>892</v>
      </c>
      <c r="I131" s="2773">
        <f t="shared" si="27"/>
        <v>0</v>
      </c>
      <c r="J131" s="2774">
        <f t="shared" si="27"/>
        <v>0</v>
      </c>
      <c r="K131" s="2735"/>
      <c r="L131" s="2735"/>
      <c r="M131" s="2735"/>
      <c r="N131" s="2775">
        <f>N132</f>
        <v>892</v>
      </c>
      <c r="O131" s="2735"/>
      <c r="P131" s="2735"/>
      <c r="Q131" s="2735"/>
      <c r="R131" s="2735"/>
      <c r="S131" s="2735"/>
      <c r="T131" s="2735"/>
      <c r="U131" s="2772">
        <f>U132</f>
        <v>892</v>
      </c>
    </row>
    <row r="132" spans="1:28" ht="21" x14ac:dyDescent="0.25">
      <c r="A132" s="842"/>
      <c r="B132" s="1213" t="s">
        <v>8</v>
      </c>
      <c r="C132" s="1183"/>
      <c r="D132" s="409" t="s">
        <v>488</v>
      </c>
      <c r="E132" s="409" t="s">
        <v>495</v>
      </c>
      <c r="F132" s="409" t="s">
        <v>2</v>
      </c>
      <c r="G132" s="1662"/>
      <c r="H132" s="2772">
        <f>H134+H136</f>
        <v>892</v>
      </c>
      <c r="I132" s="2773">
        <f>I134+I136</f>
        <v>0</v>
      </c>
      <c r="J132" s="2774">
        <f>J134+J136</f>
        <v>0</v>
      </c>
      <c r="K132" s="2735"/>
      <c r="L132" s="2735"/>
      <c r="M132" s="2735"/>
      <c r="N132" s="2775">
        <f>N134+N136</f>
        <v>892</v>
      </c>
      <c r="O132" s="2735"/>
      <c r="P132" s="2735"/>
      <c r="Q132" s="2735"/>
      <c r="R132" s="2735"/>
      <c r="S132" s="2735"/>
      <c r="T132" s="2735"/>
      <c r="U132" s="2772">
        <f>U134+U136</f>
        <v>892</v>
      </c>
    </row>
    <row r="133" spans="1:28" ht="39" x14ac:dyDescent="0.25">
      <c r="A133" s="842"/>
      <c r="B133" s="49" t="s">
        <v>1063</v>
      </c>
      <c r="C133" s="1183"/>
      <c r="D133" s="409" t="s">
        <v>488</v>
      </c>
      <c r="E133" s="409" t="s">
        <v>495</v>
      </c>
      <c r="F133" s="409" t="s">
        <v>2</v>
      </c>
      <c r="G133" s="1662" t="s">
        <v>1062</v>
      </c>
      <c r="H133" s="2772">
        <f t="shared" ref="H133:U133" si="28">H134</f>
        <v>864.7</v>
      </c>
      <c r="I133" s="2773">
        <f t="shared" si="28"/>
        <v>0</v>
      </c>
      <c r="J133" s="2774">
        <f t="shared" si="28"/>
        <v>0</v>
      </c>
      <c r="K133" s="2735">
        <f t="shared" si="28"/>
        <v>0</v>
      </c>
      <c r="L133" s="2735">
        <f t="shared" si="28"/>
        <v>0</v>
      </c>
      <c r="M133" s="2735">
        <f t="shared" si="28"/>
        <v>0</v>
      </c>
      <c r="N133" s="2775">
        <f t="shared" si="28"/>
        <v>864.7</v>
      </c>
      <c r="O133" s="2735">
        <f t="shared" si="28"/>
        <v>0</v>
      </c>
      <c r="P133" s="2735">
        <f t="shared" si="28"/>
        <v>0</v>
      </c>
      <c r="Q133" s="2735">
        <f t="shared" si="28"/>
        <v>0</v>
      </c>
      <c r="R133" s="2735">
        <f t="shared" si="28"/>
        <v>0</v>
      </c>
      <c r="S133" s="2735">
        <f t="shared" si="28"/>
        <v>0</v>
      </c>
      <c r="T133" s="2735">
        <f t="shared" si="28"/>
        <v>0</v>
      </c>
      <c r="U133" s="2772">
        <f t="shared" si="28"/>
        <v>864.7</v>
      </c>
    </row>
    <row r="134" spans="1:28" x14ac:dyDescent="0.25">
      <c r="A134" s="842"/>
      <c r="B134" s="1182" t="s">
        <v>571</v>
      </c>
      <c r="C134" s="1183"/>
      <c r="D134" s="409" t="s">
        <v>488</v>
      </c>
      <c r="E134" s="409" t="s">
        <v>495</v>
      </c>
      <c r="F134" s="409" t="s">
        <v>2</v>
      </c>
      <c r="G134" s="1662" t="s">
        <v>5</v>
      </c>
      <c r="H134" s="2772">
        <f>800+64.7</f>
        <v>864.7</v>
      </c>
      <c r="I134" s="2773"/>
      <c r="J134" s="2774"/>
      <c r="K134" s="2735"/>
      <c r="L134" s="2735"/>
      <c r="M134" s="2735"/>
      <c r="N134" s="2775">
        <f>830+34.7</f>
        <v>864.7</v>
      </c>
      <c r="O134" s="2735"/>
      <c r="P134" s="2735"/>
      <c r="Q134" s="2735"/>
      <c r="R134" s="2735"/>
      <c r="S134" s="2735"/>
      <c r="T134" s="2735"/>
      <c r="U134" s="2772">
        <v>864.7</v>
      </c>
      <c r="V134" s="2">
        <v>807.12400000000002</v>
      </c>
      <c r="W134" s="2">
        <v>816.62400000000002</v>
      </c>
      <c r="X134" s="2">
        <v>846.82399999999996</v>
      </c>
      <c r="Z134" s="1">
        <v>-42.7</v>
      </c>
      <c r="AA134" s="1">
        <v>-59.6</v>
      </c>
      <c r="AB134" s="1">
        <v>857.3</v>
      </c>
    </row>
    <row r="135" spans="1:28" x14ac:dyDescent="0.25">
      <c r="A135" s="842"/>
      <c r="B135" s="753" t="s">
        <v>948</v>
      </c>
      <c r="C135" s="1183"/>
      <c r="D135" s="409" t="s">
        <v>488</v>
      </c>
      <c r="E135" s="409" t="s">
        <v>495</v>
      </c>
      <c r="F135" s="409" t="s">
        <v>2</v>
      </c>
      <c r="G135" s="1662" t="s">
        <v>955</v>
      </c>
      <c r="H135" s="2772">
        <f t="shared" ref="H135:U135" si="29">H136</f>
        <v>27.3</v>
      </c>
      <c r="I135" s="2773">
        <f t="shared" si="29"/>
        <v>0</v>
      </c>
      <c r="J135" s="2774">
        <f t="shared" si="29"/>
        <v>0</v>
      </c>
      <c r="K135" s="2735">
        <f t="shared" si="29"/>
        <v>0</v>
      </c>
      <c r="L135" s="2735">
        <f t="shared" si="29"/>
        <v>0</v>
      </c>
      <c r="M135" s="2735">
        <f t="shared" si="29"/>
        <v>0</v>
      </c>
      <c r="N135" s="2775">
        <f t="shared" si="29"/>
        <v>27.3</v>
      </c>
      <c r="O135" s="2735">
        <f t="shared" si="29"/>
        <v>0</v>
      </c>
      <c r="P135" s="2735">
        <f t="shared" si="29"/>
        <v>0</v>
      </c>
      <c r="Q135" s="2735">
        <f t="shared" si="29"/>
        <v>0</v>
      </c>
      <c r="R135" s="2735">
        <f t="shared" si="29"/>
        <v>0</v>
      </c>
      <c r="S135" s="2735">
        <f t="shared" si="29"/>
        <v>0</v>
      </c>
      <c r="T135" s="2735">
        <f t="shared" si="29"/>
        <v>0</v>
      </c>
      <c r="U135" s="2772">
        <f t="shared" si="29"/>
        <v>27.3</v>
      </c>
      <c r="V135" s="2"/>
      <c r="W135" s="2"/>
      <c r="X135" s="2"/>
    </row>
    <row r="136" spans="1:28" ht="21" x14ac:dyDescent="0.25">
      <c r="A136" s="842"/>
      <c r="B136" s="1182" t="s">
        <v>454</v>
      </c>
      <c r="C136" s="1183"/>
      <c r="D136" s="409" t="s">
        <v>488</v>
      </c>
      <c r="E136" s="409" t="s">
        <v>495</v>
      </c>
      <c r="F136" s="409" t="s">
        <v>2</v>
      </c>
      <c r="G136" s="1662" t="s">
        <v>1</v>
      </c>
      <c r="H136" s="2772">
        <f>14.8+12.5</f>
        <v>27.3</v>
      </c>
      <c r="I136" s="2773"/>
      <c r="J136" s="2774"/>
      <c r="K136" s="2735"/>
      <c r="L136" s="2735"/>
      <c r="M136" s="2735"/>
      <c r="N136" s="2775">
        <v>27.3</v>
      </c>
      <c r="O136" s="2735"/>
      <c r="P136" s="2735"/>
      <c r="Q136" s="2735"/>
      <c r="R136" s="2735"/>
      <c r="S136" s="2735"/>
      <c r="T136" s="2735"/>
      <c r="U136" s="2772">
        <v>27.3</v>
      </c>
      <c r="V136" s="2"/>
      <c r="W136" s="2"/>
      <c r="X136" s="2">
        <v>27.576000000000001</v>
      </c>
    </row>
    <row r="137" spans="1:28" x14ac:dyDescent="0.25">
      <c r="A137" s="1179"/>
      <c r="B137" s="1214" t="s">
        <v>407</v>
      </c>
      <c r="C137" s="1177"/>
      <c r="D137" s="408" t="s">
        <v>495</v>
      </c>
      <c r="E137" s="408" t="s">
        <v>459</v>
      </c>
      <c r="F137" s="408"/>
      <c r="G137" s="1661"/>
      <c r="H137" s="2776">
        <f>H138+H149+H167</f>
        <v>1081.1889999999999</v>
      </c>
      <c r="I137" s="2777">
        <f>I138</f>
        <v>0</v>
      </c>
      <c r="J137" s="2778">
        <f>J138</f>
        <v>0</v>
      </c>
      <c r="K137" s="2735"/>
      <c r="L137" s="2735"/>
      <c r="M137" s="2735"/>
      <c r="N137" s="2776">
        <f t="shared" ref="N137:U137" si="30">N138+N149+N167</f>
        <v>799.04</v>
      </c>
      <c r="O137" s="2735">
        <f t="shared" si="30"/>
        <v>0</v>
      </c>
      <c r="P137" s="2735">
        <f t="shared" si="30"/>
        <v>0</v>
      </c>
      <c r="Q137" s="2735">
        <f t="shared" si="30"/>
        <v>0</v>
      </c>
      <c r="R137" s="2735">
        <f t="shared" si="30"/>
        <v>0</v>
      </c>
      <c r="S137" s="2735">
        <f t="shared" si="30"/>
        <v>0</v>
      </c>
      <c r="T137" s="2735">
        <f t="shared" si="30"/>
        <v>0</v>
      </c>
      <c r="U137" s="2776">
        <f t="shared" si="30"/>
        <v>808.04</v>
      </c>
    </row>
    <row r="138" spans="1:28" ht="23" x14ac:dyDescent="0.25">
      <c r="A138" s="842"/>
      <c r="B138" s="1184" t="s">
        <v>1207</v>
      </c>
      <c r="C138" s="1177"/>
      <c r="D138" s="408" t="s">
        <v>495</v>
      </c>
      <c r="E138" s="408" t="s">
        <v>496</v>
      </c>
      <c r="F138" s="408"/>
      <c r="G138" s="1661"/>
      <c r="H138" s="2776">
        <f>H139+H162</f>
        <v>1074.1489999999999</v>
      </c>
      <c r="I138" s="2777">
        <f>I139+I170</f>
        <v>0</v>
      </c>
      <c r="J138" s="2778">
        <f>J139+J170</f>
        <v>0</v>
      </c>
      <c r="K138" s="2735"/>
      <c r="L138" s="2735"/>
      <c r="M138" s="2735"/>
      <c r="N138" s="2776">
        <f>N139+N162</f>
        <v>792</v>
      </c>
      <c r="O138" s="2735"/>
      <c r="P138" s="2735"/>
      <c r="Q138" s="2735"/>
      <c r="R138" s="2735"/>
      <c r="S138" s="2735"/>
      <c r="T138" s="2735"/>
      <c r="U138" s="2776">
        <f>U139+U162</f>
        <v>801</v>
      </c>
    </row>
    <row r="139" spans="1:28" ht="21" x14ac:dyDescent="0.25">
      <c r="A139" s="1179"/>
      <c r="B139" s="1205" t="s">
        <v>912</v>
      </c>
      <c r="C139" s="1215"/>
      <c r="D139" s="409" t="s">
        <v>495</v>
      </c>
      <c r="E139" s="409" t="s">
        <v>496</v>
      </c>
      <c r="F139" s="409" t="s">
        <v>240</v>
      </c>
      <c r="G139" s="1662"/>
      <c r="H139" s="2772">
        <f>H140+H157</f>
        <v>1074.1489999999999</v>
      </c>
      <c r="I139" s="2773">
        <f>I140+I157</f>
        <v>0</v>
      </c>
      <c r="J139" s="2774">
        <f>J140+J157</f>
        <v>0</v>
      </c>
      <c r="K139" s="2745">
        <f>K144+K155+K161</f>
        <v>0</v>
      </c>
      <c r="L139" s="2735"/>
      <c r="M139" s="2735"/>
      <c r="N139" s="2775">
        <f t="shared" ref="N139:U139" si="31">N140+N157</f>
        <v>792</v>
      </c>
      <c r="O139" s="2735">
        <f t="shared" si="31"/>
        <v>0</v>
      </c>
      <c r="P139" s="2735">
        <f t="shared" si="31"/>
        <v>0</v>
      </c>
      <c r="Q139" s="2735">
        <f t="shared" si="31"/>
        <v>0</v>
      </c>
      <c r="R139" s="2735">
        <f t="shared" si="31"/>
        <v>0</v>
      </c>
      <c r="S139" s="2735">
        <f t="shared" si="31"/>
        <v>0</v>
      </c>
      <c r="T139" s="2735">
        <f t="shared" si="31"/>
        <v>0</v>
      </c>
      <c r="U139" s="2772">
        <f t="shared" si="31"/>
        <v>801</v>
      </c>
    </row>
    <row r="140" spans="1:28" ht="43" customHeight="1" x14ac:dyDescent="0.25">
      <c r="A140" s="1179"/>
      <c r="B140" s="1216" t="s">
        <v>1214</v>
      </c>
      <c r="C140" s="1215"/>
      <c r="D140" s="1217" t="s">
        <v>495</v>
      </c>
      <c r="E140" s="1217" t="s">
        <v>496</v>
      </c>
      <c r="F140" s="1217" t="s">
        <v>238</v>
      </c>
      <c r="G140" s="1664"/>
      <c r="H140" s="2772">
        <f>H144+H155</f>
        <v>573.14899999999989</v>
      </c>
      <c r="I140" s="2773">
        <f>I141+I152</f>
        <v>0</v>
      </c>
      <c r="J140" s="2774">
        <f>J141+J152</f>
        <v>0</v>
      </c>
      <c r="K140" s="2735"/>
      <c r="L140" s="2735"/>
      <c r="M140" s="2735"/>
      <c r="N140" s="2775">
        <f t="shared" ref="N140:U140" si="32">N144+N155</f>
        <v>550</v>
      </c>
      <c r="O140" s="2735">
        <f t="shared" si="32"/>
        <v>0</v>
      </c>
      <c r="P140" s="2735">
        <f t="shared" si="32"/>
        <v>0</v>
      </c>
      <c r="Q140" s="2735">
        <f t="shared" si="32"/>
        <v>0</v>
      </c>
      <c r="R140" s="2735">
        <f t="shared" si="32"/>
        <v>0</v>
      </c>
      <c r="S140" s="2735">
        <f t="shared" si="32"/>
        <v>0</v>
      </c>
      <c r="T140" s="2735">
        <f t="shared" si="32"/>
        <v>0</v>
      </c>
      <c r="U140" s="2772">
        <f t="shared" si="32"/>
        <v>550</v>
      </c>
    </row>
    <row r="141" spans="1:28" ht="21" x14ac:dyDescent="0.25">
      <c r="A141" s="1179"/>
      <c r="B141" s="1197" t="s">
        <v>236</v>
      </c>
      <c r="C141" s="1215"/>
      <c r="D141" s="1217" t="s">
        <v>495</v>
      </c>
      <c r="E141" s="1217" t="s">
        <v>496</v>
      </c>
      <c r="F141" s="1217" t="s">
        <v>235</v>
      </c>
      <c r="G141" s="1664"/>
      <c r="H141" s="2772">
        <f>H142+H145+H147</f>
        <v>303.14899999999989</v>
      </c>
      <c r="I141" s="2773">
        <f>I142+I145+I147</f>
        <v>0</v>
      </c>
      <c r="J141" s="2774">
        <f>J142+J145+J147</f>
        <v>0</v>
      </c>
      <c r="K141" s="2735"/>
      <c r="L141" s="2735"/>
      <c r="M141" s="2735"/>
      <c r="N141" s="2775">
        <f t="shared" ref="N141:U141" si="33">N142+N145+N147</f>
        <v>230</v>
      </c>
      <c r="O141" s="2735">
        <f t="shared" si="33"/>
        <v>0</v>
      </c>
      <c r="P141" s="2735">
        <f t="shared" si="33"/>
        <v>0</v>
      </c>
      <c r="Q141" s="2735">
        <f t="shared" si="33"/>
        <v>0</v>
      </c>
      <c r="R141" s="2735">
        <f t="shared" si="33"/>
        <v>0</v>
      </c>
      <c r="S141" s="2735">
        <f t="shared" si="33"/>
        <v>0</v>
      </c>
      <c r="T141" s="2735">
        <f t="shared" si="33"/>
        <v>0</v>
      </c>
      <c r="U141" s="2772">
        <f t="shared" si="33"/>
        <v>230</v>
      </c>
    </row>
    <row r="142" spans="1:28" ht="21" x14ac:dyDescent="0.25">
      <c r="A142" s="1179"/>
      <c r="B142" s="1218" t="s">
        <v>237</v>
      </c>
      <c r="C142" s="1215"/>
      <c r="D142" s="1217" t="s">
        <v>495</v>
      </c>
      <c r="E142" s="1217" t="s">
        <v>496</v>
      </c>
      <c r="F142" s="1217" t="s">
        <v>233</v>
      </c>
      <c r="G142" s="1664"/>
      <c r="H142" s="2772">
        <f>H144</f>
        <v>303.14899999999989</v>
      </c>
      <c r="I142" s="2773">
        <f>I144</f>
        <v>0</v>
      </c>
      <c r="J142" s="2774">
        <f>J144</f>
        <v>0</v>
      </c>
      <c r="K142" s="2735"/>
      <c r="L142" s="2735"/>
      <c r="M142" s="2735"/>
      <c r="N142" s="2775">
        <f>N144</f>
        <v>230</v>
      </c>
      <c r="O142" s="2735"/>
      <c r="P142" s="2735"/>
      <c r="Q142" s="2735"/>
      <c r="R142" s="2735"/>
      <c r="S142" s="2735"/>
      <c r="T142" s="2735"/>
      <c r="U142" s="2772">
        <f>U144</f>
        <v>230</v>
      </c>
    </row>
    <row r="143" spans="1:28" x14ac:dyDescent="0.25">
      <c r="A143" s="1179"/>
      <c r="B143" s="753" t="s">
        <v>948</v>
      </c>
      <c r="C143" s="1215"/>
      <c r="D143" s="1217" t="s">
        <v>495</v>
      </c>
      <c r="E143" s="1217" t="s">
        <v>496</v>
      </c>
      <c r="F143" s="1217" t="s">
        <v>233</v>
      </c>
      <c r="G143" s="1664" t="s">
        <v>955</v>
      </c>
      <c r="H143" s="2772">
        <f t="shared" ref="H143:U143" si="34">H144</f>
        <v>303.14899999999989</v>
      </c>
      <c r="I143" s="2773">
        <f t="shared" si="34"/>
        <v>0</v>
      </c>
      <c r="J143" s="2774">
        <f t="shared" si="34"/>
        <v>0</v>
      </c>
      <c r="K143" s="2735">
        <f t="shared" si="34"/>
        <v>0</v>
      </c>
      <c r="L143" s="2735">
        <f t="shared" si="34"/>
        <v>0</v>
      </c>
      <c r="M143" s="2735">
        <f t="shared" si="34"/>
        <v>0</v>
      </c>
      <c r="N143" s="2775">
        <f t="shared" si="34"/>
        <v>230</v>
      </c>
      <c r="O143" s="2735">
        <f t="shared" si="34"/>
        <v>0</v>
      </c>
      <c r="P143" s="2735">
        <f t="shared" si="34"/>
        <v>0</v>
      </c>
      <c r="Q143" s="2735">
        <f t="shared" si="34"/>
        <v>0</v>
      </c>
      <c r="R143" s="2735">
        <f t="shared" si="34"/>
        <v>0</v>
      </c>
      <c r="S143" s="2735">
        <f t="shared" si="34"/>
        <v>0</v>
      </c>
      <c r="T143" s="2735">
        <f t="shared" si="34"/>
        <v>0</v>
      </c>
      <c r="U143" s="2772">
        <f t="shared" si="34"/>
        <v>230</v>
      </c>
    </row>
    <row r="144" spans="1:28" ht="21" x14ac:dyDescent="0.25">
      <c r="A144" s="1179"/>
      <c r="B144" s="1182" t="s">
        <v>454</v>
      </c>
      <c r="C144" s="1183"/>
      <c r="D144" s="1217" t="s">
        <v>495</v>
      </c>
      <c r="E144" s="1217" t="s">
        <v>496</v>
      </c>
      <c r="F144" s="1217" t="s">
        <v>233</v>
      </c>
      <c r="G144" s="1662" t="s">
        <v>1</v>
      </c>
      <c r="H144" s="2772">
        <f>1326.82-754.671-269</f>
        <v>303.14899999999989</v>
      </c>
      <c r="I144" s="2773"/>
      <c r="J144" s="2774"/>
      <c r="K144" s="2735"/>
      <c r="L144" s="2735"/>
      <c r="M144" s="2735"/>
      <c r="N144" s="2775">
        <v>230</v>
      </c>
      <c r="O144" s="2735"/>
      <c r="P144" s="2735"/>
      <c r="Q144" s="2735"/>
      <c r="R144" s="2735"/>
      <c r="S144" s="2735"/>
      <c r="T144" s="2735"/>
      <c r="U144" s="2772">
        <v>230</v>
      </c>
    </row>
    <row r="145" spans="1:21" hidden="1" x14ac:dyDescent="0.25">
      <c r="A145" s="1179"/>
      <c r="B145" s="1219" t="s">
        <v>568</v>
      </c>
      <c r="C145" s="1215"/>
      <c r="D145" s="1217" t="s">
        <v>495</v>
      </c>
      <c r="E145" s="1217" t="s">
        <v>539</v>
      </c>
      <c r="F145" s="1217" t="s">
        <v>233</v>
      </c>
      <c r="G145" s="1664" t="s">
        <v>91</v>
      </c>
      <c r="H145" s="2772"/>
      <c r="I145" s="2773">
        <f>I146</f>
        <v>0</v>
      </c>
      <c r="J145" s="2774">
        <f>J146</f>
        <v>0</v>
      </c>
      <c r="K145" s="2735"/>
      <c r="L145" s="2735"/>
      <c r="M145" s="2735"/>
      <c r="N145" s="2775">
        <f>N146</f>
        <v>0</v>
      </c>
      <c r="O145" s="2735"/>
      <c r="P145" s="2735"/>
      <c r="Q145" s="2735"/>
      <c r="R145" s="2735"/>
      <c r="S145" s="2735"/>
      <c r="T145" s="2735"/>
      <c r="U145" s="2772">
        <f>U146</f>
        <v>0</v>
      </c>
    </row>
    <row r="146" spans="1:21" ht="21" hidden="1" x14ac:dyDescent="0.25">
      <c r="A146" s="1179"/>
      <c r="B146" s="1182" t="s">
        <v>454</v>
      </c>
      <c r="C146" s="1183"/>
      <c r="D146" s="1217" t="s">
        <v>495</v>
      </c>
      <c r="E146" s="1217" t="s">
        <v>539</v>
      </c>
      <c r="F146" s="1217" t="s">
        <v>567</v>
      </c>
      <c r="G146" s="1662" t="s">
        <v>1</v>
      </c>
      <c r="H146" s="2772"/>
      <c r="I146" s="2773"/>
      <c r="J146" s="2774"/>
      <c r="K146" s="2735"/>
      <c r="L146" s="2735"/>
      <c r="M146" s="2735"/>
      <c r="N146" s="2775"/>
      <c r="O146" s="2735"/>
      <c r="P146" s="2735"/>
      <c r="Q146" s="2735"/>
      <c r="R146" s="2735"/>
      <c r="S146" s="2735"/>
      <c r="T146" s="2735"/>
      <c r="U146" s="2772"/>
    </row>
    <row r="147" spans="1:21" hidden="1" x14ac:dyDescent="0.25">
      <c r="A147" s="1179"/>
      <c r="B147" s="1219" t="s">
        <v>566</v>
      </c>
      <c r="C147" s="1215"/>
      <c r="D147" s="1217" t="s">
        <v>495</v>
      </c>
      <c r="E147" s="1217" t="s">
        <v>539</v>
      </c>
      <c r="F147" s="1217" t="s">
        <v>565</v>
      </c>
      <c r="G147" s="1664"/>
      <c r="H147" s="2772">
        <f>H148</f>
        <v>0</v>
      </c>
      <c r="I147" s="2773">
        <f>I148</f>
        <v>0</v>
      </c>
      <c r="J147" s="2774">
        <f>J148</f>
        <v>0</v>
      </c>
      <c r="K147" s="2735"/>
      <c r="L147" s="2735"/>
      <c r="M147" s="2735"/>
      <c r="N147" s="2775">
        <f>N148</f>
        <v>0</v>
      </c>
      <c r="O147" s="2735"/>
      <c r="P147" s="2735"/>
      <c r="Q147" s="2735"/>
      <c r="R147" s="2735"/>
      <c r="S147" s="2735"/>
      <c r="T147" s="2735"/>
      <c r="U147" s="2772">
        <f>U148</f>
        <v>0</v>
      </c>
    </row>
    <row r="148" spans="1:21" ht="21" hidden="1" x14ac:dyDescent="0.25">
      <c r="A148" s="1179"/>
      <c r="B148" s="1182" t="s">
        <v>454</v>
      </c>
      <c r="C148" s="1183"/>
      <c r="D148" s="1217" t="s">
        <v>495</v>
      </c>
      <c r="E148" s="1217" t="s">
        <v>539</v>
      </c>
      <c r="F148" s="1217" t="s">
        <v>565</v>
      </c>
      <c r="G148" s="1662" t="s">
        <v>1</v>
      </c>
      <c r="H148" s="2772"/>
      <c r="I148" s="2773"/>
      <c r="J148" s="2774"/>
      <c r="K148" s="2735"/>
      <c r="L148" s="2735"/>
      <c r="M148" s="2735"/>
      <c r="N148" s="2775"/>
      <c r="O148" s="2735"/>
      <c r="P148" s="2735"/>
      <c r="Q148" s="2735"/>
      <c r="R148" s="2735"/>
      <c r="S148" s="2735"/>
      <c r="T148" s="2735"/>
      <c r="U148" s="2772"/>
    </row>
    <row r="149" spans="1:21" ht="26" hidden="1" x14ac:dyDescent="0.3">
      <c r="A149" s="1179"/>
      <c r="B149" s="336" t="s">
        <v>1207</v>
      </c>
      <c r="C149" s="1183"/>
      <c r="D149" s="408" t="s">
        <v>495</v>
      </c>
      <c r="E149" s="408" t="s">
        <v>496</v>
      </c>
      <c r="F149" s="1217"/>
      <c r="G149" s="1662"/>
      <c r="H149" s="2776">
        <f>H150</f>
        <v>0</v>
      </c>
      <c r="I149" s="2773"/>
      <c r="J149" s="2774"/>
      <c r="K149" s="2735"/>
      <c r="L149" s="2735"/>
      <c r="M149" s="2735"/>
      <c r="N149" s="2775">
        <f t="shared" ref="N149:U149" si="35">N150</f>
        <v>0</v>
      </c>
      <c r="O149" s="2735">
        <f t="shared" si="35"/>
        <v>0</v>
      </c>
      <c r="P149" s="2735">
        <f t="shared" si="35"/>
        <v>0</v>
      </c>
      <c r="Q149" s="2735">
        <f t="shared" si="35"/>
        <v>0</v>
      </c>
      <c r="R149" s="2735">
        <f t="shared" si="35"/>
        <v>0</v>
      </c>
      <c r="S149" s="2735">
        <f t="shared" si="35"/>
        <v>0</v>
      </c>
      <c r="T149" s="2735">
        <f t="shared" si="35"/>
        <v>0</v>
      </c>
      <c r="U149" s="2772">
        <f t="shared" si="35"/>
        <v>0</v>
      </c>
    </row>
    <row r="150" spans="1:21" ht="21" hidden="1" x14ac:dyDescent="0.25">
      <c r="A150" s="1179"/>
      <c r="B150" s="1205" t="s">
        <v>912</v>
      </c>
      <c r="C150" s="1183"/>
      <c r="D150" s="1217" t="s">
        <v>495</v>
      </c>
      <c r="E150" s="1217" t="s">
        <v>496</v>
      </c>
      <c r="F150" s="409" t="s">
        <v>240</v>
      </c>
      <c r="G150" s="1662"/>
      <c r="H150" s="2772"/>
      <c r="I150" s="2773"/>
      <c r="J150" s="2774"/>
      <c r="K150" s="2735"/>
      <c r="L150" s="2735"/>
      <c r="M150" s="2735"/>
      <c r="N150" s="2775"/>
      <c r="O150" s="2735"/>
      <c r="P150" s="2735"/>
      <c r="Q150" s="2735"/>
      <c r="R150" s="2735"/>
      <c r="S150" s="2735"/>
      <c r="T150" s="2735"/>
      <c r="U150" s="2772"/>
    </row>
    <row r="151" spans="1:21" ht="42" hidden="1" x14ac:dyDescent="0.25">
      <c r="A151" s="1179"/>
      <c r="B151" s="1216" t="s">
        <v>926</v>
      </c>
      <c r="C151" s="1183"/>
      <c r="D151" s="1217" t="s">
        <v>495</v>
      </c>
      <c r="E151" s="1217" t="s">
        <v>496</v>
      </c>
      <c r="F151" s="1217" t="s">
        <v>238</v>
      </c>
      <c r="G151" s="1662"/>
      <c r="H151" s="2772"/>
      <c r="I151" s="2773"/>
      <c r="J151" s="2774"/>
      <c r="K151" s="2735"/>
      <c r="L151" s="2735"/>
      <c r="M151" s="2735"/>
      <c r="N151" s="2775"/>
      <c r="O151" s="2735"/>
      <c r="P151" s="2735"/>
      <c r="Q151" s="2735"/>
      <c r="R151" s="2735"/>
      <c r="S151" s="2735"/>
      <c r="T151" s="2735"/>
      <c r="U151" s="2772"/>
    </row>
    <row r="152" spans="1:21" x14ac:dyDescent="0.25">
      <c r="A152" s="1179"/>
      <c r="B152" s="1219" t="s">
        <v>564</v>
      </c>
      <c r="C152" s="1215"/>
      <c r="D152" s="1217" t="s">
        <v>495</v>
      </c>
      <c r="E152" s="1217" t="s">
        <v>496</v>
      </c>
      <c r="F152" s="1217" t="s">
        <v>231</v>
      </c>
      <c r="G152" s="1664"/>
      <c r="H152" s="2772">
        <f>H153</f>
        <v>270</v>
      </c>
      <c r="I152" s="2773">
        <f>I153</f>
        <v>0</v>
      </c>
      <c r="J152" s="2774">
        <f>J153</f>
        <v>0</v>
      </c>
      <c r="K152" s="2735"/>
      <c r="L152" s="2735"/>
      <c r="M152" s="2735"/>
      <c r="N152" s="2775">
        <f>N153</f>
        <v>320</v>
      </c>
      <c r="O152" s="2735"/>
      <c r="P152" s="2735"/>
      <c r="Q152" s="2735"/>
      <c r="R152" s="2735"/>
      <c r="S152" s="2735"/>
      <c r="T152" s="2735"/>
      <c r="U152" s="2772">
        <f>U153</f>
        <v>320</v>
      </c>
    </row>
    <row r="153" spans="1:21" x14ac:dyDescent="0.25">
      <c r="A153" s="1179"/>
      <c r="B153" s="1117" t="s">
        <v>563</v>
      </c>
      <c r="C153" s="1188"/>
      <c r="D153" s="409" t="s">
        <v>495</v>
      </c>
      <c r="E153" s="409" t="s">
        <v>496</v>
      </c>
      <c r="F153" s="1217" t="s">
        <v>229</v>
      </c>
      <c r="G153" s="1664"/>
      <c r="H153" s="2772">
        <f>H155+H156</f>
        <v>270</v>
      </c>
      <c r="I153" s="2773">
        <f>I155+I156</f>
        <v>0</v>
      </c>
      <c r="J153" s="2774">
        <f>J155+J156</f>
        <v>0</v>
      </c>
      <c r="K153" s="2735"/>
      <c r="L153" s="2735"/>
      <c r="M153" s="2735"/>
      <c r="N153" s="2775">
        <f>N155+N156</f>
        <v>320</v>
      </c>
      <c r="O153" s="2735"/>
      <c r="P153" s="2735"/>
      <c r="Q153" s="2735"/>
      <c r="R153" s="2735"/>
      <c r="S153" s="2735"/>
      <c r="T153" s="2735"/>
      <c r="U153" s="2772">
        <f>U155+U156</f>
        <v>320</v>
      </c>
    </row>
    <row r="154" spans="1:21" x14ac:dyDescent="0.25">
      <c r="A154" s="1179"/>
      <c r="B154" s="753" t="s">
        <v>948</v>
      </c>
      <c r="C154" s="1188"/>
      <c r="D154" s="409" t="s">
        <v>495</v>
      </c>
      <c r="E154" s="409" t="s">
        <v>496</v>
      </c>
      <c r="F154" s="1217" t="s">
        <v>229</v>
      </c>
      <c r="G154" s="1664" t="s">
        <v>955</v>
      </c>
      <c r="H154" s="2772">
        <f t="shared" ref="H154:U154" si="36">H155</f>
        <v>270</v>
      </c>
      <c r="I154" s="2773">
        <f t="shared" si="36"/>
        <v>0</v>
      </c>
      <c r="J154" s="2774">
        <f t="shared" si="36"/>
        <v>0</v>
      </c>
      <c r="K154" s="2735">
        <f t="shared" si="36"/>
        <v>0</v>
      </c>
      <c r="L154" s="2735">
        <f t="shared" si="36"/>
        <v>0</v>
      </c>
      <c r="M154" s="2735">
        <f t="shared" si="36"/>
        <v>0</v>
      </c>
      <c r="N154" s="2775">
        <f t="shared" si="36"/>
        <v>320</v>
      </c>
      <c r="O154" s="2735">
        <f t="shared" si="36"/>
        <v>0</v>
      </c>
      <c r="P154" s="2735">
        <f t="shared" si="36"/>
        <v>0</v>
      </c>
      <c r="Q154" s="2735">
        <f t="shared" si="36"/>
        <v>0</v>
      </c>
      <c r="R154" s="2735">
        <f t="shared" si="36"/>
        <v>0</v>
      </c>
      <c r="S154" s="2735">
        <f t="shared" si="36"/>
        <v>0</v>
      </c>
      <c r="T154" s="2735">
        <f t="shared" si="36"/>
        <v>0</v>
      </c>
      <c r="U154" s="2772">
        <f t="shared" si="36"/>
        <v>320</v>
      </c>
    </row>
    <row r="155" spans="1:21" ht="21" x14ac:dyDescent="0.25">
      <c r="A155" s="1179"/>
      <c r="B155" s="1182" t="s">
        <v>454</v>
      </c>
      <c r="C155" s="1183"/>
      <c r="D155" s="409" t="s">
        <v>495</v>
      </c>
      <c r="E155" s="409" t="s">
        <v>496</v>
      </c>
      <c r="F155" s="1217" t="s">
        <v>229</v>
      </c>
      <c r="G155" s="1664">
        <v>240</v>
      </c>
      <c r="H155" s="2772">
        <v>270</v>
      </c>
      <c r="I155" s="2773"/>
      <c r="J155" s="2774"/>
      <c r="K155" s="2735"/>
      <c r="L155" s="2735"/>
      <c r="M155" s="2735"/>
      <c r="N155" s="2775">
        <v>320</v>
      </c>
      <c r="O155" s="2735"/>
      <c r="P155" s="2735"/>
      <c r="Q155" s="2735"/>
      <c r="R155" s="2735"/>
      <c r="S155" s="2735"/>
      <c r="T155" s="2735"/>
      <c r="U155" s="2772">
        <v>320</v>
      </c>
    </row>
    <row r="156" spans="1:21" ht="21" hidden="1" x14ac:dyDescent="0.25">
      <c r="A156" s="1179"/>
      <c r="B156" s="1183" t="s">
        <v>562</v>
      </c>
      <c r="C156" s="1183"/>
      <c r="D156" s="409" t="s">
        <v>495</v>
      </c>
      <c r="E156" s="409" t="s">
        <v>496</v>
      </c>
      <c r="F156" s="1217" t="s">
        <v>229</v>
      </c>
      <c r="G156" s="1664" t="s">
        <v>561</v>
      </c>
      <c r="H156" s="2772"/>
      <c r="I156" s="2773"/>
      <c r="J156" s="2774"/>
      <c r="K156" s="2735"/>
      <c r="L156" s="2735"/>
      <c r="M156" s="2735"/>
      <c r="N156" s="2775"/>
      <c r="O156" s="2735"/>
      <c r="P156" s="2735"/>
      <c r="Q156" s="2735"/>
      <c r="R156" s="2735"/>
      <c r="S156" s="2735"/>
      <c r="T156" s="2735"/>
      <c r="U156" s="2772"/>
    </row>
    <row r="157" spans="1:21" x14ac:dyDescent="0.25">
      <c r="A157" s="1179"/>
      <c r="B157" s="1219" t="s">
        <v>560</v>
      </c>
      <c r="C157" s="1215"/>
      <c r="D157" s="1217" t="s">
        <v>495</v>
      </c>
      <c r="E157" s="1217" t="s">
        <v>496</v>
      </c>
      <c r="F157" s="1217" t="s">
        <v>227</v>
      </c>
      <c r="G157" s="1664"/>
      <c r="H157" s="2772">
        <f>H158</f>
        <v>501</v>
      </c>
      <c r="I157" s="2773">
        <f>I158</f>
        <v>0</v>
      </c>
      <c r="J157" s="2774">
        <f>J158</f>
        <v>0</v>
      </c>
      <c r="K157" s="2735"/>
      <c r="L157" s="2735"/>
      <c r="M157" s="2735"/>
      <c r="N157" s="2775">
        <f>N158</f>
        <v>242</v>
      </c>
      <c r="O157" s="2735"/>
      <c r="P157" s="2735"/>
      <c r="Q157" s="2735"/>
      <c r="R157" s="2735"/>
      <c r="S157" s="2735"/>
      <c r="T157" s="2735"/>
      <c r="U157" s="2772">
        <f>U158</f>
        <v>251</v>
      </c>
    </row>
    <row r="158" spans="1:21" ht="21" x14ac:dyDescent="0.25">
      <c r="A158" s="1179"/>
      <c r="B158" s="1219" t="s">
        <v>559</v>
      </c>
      <c r="C158" s="1215"/>
      <c r="D158" s="1217" t="s">
        <v>495</v>
      </c>
      <c r="E158" s="1217" t="s">
        <v>496</v>
      </c>
      <c r="F158" s="1217" t="s">
        <v>225</v>
      </c>
      <c r="G158" s="1664"/>
      <c r="H158" s="2772">
        <f>H159</f>
        <v>501</v>
      </c>
      <c r="I158" s="2773">
        <f>I159+I167</f>
        <v>0</v>
      </c>
      <c r="J158" s="2774">
        <f>J159+J167</f>
        <v>0</v>
      </c>
      <c r="K158" s="2735"/>
      <c r="L158" s="2735"/>
      <c r="M158" s="2735"/>
      <c r="N158" s="2775">
        <f>N159</f>
        <v>242</v>
      </c>
      <c r="O158" s="2735"/>
      <c r="P158" s="2735"/>
      <c r="Q158" s="2735"/>
      <c r="R158" s="2735"/>
      <c r="S158" s="2735"/>
      <c r="T158" s="2735"/>
      <c r="U158" s="2772">
        <f>U159</f>
        <v>251</v>
      </c>
    </row>
    <row r="159" spans="1:21" x14ac:dyDescent="0.25">
      <c r="A159" s="1179"/>
      <c r="B159" s="1863" t="s">
        <v>224</v>
      </c>
      <c r="C159" s="1188"/>
      <c r="D159" s="1217" t="s">
        <v>495</v>
      </c>
      <c r="E159" s="1217" t="s">
        <v>496</v>
      </c>
      <c r="F159" s="1217" t="s">
        <v>220</v>
      </c>
      <c r="G159" s="1664"/>
      <c r="H159" s="2772">
        <f>H161</f>
        <v>501</v>
      </c>
      <c r="I159" s="2773">
        <f>I161</f>
        <v>0</v>
      </c>
      <c r="J159" s="2774">
        <f>J161</f>
        <v>0</v>
      </c>
      <c r="K159" s="2735"/>
      <c r="L159" s="2735"/>
      <c r="M159" s="2735"/>
      <c r="N159" s="2775">
        <f>N161</f>
        <v>242</v>
      </c>
      <c r="O159" s="2735"/>
      <c r="P159" s="2735"/>
      <c r="Q159" s="2735"/>
      <c r="R159" s="2735"/>
      <c r="S159" s="2735"/>
      <c r="T159" s="2735"/>
      <c r="U159" s="2772">
        <f>U161</f>
        <v>251</v>
      </c>
    </row>
    <row r="160" spans="1:21" x14ac:dyDescent="0.25">
      <c r="A160" s="1179"/>
      <c r="B160" s="753" t="s">
        <v>948</v>
      </c>
      <c r="C160" s="1188"/>
      <c r="D160" s="1217" t="s">
        <v>495</v>
      </c>
      <c r="E160" s="1217" t="s">
        <v>496</v>
      </c>
      <c r="F160" s="1217" t="s">
        <v>220</v>
      </c>
      <c r="G160" s="1664" t="s">
        <v>955</v>
      </c>
      <c r="H160" s="2772">
        <f t="shared" ref="H160:U160" si="37">H161</f>
        <v>501</v>
      </c>
      <c r="I160" s="2773">
        <f t="shared" si="37"/>
        <v>0</v>
      </c>
      <c r="J160" s="2774">
        <f t="shared" si="37"/>
        <v>0</v>
      </c>
      <c r="K160" s="2735">
        <f t="shared" si="37"/>
        <v>0</v>
      </c>
      <c r="L160" s="2735">
        <f t="shared" si="37"/>
        <v>0</v>
      </c>
      <c r="M160" s="2735">
        <f t="shared" si="37"/>
        <v>0</v>
      </c>
      <c r="N160" s="2775">
        <f t="shared" si="37"/>
        <v>242</v>
      </c>
      <c r="O160" s="2735">
        <f t="shared" si="37"/>
        <v>0</v>
      </c>
      <c r="P160" s="2735">
        <f t="shared" si="37"/>
        <v>0</v>
      </c>
      <c r="Q160" s="2735">
        <f t="shared" si="37"/>
        <v>0</v>
      </c>
      <c r="R160" s="2735">
        <f t="shared" si="37"/>
        <v>0</v>
      </c>
      <c r="S160" s="2735">
        <f t="shared" si="37"/>
        <v>0</v>
      </c>
      <c r="T160" s="2735">
        <f t="shared" si="37"/>
        <v>0</v>
      </c>
      <c r="U160" s="2772">
        <f t="shared" si="37"/>
        <v>251</v>
      </c>
    </row>
    <row r="161" spans="1:25" ht="21" x14ac:dyDescent="0.25">
      <c r="A161" s="1179"/>
      <c r="B161" s="1182" t="s">
        <v>454</v>
      </c>
      <c r="C161" s="1183"/>
      <c r="D161" s="1217" t="s">
        <v>495</v>
      </c>
      <c r="E161" s="1217" t="s">
        <v>496</v>
      </c>
      <c r="F161" s="1217" t="s">
        <v>220</v>
      </c>
      <c r="G161" s="1662" t="s">
        <v>1</v>
      </c>
      <c r="H161" s="2772">
        <f>232+269</f>
        <v>501</v>
      </c>
      <c r="I161" s="2773"/>
      <c r="J161" s="2774"/>
      <c r="K161" s="2735"/>
      <c r="L161" s="2735"/>
      <c r="M161" s="2735"/>
      <c r="N161" s="2775">
        <v>242</v>
      </c>
      <c r="O161" s="2735"/>
      <c r="P161" s="2735"/>
      <c r="Q161" s="2735"/>
      <c r="R161" s="2735"/>
      <c r="S161" s="2735"/>
      <c r="T161" s="2735"/>
      <c r="U161" s="2772">
        <v>251</v>
      </c>
    </row>
    <row r="162" spans="1:25" ht="21" hidden="1" x14ac:dyDescent="0.25">
      <c r="A162" s="1179"/>
      <c r="B162" s="753" t="s">
        <v>499</v>
      </c>
      <c r="C162" s="1183"/>
      <c r="D162" s="1217" t="s">
        <v>495</v>
      </c>
      <c r="E162" s="1217" t="s">
        <v>539</v>
      </c>
      <c r="F162" s="409" t="s">
        <v>89</v>
      </c>
      <c r="G162" s="1662"/>
      <c r="H162" s="2772">
        <f>H163</f>
        <v>0</v>
      </c>
      <c r="I162" s="2773"/>
      <c r="J162" s="2774"/>
      <c r="K162" s="2735"/>
      <c r="L162" s="2735"/>
      <c r="M162" s="2735"/>
      <c r="N162" s="2775"/>
      <c r="O162" s="2735"/>
      <c r="P162" s="2735"/>
      <c r="Q162" s="2735"/>
      <c r="R162" s="2735"/>
      <c r="S162" s="2735"/>
      <c r="T162" s="2735"/>
      <c r="U162" s="2772"/>
    </row>
    <row r="163" spans="1:25" hidden="1" x14ac:dyDescent="0.25">
      <c r="A163" s="1179"/>
      <c r="B163" s="753" t="s">
        <v>109</v>
      </c>
      <c r="C163" s="1183"/>
      <c r="D163" s="1217" t="s">
        <v>495</v>
      </c>
      <c r="E163" s="1217" t="s">
        <v>539</v>
      </c>
      <c r="F163" s="409" t="s">
        <v>84</v>
      </c>
      <c r="G163" s="1662"/>
      <c r="H163" s="2772">
        <f>H164</f>
        <v>0</v>
      </c>
      <c r="I163" s="2773"/>
      <c r="J163" s="2774"/>
      <c r="K163" s="2735"/>
      <c r="L163" s="2735"/>
      <c r="M163" s="2735"/>
      <c r="N163" s="2775"/>
      <c r="O163" s="2735"/>
      <c r="P163" s="2735"/>
      <c r="Q163" s="2735"/>
      <c r="R163" s="2735"/>
      <c r="S163" s="2735"/>
      <c r="T163" s="2735"/>
      <c r="U163" s="2772"/>
    </row>
    <row r="164" spans="1:25" hidden="1" x14ac:dyDescent="0.25">
      <c r="A164" s="1179"/>
      <c r="B164" s="753" t="s">
        <v>109</v>
      </c>
      <c r="C164" s="1183"/>
      <c r="D164" s="1217" t="s">
        <v>495</v>
      </c>
      <c r="E164" s="1217" t="s">
        <v>539</v>
      </c>
      <c r="F164" s="409" t="s">
        <v>82</v>
      </c>
      <c r="G164" s="1662"/>
      <c r="H164" s="2772">
        <f>H165</f>
        <v>0</v>
      </c>
      <c r="I164" s="2773"/>
      <c r="J164" s="2774"/>
      <c r="K164" s="2735"/>
      <c r="L164" s="2735"/>
      <c r="M164" s="2735"/>
      <c r="N164" s="2775"/>
      <c r="O164" s="2735"/>
      <c r="P164" s="2735"/>
      <c r="Q164" s="2735"/>
      <c r="R164" s="2735"/>
      <c r="S164" s="2735"/>
      <c r="T164" s="2735"/>
      <c r="U164" s="2772"/>
    </row>
    <row r="165" spans="1:25" ht="25.5" hidden="1" customHeight="1" x14ac:dyDescent="0.25">
      <c r="A165" s="1179"/>
      <c r="B165" s="1182" t="s">
        <v>237</v>
      </c>
      <c r="C165" s="1183"/>
      <c r="D165" s="1217" t="s">
        <v>495</v>
      </c>
      <c r="E165" s="1217" t="s">
        <v>539</v>
      </c>
      <c r="F165" s="1217" t="s">
        <v>1006</v>
      </c>
      <c r="G165" s="1662"/>
      <c r="H165" s="2772">
        <f>H166</f>
        <v>0</v>
      </c>
      <c r="I165" s="2773"/>
      <c r="J165" s="2774"/>
      <c r="K165" s="2735"/>
      <c r="L165" s="2735"/>
      <c r="M165" s="2735"/>
      <c r="N165" s="2775"/>
      <c r="O165" s="2735"/>
      <c r="P165" s="2735"/>
      <c r="Q165" s="2735"/>
      <c r="R165" s="2735"/>
      <c r="S165" s="2735"/>
      <c r="T165" s="2735"/>
      <c r="U165" s="2772"/>
    </row>
    <row r="166" spans="1:25" hidden="1" x14ac:dyDescent="0.25">
      <c r="A166" s="1179"/>
      <c r="B166" s="1182" t="s">
        <v>457</v>
      </c>
      <c r="C166" s="1183"/>
      <c r="D166" s="1217" t="s">
        <v>495</v>
      </c>
      <c r="E166" s="1217" t="s">
        <v>539</v>
      </c>
      <c r="F166" s="1217" t="s">
        <v>1006</v>
      </c>
      <c r="G166" s="1662" t="s">
        <v>91</v>
      </c>
      <c r="H166" s="2772"/>
      <c r="I166" s="2773"/>
      <c r="J166" s="2774"/>
      <c r="K166" s="2735"/>
      <c r="L166" s="2735"/>
      <c r="M166" s="2735"/>
      <c r="N166" s="2775"/>
      <c r="O166" s="2735"/>
      <c r="P166" s="2735"/>
      <c r="Q166" s="2735"/>
      <c r="R166" s="2735"/>
      <c r="S166" s="2735"/>
      <c r="T166" s="2735"/>
      <c r="U166" s="2772"/>
    </row>
    <row r="167" spans="1:25" ht="27" customHeight="1" x14ac:dyDescent="0.25">
      <c r="A167" s="1179"/>
      <c r="B167" s="1214" t="s">
        <v>833</v>
      </c>
      <c r="C167" s="1188"/>
      <c r="D167" s="1221" t="s">
        <v>495</v>
      </c>
      <c r="E167" s="1221" t="s">
        <v>832</v>
      </c>
      <c r="F167" s="408"/>
      <c r="G167" s="1769"/>
      <c r="H167" s="2776">
        <f>H169</f>
        <v>7.04</v>
      </c>
      <c r="I167" s="2773">
        <f>I169</f>
        <v>0</v>
      </c>
      <c r="J167" s="2774">
        <f>J169</f>
        <v>0</v>
      </c>
      <c r="K167" s="2735"/>
      <c r="L167" s="2735"/>
      <c r="M167" s="2735"/>
      <c r="N167" s="2780">
        <f>N169</f>
        <v>7.04</v>
      </c>
      <c r="O167" s="2735"/>
      <c r="P167" s="2735"/>
      <c r="Q167" s="2735"/>
      <c r="R167" s="2735"/>
      <c r="S167" s="2735"/>
      <c r="T167" s="2735"/>
      <c r="U167" s="2776">
        <f>U169</f>
        <v>7.04</v>
      </c>
      <c r="V167" s="1861">
        <v>7.1</v>
      </c>
      <c r="W167" s="1861">
        <v>7.1</v>
      </c>
      <c r="X167" s="1861">
        <v>7.1</v>
      </c>
      <c r="Y167" s="2248" t="s">
        <v>444</v>
      </c>
    </row>
    <row r="168" spans="1:25" ht="26.25" customHeight="1" x14ac:dyDescent="0.25">
      <c r="A168" s="1179"/>
      <c r="B168" s="753" t="s">
        <v>583</v>
      </c>
      <c r="C168" s="1188"/>
      <c r="D168" s="1217" t="s">
        <v>495</v>
      </c>
      <c r="E168" s="1217" t="s">
        <v>832</v>
      </c>
      <c r="F168" s="409" t="s">
        <v>157</v>
      </c>
      <c r="G168" s="1664"/>
      <c r="H168" s="2772">
        <f>H169</f>
        <v>7.04</v>
      </c>
      <c r="I168" s="2773"/>
      <c r="J168" s="2774"/>
      <c r="K168" s="2735"/>
      <c r="L168" s="2735"/>
      <c r="M168" s="2735"/>
      <c r="N168" s="2775">
        <f>N169</f>
        <v>7.04</v>
      </c>
      <c r="O168" s="2735"/>
      <c r="P168" s="2735"/>
      <c r="Q168" s="2735"/>
      <c r="R168" s="2735"/>
      <c r="S168" s="2735"/>
      <c r="T168" s="2735"/>
      <c r="U168" s="2772">
        <f>U169</f>
        <v>7.04</v>
      </c>
    </row>
    <row r="169" spans="1:25" ht="27.75" customHeight="1" x14ac:dyDescent="0.25">
      <c r="A169" s="1179"/>
      <c r="B169" s="1197" t="s">
        <v>156</v>
      </c>
      <c r="C169" s="1183"/>
      <c r="D169" s="1217" t="s">
        <v>495</v>
      </c>
      <c r="E169" s="1217" t="s">
        <v>832</v>
      </c>
      <c r="F169" s="409" t="s">
        <v>155</v>
      </c>
      <c r="G169" s="1662"/>
      <c r="H169" s="2772">
        <f>H170</f>
        <v>7.04</v>
      </c>
      <c r="I169" s="2773"/>
      <c r="J169" s="2774"/>
      <c r="K169" s="2735"/>
      <c r="L169" s="2735"/>
      <c r="M169" s="2735"/>
      <c r="N169" s="2775">
        <f>N170</f>
        <v>7.04</v>
      </c>
      <c r="O169" s="2735"/>
      <c r="P169" s="2735"/>
      <c r="Q169" s="2735"/>
      <c r="R169" s="2735"/>
      <c r="S169" s="2735"/>
      <c r="T169" s="2735"/>
      <c r="U169" s="2772">
        <f>U170</f>
        <v>7.04</v>
      </c>
    </row>
    <row r="170" spans="1:25" x14ac:dyDescent="0.25">
      <c r="A170" s="842"/>
      <c r="B170" s="1219" t="s">
        <v>109</v>
      </c>
      <c r="C170" s="1222"/>
      <c r="D170" s="409" t="s">
        <v>495</v>
      </c>
      <c r="E170" s="409" t="s">
        <v>832</v>
      </c>
      <c r="F170" s="409" t="s">
        <v>154</v>
      </c>
      <c r="G170" s="1662"/>
      <c r="H170" s="2772">
        <f>H171</f>
        <v>7.04</v>
      </c>
      <c r="I170" s="2777">
        <f t="shared" ref="I170:J171" si="38">I171</f>
        <v>0</v>
      </c>
      <c r="J170" s="2778">
        <f t="shared" si="38"/>
        <v>0</v>
      </c>
      <c r="K170" s="2735"/>
      <c r="L170" s="2735"/>
      <c r="M170" s="2735"/>
      <c r="N170" s="2775">
        <f>N171</f>
        <v>7.04</v>
      </c>
      <c r="O170" s="2735"/>
      <c r="P170" s="2735"/>
      <c r="Q170" s="2735"/>
      <c r="R170" s="2735"/>
      <c r="S170" s="2735"/>
      <c r="T170" s="2735"/>
      <c r="U170" s="2772">
        <f>U171</f>
        <v>7.04</v>
      </c>
    </row>
    <row r="171" spans="1:25" ht="31.5" x14ac:dyDescent="0.25">
      <c r="A171" s="1179"/>
      <c r="B171" s="1219" t="s">
        <v>834</v>
      </c>
      <c r="C171" s="1223"/>
      <c r="D171" s="409" t="s">
        <v>495</v>
      </c>
      <c r="E171" s="409" t="s">
        <v>832</v>
      </c>
      <c r="F171" s="409" t="s">
        <v>127</v>
      </c>
      <c r="G171" s="1662"/>
      <c r="H171" s="2772">
        <f>H172+H174</f>
        <v>7.04</v>
      </c>
      <c r="I171" s="2773">
        <f t="shared" si="38"/>
        <v>0</v>
      </c>
      <c r="J171" s="2774">
        <f t="shared" si="38"/>
        <v>0</v>
      </c>
      <c r="K171" s="2745">
        <f>K172+K174</f>
        <v>0</v>
      </c>
      <c r="L171" s="2735"/>
      <c r="M171" s="2735"/>
      <c r="N171" s="2775">
        <f>N172+N174</f>
        <v>7.04</v>
      </c>
      <c r="O171" s="2735"/>
      <c r="P171" s="2735"/>
      <c r="Q171" s="2735"/>
      <c r="R171" s="2735"/>
      <c r="S171" s="2735"/>
      <c r="T171" s="2735"/>
      <c r="U171" s="2772">
        <f>U172+U174</f>
        <v>7.04</v>
      </c>
    </row>
    <row r="172" spans="1:25" hidden="1" x14ac:dyDescent="0.25">
      <c r="A172" s="842"/>
      <c r="B172" s="753" t="s">
        <v>571</v>
      </c>
      <c r="C172" s="1224"/>
      <c r="D172" s="1217" t="s">
        <v>495</v>
      </c>
      <c r="E172" s="1217" t="s">
        <v>832</v>
      </c>
      <c r="F172" s="409" t="s">
        <v>127</v>
      </c>
      <c r="G172" s="1662" t="s">
        <v>5</v>
      </c>
      <c r="H172" s="2772"/>
      <c r="I172" s="2773"/>
      <c r="J172" s="2774"/>
      <c r="K172" s="2735"/>
      <c r="L172" s="2735"/>
      <c r="M172" s="2735"/>
      <c r="N172" s="2775"/>
      <c r="O172" s="2735"/>
      <c r="P172" s="2735"/>
      <c r="Q172" s="2735"/>
      <c r="R172" s="2735"/>
      <c r="S172" s="2735"/>
      <c r="T172" s="2735"/>
      <c r="U172" s="2772"/>
    </row>
    <row r="173" spans="1:25" x14ac:dyDescent="0.25">
      <c r="A173" s="842"/>
      <c r="B173" s="753" t="s">
        <v>948</v>
      </c>
      <c r="C173" s="1224"/>
      <c r="D173" s="1217" t="s">
        <v>495</v>
      </c>
      <c r="E173" s="1217" t="s">
        <v>832</v>
      </c>
      <c r="F173" s="409" t="s">
        <v>127</v>
      </c>
      <c r="G173" s="1662" t="s">
        <v>955</v>
      </c>
      <c r="H173" s="2772">
        <f t="shared" ref="H173:U173" si="39">H174</f>
        <v>7.04</v>
      </c>
      <c r="I173" s="2773">
        <f t="shared" si="39"/>
        <v>0</v>
      </c>
      <c r="J173" s="2774">
        <f t="shared" si="39"/>
        <v>0</v>
      </c>
      <c r="K173" s="2735">
        <f t="shared" si="39"/>
        <v>0</v>
      </c>
      <c r="L173" s="2735">
        <f t="shared" si="39"/>
        <v>0</v>
      </c>
      <c r="M173" s="2735">
        <f t="shared" si="39"/>
        <v>0</v>
      </c>
      <c r="N173" s="2775">
        <f t="shared" si="39"/>
        <v>7.04</v>
      </c>
      <c r="O173" s="2735">
        <f t="shared" si="39"/>
        <v>0</v>
      </c>
      <c r="P173" s="2735">
        <f t="shared" si="39"/>
        <v>0</v>
      </c>
      <c r="Q173" s="2735">
        <f t="shared" si="39"/>
        <v>0</v>
      </c>
      <c r="R173" s="2735">
        <f t="shared" si="39"/>
        <v>0</v>
      </c>
      <c r="S173" s="2735">
        <f t="shared" si="39"/>
        <v>0</v>
      </c>
      <c r="T173" s="2735">
        <f t="shared" si="39"/>
        <v>0</v>
      </c>
      <c r="U173" s="2772">
        <f t="shared" si="39"/>
        <v>7.04</v>
      </c>
    </row>
    <row r="174" spans="1:25" ht="21" x14ac:dyDescent="0.25">
      <c r="A174" s="1179"/>
      <c r="B174" s="1182" t="s">
        <v>454</v>
      </c>
      <c r="C174" s="1183"/>
      <c r="D174" s="1217" t="s">
        <v>495</v>
      </c>
      <c r="E174" s="1217" t="s">
        <v>832</v>
      </c>
      <c r="F174" s="409" t="s">
        <v>127</v>
      </c>
      <c r="G174" s="1662" t="s">
        <v>1</v>
      </c>
      <c r="H174" s="2772">
        <f>7.1-0.06</f>
        <v>7.04</v>
      </c>
      <c r="I174" s="2773"/>
      <c r="J174" s="2774"/>
      <c r="K174" s="2735"/>
      <c r="L174" s="2735"/>
      <c r="M174" s="2735"/>
      <c r="N174" s="2775">
        <f>7.1-0.06</f>
        <v>7.04</v>
      </c>
      <c r="O174" s="2735"/>
      <c r="P174" s="2735"/>
      <c r="Q174" s="2735"/>
      <c r="R174" s="2735"/>
      <c r="S174" s="2735"/>
      <c r="T174" s="2735"/>
      <c r="U174" s="2772">
        <f>7.1-0.06</f>
        <v>7.04</v>
      </c>
      <c r="V174" s="1861">
        <v>7.1</v>
      </c>
      <c r="W174" s="1861">
        <v>7.1</v>
      </c>
      <c r="X174" s="1861">
        <v>7.1</v>
      </c>
    </row>
    <row r="175" spans="1:25" x14ac:dyDescent="0.25">
      <c r="A175" s="1179"/>
      <c r="B175" s="1225" t="s">
        <v>396</v>
      </c>
      <c r="C175" s="1226"/>
      <c r="D175" s="1227" t="s">
        <v>452</v>
      </c>
      <c r="E175" s="1227" t="s">
        <v>459</v>
      </c>
      <c r="F175" s="1227"/>
      <c r="G175" s="1665"/>
      <c r="H175" s="2781">
        <f>H189+H229+H176</f>
        <v>9514.1056299999982</v>
      </c>
      <c r="I175" s="2782">
        <f>I189+I229</f>
        <v>0</v>
      </c>
      <c r="J175" s="2783">
        <f>J189+J229</f>
        <v>0</v>
      </c>
      <c r="K175" s="2735"/>
      <c r="L175" s="2735"/>
      <c r="M175" s="2735"/>
      <c r="N175" s="2784">
        <f>N189+N229+N176</f>
        <v>37130.272880000004</v>
      </c>
      <c r="O175" s="2735"/>
      <c r="P175" s="2735"/>
      <c r="Q175" s="2735"/>
      <c r="R175" s="2735"/>
      <c r="S175" s="2735"/>
      <c r="T175" s="2735"/>
      <c r="U175" s="2781">
        <f>U189+U229+U176</f>
        <v>4779.4400000000005</v>
      </c>
    </row>
    <row r="176" spans="1:25" hidden="1" x14ac:dyDescent="0.25">
      <c r="A176" s="1179"/>
      <c r="B176" s="1225" t="s">
        <v>1161</v>
      </c>
      <c r="C176" s="1226"/>
      <c r="D176" s="408" t="s">
        <v>452</v>
      </c>
      <c r="E176" s="408" t="s">
        <v>463</v>
      </c>
      <c r="F176" s="1227"/>
      <c r="G176" s="1665"/>
      <c r="H176" s="2781">
        <f>H182+H188</f>
        <v>0</v>
      </c>
      <c r="I176" s="2782"/>
      <c r="J176" s="2783"/>
      <c r="K176" s="2735"/>
      <c r="L176" s="2735"/>
      <c r="M176" s="2735"/>
      <c r="N176" s="2784">
        <f>N182+N188</f>
        <v>0</v>
      </c>
      <c r="O176" s="2735"/>
      <c r="P176" s="2735"/>
      <c r="Q176" s="2735"/>
      <c r="R176" s="2735"/>
      <c r="S176" s="2735"/>
      <c r="T176" s="2735"/>
      <c r="U176" s="2781">
        <f>U182+U188</f>
        <v>0</v>
      </c>
    </row>
    <row r="177" spans="1:21" ht="21" hidden="1" x14ac:dyDescent="0.25">
      <c r="A177" s="1179"/>
      <c r="B177" s="1205" t="s">
        <v>1212</v>
      </c>
      <c r="C177" s="1226"/>
      <c r="D177" s="409" t="s">
        <v>452</v>
      </c>
      <c r="E177" s="409" t="s">
        <v>463</v>
      </c>
      <c r="F177" s="409" t="s">
        <v>1162</v>
      </c>
      <c r="G177" s="1665"/>
      <c r="H177" s="2785">
        <f>H182+H188</f>
        <v>0</v>
      </c>
      <c r="I177" s="2782"/>
      <c r="J177" s="2783"/>
      <c r="K177" s="2735"/>
      <c r="L177" s="2735"/>
      <c r="M177" s="2735"/>
      <c r="N177" s="2786">
        <f>N182+N188</f>
        <v>0</v>
      </c>
      <c r="O177" s="2735"/>
      <c r="P177" s="2735"/>
      <c r="Q177" s="2735"/>
      <c r="R177" s="2735"/>
      <c r="S177" s="2735"/>
      <c r="T177" s="2735"/>
      <c r="U177" s="2785">
        <f>U182+U188</f>
        <v>0</v>
      </c>
    </row>
    <row r="178" spans="1:21" ht="21" hidden="1" x14ac:dyDescent="0.25">
      <c r="A178" s="1179"/>
      <c r="B178" s="1247" t="s">
        <v>1166</v>
      </c>
      <c r="C178" s="1226"/>
      <c r="D178" s="409" t="s">
        <v>452</v>
      </c>
      <c r="E178" s="409" t="s">
        <v>463</v>
      </c>
      <c r="F178" s="409" t="s">
        <v>1163</v>
      </c>
      <c r="G178" s="1665"/>
      <c r="H178" s="2785">
        <f>H179</f>
        <v>0</v>
      </c>
      <c r="I178" s="2782"/>
      <c r="J178" s="2783"/>
      <c r="K178" s="2735"/>
      <c r="L178" s="2735"/>
      <c r="M178" s="2735"/>
      <c r="N178" s="2786">
        <f>N179</f>
        <v>0</v>
      </c>
      <c r="O178" s="2735"/>
      <c r="P178" s="2735"/>
      <c r="Q178" s="2735"/>
      <c r="R178" s="2735"/>
      <c r="S178" s="2735"/>
      <c r="T178" s="2735"/>
      <c r="U178" s="2785">
        <f>U179</f>
        <v>0</v>
      </c>
    </row>
    <row r="179" spans="1:21" ht="21" hidden="1" x14ac:dyDescent="0.25">
      <c r="A179" s="1179"/>
      <c r="B179" s="1247" t="s">
        <v>1167</v>
      </c>
      <c r="C179" s="1226"/>
      <c r="D179" s="409" t="s">
        <v>452</v>
      </c>
      <c r="E179" s="409" t="s">
        <v>463</v>
      </c>
      <c r="F179" s="409" t="s">
        <v>1164</v>
      </c>
      <c r="G179" s="1665"/>
      <c r="H179" s="2785">
        <f>H180</f>
        <v>0</v>
      </c>
      <c r="I179" s="2782"/>
      <c r="J179" s="2783"/>
      <c r="K179" s="2735"/>
      <c r="L179" s="2735"/>
      <c r="M179" s="2735"/>
      <c r="N179" s="2786">
        <f>N180</f>
        <v>0</v>
      </c>
      <c r="O179" s="2735"/>
      <c r="P179" s="2735"/>
      <c r="Q179" s="2735"/>
      <c r="R179" s="2735"/>
      <c r="S179" s="2735"/>
      <c r="T179" s="2735"/>
      <c r="U179" s="2785">
        <f>U180</f>
        <v>0</v>
      </c>
    </row>
    <row r="180" spans="1:21" hidden="1" x14ac:dyDescent="0.25">
      <c r="A180" s="1179"/>
      <c r="B180" s="1247" t="s">
        <v>1168</v>
      </c>
      <c r="C180" s="1226"/>
      <c r="D180" s="409" t="s">
        <v>452</v>
      </c>
      <c r="E180" s="409" t="s">
        <v>463</v>
      </c>
      <c r="F180" s="409" t="s">
        <v>1165</v>
      </c>
      <c r="G180" s="1665"/>
      <c r="H180" s="2785">
        <f>H181</f>
        <v>0</v>
      </c>
      <c r="I180" s="2782"/>
      <c r="J180" s="2783"/>
      <c r="K180" s="2735"/>
      <c r="L180" s="2735"/>
      <c r="M180" s="2735"/>
      <c r="N180" s="2786">
        <f>N181</f>
        <v>0</v>
      </c>
      <c r="O180" s="2735"/>
      <c r="P180" s="2735"/>
      <c r="Q180" s="2735"/>
      <c r="R180" s="2735"/>
      <c r="S180" s="2735"/>
      <c r="T180" s="2735"/>
      <c r="U180" s="2785">
        <f>U181</f>
        <v>0</v>
      </c>
    </row>
    <row r="181" spans="1:21" hidden="1" x14ac:dyDescent="0.25">
      <c r="A181" s="1179"/>
      <c r="B181" s="753" t="s">
        <v>948</v>
      </c>
      <c r="C181" s="1226"/>
      <c r="D181" s="409" t="s">
        <v>452</v>
      </c>
      <c r="E181" s="409" t="s">
        <v>463</v>
      </c>
      <c r="F181" s="409" t="s">
        <v>1165</v>
      </c>
      <c r="G181" s="1662" t="s">
        <v>955</v>
      </c>
      <c r="H181" s="2785">
        <f>H182</f>
        <v>0</v>
      </c>
      <c r="I181" s="2782"/>
      <c r="J181" s="2783"/>
      <c r="K181" s="2735"/>
      <c r="L181" s="2735"/>
      <c r="M181" s="2735"/>
      <c r="N181" s="2786">
        <f>N182</f>
        <v>0</v>
      </c>
      <c r="O181" s="2735"/>
      <c r="P181" s="2735"/>
      <c r="Q181" s="2735"/>
      <c r="R181" s="2735"/>
      <c r="S181" s="2735"/>
      <c r="T181" s="2735"/>
      <c r="U181" s="2785">
        <f>U182</f>
        <v>0</v>
      </c>
    </row>
    <row r="182" spans="1:21" ht="21" hidden="1" x14ac:dyDescent="0.25">
      <c r="A182" s="1179"/>
      <c r="B182" s="1182" t="s">
        <v>454</v>
      </c>
      <c r="C182" s="1226"/>
      <c r="D182" s="409" t="s">
        <v>452</v>
      </c>
      <c r="E182" s="409" t="s">
        <v>463</v>
      </c>
      <c r="F182" s="409" t="s">
        <v>1165</v>
      </c>
      <c r="G182" s="1662" t="s">
        <v>1</v>
      </c>
      <c r="H182" s="2785"/>
      <c r="I182" s="2782"/>
      <c r="J182" s="2783"/>
      <c r="K182" s="2735"/>
      <c r="L182" s="2735"/>
      <c r="M182" s="2735"/>
      <c r="N182" s="2786">
        <v>0</v>
      </c>
      <c r="O182" s="2735"/>
      <c r="P182" s="2735"/>
      <c r="Q182" s="2735"/>
      <c r="R182" s="2735"/>
      <c r="S182" s="2735"/>
      <c r="T182" s="2735"/>
      <c r="U182" s="2785">
        <v>0</v>
      </c>
    </row>
    <row r="183" spans="1:21" ht="21" hidden="1" customHeight="1" x14ac:dyDescent="0.25">
      <c r="A183" s="1179"/>
      <c r="B183" s="753" t="s">
        <v>499</v>
      </c>
      <c r="C183" s="1226"/>
      <c r="D183" s="409" t="s">
        <v>452</v>
      </c>
      <c r="E183" s="409" t="s">
        <v>463</v>
      </c>
      <c r="F183" s="409" t="s">
        <v>89</v>
      </c>
      <c r="G183" s="1662"/>
      <c r="H183" s="2785">
        <f>H184</f>
        <v>0</v>
      </c>
      <c r="I183" s="2782"/>
      <c r="J183" s="2783"/>
      <c r="K183" s="2735"/>
      <c r="L183" s="2735"/>
      <c r="M183" s="2735"/>
      <c r="N183" s="2786">
        <f>N184</f>
        <v>0</v>
      </c>
      <c r="O183" s="2735"/>
      <c r="P183" s="2735"/>
      <c r="Q183" s="2735"/>
      <c r="R183" s="2735"/>
      <c r="S183" s="2735"/>
      <c r="T183" s="2735"/>
      <c r="U183" s="2785">
        <f>U184</f>
        <v>0</v>
      </c>
    </row>
    <row r="184" spans="1:21" ht="21" hidden="1" customHeight="1" x14ac:dyDescent="0.25">
      <c r="A184" s="1179"/>
      <c r="B184" s="753" t="s">
        <v>109</v>
      </c>
      <c r="C184" s="1226"/>
      <c r="D184" s="409" t="s">
        <v>452</v>
      </c>
      <c r="E184" s="409" t="s">
        <v>463</v>
      </c>
      <c r="F184" s="409" t="s">
        <v>84</v>
      </c>
      <c r="G184" s="1662"/>
      <c r="H184" s="2785">
        <f>H185</f>
        <v>0</v>
      </c>
      <c r="I184" s="2787"/>
      <c r="J184" s="2788"/>
      <c r="K184" s="2735"/>
      <c r="L184" s="2735"/>
      <c r="M184" s="2735"/>
      <c r="N184" s="2786">
        <f>N185</f>
        <v>0</v>
      </c>
      <c r="O184" s="2735"/>
      <c r="P184" s="2735"/>
      <c r="Q184" s="2735"/>
      <c r="R184" s="2735"/>
      <c r="S184" s="2735"/>
      <c r="T184" s="2735"/>
      <c r="U184" s="2785">
        <f>U185</f>
        <v>0</v>
      </c>
    </row>
    <row r="185" spans="1:21" ht="21" hidden="1" customHeight="1" x14ac:dyDescent="0.25">
      <c r="A185" s="1179"/>
      <c r="B185" s="753" t="s">
        <v>109</v>
      </c>
      <c r="C185" s="1226"/>
      <c r="D185" s="409" t="s">
        <v>452</v>
      </c>
      <c r="E185" s="409" t="s">
        <v>463</v>
      </c>
      <c r="F185" s="409" t="s">
        <v>82</v>
      </c>
      <c r="G185" s="1662"/>
      <c r="H185" s="2785">
        <f>H187</f>
        <v>0</v>
      </c>
      <c r="I185" s="2787"/>
      <c r="J185" s="2788"/>
      <c r="K185" s="2735"/>
      <c r="L185" s="2735"/>
      <c r="M185" s="2735"/>
      <c r="N185" s="2786">
        <f>N187</f>
        <v>0</v>
      </c>
      <c r="O185" s="2735"/>
      <c r="P185" s="2735"/>
      <c r="Q185" s="2735"/>
      <c r="R185" s="2735"/>
      <c r="S185" s="2735"/>
      <c r="T185" s="2735"/>
      <c r="U185" s="2785">
        <f>U187</f>
        <v>0</v>
      </c>
    </row>
    <row r="186" spans="1:21" ht="21" hidden="1" customHeight="1" x14ac:dyDescent="0.25">
      <c r="A186" s="1179"/>
      <c r="B186" s="753" t="s">
        <v>1168</v>
      </c>
      <c r="C186" s="1226"/>
      <c r="D186" s="409" t="s">
        <v>452</v>
      </c>
      <c r="E186" s="409" t="s">
        <v>463</v>
      </c>
      <c r="F186" s="409" t="s">
        <v>1232</v>
      </c>
      <c r="G186" s="1662"/>
      <c r="H186" s="2785">
        <f>H187</f>
        <v>0</v>
      </c>
      <c r="I186" s="2787"/>
      <c r="J186" s="2788"/>
      <c r="K186" s="2735"/>
      <c r="L186" s="2735"/>
      <c r="M186" s="2735"/>
      <c r="N186" s="2786">
        <f>N187</f>
        <v>0</v>
      </c>
      <c r="O186" s="2735"/>
      <c r="P186" s="2735"/>
      <c r="Q186" s="2735"/>
      <c r="R186" s="2735"/>
      <c r="S186" s="2735"/>
      <c r="T186" s="2735"/>
      <c r="U186" s="2785">
        <f>U187</f>
        <v>0</v>
      </c>
    </row>
    <row r="187" spans="1:21" ht="12.65" hidden="1" customHeight="1" x14ac:dyDescent="0.25">
      <c r="A187" s="1179"/>
      <c r="B187" s="753" t="s">
        <v>948</v>
      </c>
      <c r="C187" s="1226"/>
      <c r="D187" s="409" t="s">
        <v>452</v>
      </c>
      <c r="E187" s="409" t="s">
        <v>463</v>
      </c>
      <c r="F187" s="409" t="s">
        <v>1232</v>
      </c>
      <c r="G187" s="1662" t="s">
        <v>955</v>
      </c>
      <c r="H187" s="2785">
        <f>H188</f>
        <v>0</v>
      </c>
      <c r="I187" s="2787"/>
      <c r="J187" s="2788"/>
      <c r="K187" s="2735"/>
      <c r="L187" s="2735"/>
      <c r="M187" s="2735"/>
      <c r="N187" s="2786">
        <f>N188</f>
        <v>0</v>
      </c>
      <c r="O187" s="2735"/>
      <c r="P187" s="2735"/>
      <c r="Q187" s="2735"/>
      <c r="R187" s="2735"/>
      <c r="S187" s="2735"/>
      <c r="T187" s="2735"/>
      <c r="U187" s="2785">
        <f>U188</f>
        <v>0</v>
      </c>
    </row>
    <row r="188" spans="1:21" ht="19" hidden="1" customHeight="1" x14ac:dyDescent="0.25">
      <c r="A188" s="1179"/>
      <c r="B188" s="1182" t="s">
        <v>454</v>
      </c>
      <c r="C188" s="1226"/>
      <c r="D188" s="409" t="s">
        <v>452</v>
      </c>
      <c r="E188" s="409" t="s">
        <v>463</v>
      </c>
      <c r="F188" s="409" t="s">
        <v>1232</v>
      </c>
      <c r="G188" s="1662" t="s">
        <v>1</v>
      </c>
      <c r="H188" s="2785"/>
      <c r="I188" s="2787"/>
      <c r="J188" s="2788"/>
      <c r="K188" s="2735"/>
      <c r="L188" s="2735"/>
      <c r="M188" s="2735"/>
      <c r="N188" s="2786">
        <v>0</v>
      </c>
      <c r="O188" s="2735"/>
      <c r="P188" s="2735"/>
      <c r="Q188" s="2735"/>
      <c r="R188" s="2735"/>
      <c r="S188" s="2735"/>
      <c r="T188" s="2735"/>
      <c r="U188" s="2785">
        <v>0</v>
      </c>
    </row>
    <row r="189" spans="1:21" x14ac:dyDescent="0.25">
      <c r="A189" s="1229"/>
      <c r="B189" s="1225" t="s">
        <v>60</v>
      </c>
      <c r="C189" s="1227"/>
      <c r="D189" s="1227" t="s">
        <v>452</v>
      </c>
      <c r="E189" s="1227" t="s">
        <v>539</v>
      </c>
      <c r="F189" s="1227"/>
      <c r="G189" s="1665"/>
      <c r="H189" s="2781">
        <f>H195+H198+H208+H211+H228+H204+H201</f>
        <v>6521.2556699999996</v>
      </c>
      <c r="I189" s="2782">
        <f>I190</f>
        <v>0</v>
      </c>
      <c r="J189" s="2783">
        <f>J190</f>
        <v>0</v>
      </c>
      <c r="K189" s="2735"/>
      <c r="L189" s="2735"/>
      <c r="M189" s="2735"/>
      <c r="N189" s="2784">
        <f>N195+N198+N208+N211+N228+N204+N201</f>
        <v>35761.637650000004</v>
      </c>
      <c r="O189" s="2735"/>
      <c r="P189" s="2735"/>
      <c r="Q189" s="2735"/>
      <c r="R189" s="2735"/>
      <c r="S189" s="2735"/>
      <c r="T189" s="2735"/>
      <c r="U189" s="2781">
        <f>U195+U198+U208+U211+U228+U204+U201</f>
        <v>1941.52</v>
      </c>
    </row>
    <row r="190" spans="1:21" ht="30" customHeight="1" x14ac:dyDescent="0.25">
      <c r="A190" s="1179"/>
      <c r="B190" s="1205" t="s">
        <v>1137</v>
      </c>
      <c r="C190" s="409"/>
      <c r="D190" s="409" t="s">
        <v>452</v>
      </c>
      <c r="E190" s="409" t="s">
        <v>539</v>
      </c>
      <c r="F190" s="409" t="s">
        <v>218</v>
      </c>
      <c r="G190" s="1662"/>
      <c r="H190" s="2772">
        <f>H191+H205</f>
        <v>6521.2556699999996</v>
      </c>
      <c r="I190" s="2773">
        <f>I191+I205</f>
        <v>0</v>
      </c>
      <c r="J190" s="2789">
        <f>J191+J205</f>
        <v>0</v>
      </c>
      <c r="K190" s="2735"/>
      <c r="L190" s="2735"/>
      <c r="M190" s="2735"/>
      <c r="N190" s="2775">
        <f>N191+N205</f>
        <v>35761.637650000004</v>
      </c>
      <c r="O190" s="2735"/>
      <c r="P190" s="2735"/>
      <c r="Q190" s="2735"/>
      <c r="R190" s="2735"/>
      <c r="S190" s="2735"/>
      <c r="T190" s="2735"/>
      <c r="U190" s="2772">
        <f>U191+U205</f>
        <v>1941.52</v>
      </c>
    </row>
    <row r="191" spans="1:21" ht="21" x14ac:dyDescent="0.25">
      <c r="A191" s="1179"/>
      <c r="B191" s="1205" t="s">
        <v>217</v>
      </c>
      <c r="C191" s="1217"/>
      <c r="D191" s="1217" t="s">
        <v>452</v>
      </c>
      <c r="E191" s="1217" t="s">
        <v>539</v>
      </c>
      <c r="F191" s="409" t="s">
        <v>216</v>
      </c>
      <c r="G191" s="1664"/>
      <c r="H191" s="2772">
        <f>H192</f>
        <v>5601.0556699999997</v>
      </c>
      <c r="I191" s="2773">
        <f>I192</f>
        <v>0</v>
      </c>
      <c r="J191" s="2789">
        <f>J192</f>
        <v>0</v>
      </c>
      <c r="K191" s="2745">
        <f>K195+K198+K208+K211+K228</f>
        <v>388.9</v>
      </c>
      <c r="L191" s="2735"/>
      <c r="M191" s="2735"/>
      <c r="N191" s="2775">
        <f>N192</f>
        <v>35761.637650000004</v>
      </c>
      <c r="O191" s="2735"/>
      <c r="P191" s="2735"/>
      <c r="Q191" s="2735"/>
      <c r="R191" s="2735"/>
      <c r="S191" s="2735"/>
      <c r="T191" s="2735"/>
      <c r="U191" s="2772">
        <f>U192</f>
        <v>948.3</v>
      </c>
    </row>
    <row r="192" spans="1:21" ht="52.5" x14ac:dyDescent="0.25">
      <c r="A192" s="1179"/>
      <c r="B192" s="1197" t="s">
        <v>986</v>
      </c>
      <c r="C192" s="1217"/>
      <c r="D192" s="1217" t="s">
        <v>452</v>
      </c>
      <c r="E192" s="1217" t="s">
        <v>539</v>
      </c>
      <c r="F192" s="1217" t="s">
        <v>214</v>
      </c>
      <c r="G192" s="1664"/>
      <c r="H192" s="2772">
        <f>H193+H196+H204</f>
        <v>5601.0556699999997</v>
      </c>
      <c r="I192" s="2773">
        <f>I193+I196+I204</f>
        <v>0</v>
      </c>
      <c r="J192" s="2789">
        <f>J193+J196+J204</f>
        <v>0</v>
      </c>
      <c r="K192" s="2735"/>
      <c r="L192" s="2735"/>
      <c r="M192" s="2735"/>
      <c r="N192" s="2775">
        <f>N193+N196+N204+N201</f>
        <v>35761.637650000004</v>
      </c>
      <c r="O192" s="2735"/>
      <c r="P192" s="2735"/>
      <c r="Q192" s="2735"/>
      <c r="R192" s="2735"/>
      <c r="S192" s="2735"/>
      <c r="T192" s="2735"/>
      <c r="U192" s="2772">
        <f>U193+U196+U204</f>
        <v>948.3</v>
      </c>
    </row>
    <row r="193" spans="1:28" hidden="1" x14ac:dyDescent="0.25">
      <c r="A193" s="1179"/>
      <c r="B193" s="1197" t="s">
        <v>619</v>
      </c>
      <c r="C193" s="1217"/>
      <c r="D193" s="1217" t="s">
        <v>452</v>
      </c>
      <c r="E193" s="1217" t="s">
        <v>539</v>
      </c>
      <c r="F193" s="1217" t="s">
        <v>213</v>
      </c>
      <c r="G193" s="1662"/>
      <c r="H193" s="2772">
        <f>H195</f>
        <v>0</v>
      </c>
      <c r="I193" s="2773">
        <f>I195</f>
        <v>0</v>
      </c>
      <c r="J193" s="2789">
        <f>J195</f>
        <v>0</v>
      </c>
      <c r="K193" s="2735"/>
      <c r="L193" s="2735"/>
      <c r="M193" s="2735"/>
      <c r="N193" s="2775">
        <f>N195</f>
        <v>0</v>
      </c>
      <c r="O193" s="2735"/>
      <c r="P193" s="2735"/>
      <c r="Q193" s="2735"/>
      <c r="R193" s="2735"/>
      <c r="S193" s="2735"/>
      <c r="T193" s="2735"/>
      <c r="U193" s="2772">
        <f>U195</f>
        <v>0</v>
      </c>
    </row>
    <row r="194" spans="1:28" hidden="1" x14ac:dyDescent="0.25">
      <c r="A194" s="1179"/>
      <c r="B194" s="753" t="s">
        <v>948</v>
      </c>
      <c r="C194" s="1217"/>
      <c r="D194" s="1217" t="s">
        <v>452</v>
      </c>
      <c r="E194" s="1217" t="s">
        <v>539</v>
      </c>
      <c r="F194" s="1217" t="s">
        <v>213</v>
      </c>
      <c r="G194" s="1662" t="s">
        <v>955</v>
      </c>
      <c r="H194" s="2772">
        <f t="shared" ref="H194:U194" si="40">H195</f>
        <v>0</v>
      </c>
      <c r="I194" s="2773">
        <f t="shared" si="40"/>
        <v>0</v>
      </c>
      <c r="J194" s="2790">
        <f t="shared" si="40"/>
        <v>0</v>
      </c>
      <c r="K194" s="2735">
        <f t="shared" si="40"/>
        <v>0</v>
      </c>
      <c r="L194" s="2735">
        <f t="shared" si="40"/>
        <v>0</v>
      </c>
      <c r="M194" s="2735">
        <f t="shared" si="40"/>
        <v>0</v>
      </c>
      <c r="N194" s="2775">
        <f t="shared" si="40"/>
        <v>0</v>
      </c>
      <c r="O194" s="2735">
        <f t="shared" si="40"/>
        <v>0</v>
      </c>
      <c r="P194" s="2735">
        <f t="shared" si="40"/>
        <v>0</v>
      </c>
      <c r="Q194" s="2735">
        <f t="shared" si="40"/>
        <v>0</v>
      </c>
      <c r="R194" s="2735">
        <f t="shared" si="40"/>
        <v>0</v>
      </c>
      <c r="S194" s="2735">
        <f t="shared" si="40"/>
        <v>0</v>
      </c>
      <c r="T194" s="2735">
        <f t="shared" si="40"/>
        <v>0</v>
      </c>
      <c r="U194" s="2772">
        <f t="shared" si="40"/>
        <v>0</v>
      </c>
    </row>
    <row r="195" spans="1:28" ht="21" hidden="1" x14ac:dyDescent="0.25">
      <c r="A195" s="1179"/>
      <c r="B195" s="1182" t="s">
        <v>454</v>
      </c>
      <c r="C195" s="1217"/>
      <c r="D195" s="1217" t="s">
        <v>452</v>
      </c>
      <c r="E195" s="1217" t="s">
        <v>539</v>
      </c>
      <c r="F195" s="1217" t="s">
        <v>213</v>
      </c>
      <c r="G195" s="1662" t="s">
        <v>1</v>
      </c>
      <c r="H195" s="2772">
        <v>0</v>
      </c>
      <c r="I195" s="2773"/>
      <c r="J195" s="2774"/>
      <c r="K195" s="2735"/>
      <c r="L195" s="2735"/>
      <c r="M195" s="2735"/>
      <c r="N195" s="2775">
        <v>0</v>
      </c>
      <c r="O195" s="2735"/>
      <c r="P195" s="2735"/>
      <c r="Q195" s="2735"/>
      <c r="R195" s="2735"/>
      <c r="S195" s="2735"/>
      <c r="T195" s="2735"/>
      <c r="U195" s="2772">
        <v>0</v>
      </c>
      <c r="V195" s="237">
        <f>H189-V198-V208-V211</f>
        <v>3636.2416699999994</v>
      </c>
      <c r="W195" s="237"/>
      <c r="X195" s="237"/>
    </row>
    <row r="196" spans="1:28" ht="21" x14ac:dyDescent="0.25">
      <c r="A196" s="1179"/>
      <c r="B196" s="1197" t="s">
        <v>212</v>
      </c>
      <c r="C196" s="1217"/>
      <c r="D196" s="1217" t="s">
        <v>452</v>
      </c>
      <c r="E196" s="1217" t="s">
        <v>539</v>
      </c>
      <c r="F196" s="1217" t="s">
        <v>984</v>
      </c>
      <c r="G196" s="1662"/>
      <c r="H196" s="2772">
        <f>H198</f>
        <v>725</v>
      </c>
      <c r="I196" s="2773">
        <f>I198</f>
        <v>0</v>
      </c>
      <c r="J196" s="2774">
        <f>J198</f>
        <v>0</v>
      </c>
      <c r="K196" s="2735"/>
      <c r="L196" s="2735"/>
      <c r="M196" s="2735"/>
      <c r="N196" s="2775">
        <f>N198</f>
        <v>0</v>
      </c>
      <c r="O196" s="2735"/>
      <c r="P196" s="2735"/>
      <c r="Q196" s="2735"/>
      <c r="R196" s="2735"/>
      <c r="S196" s="2735"/>
      <c r="T196" s="2735"/>
      <c r="U196" s="2772">
        <f>U198</f>
        <v>0</v>
      </c>
    </row>
    <row r="197" spans="1:28" x14ac:dyDescent="0.25">
      <c r="A197" s="1179"/>
      <c r="B197" s="753" t="s">
        <v>948</v>
      </c>
      <c r="C197" s="1217"/>
      <c r="D197" s="1217" t="s">
        <v>452</v>
      </c>
      <c r="E197" s="1217" t="s">
        <v>539</v>
      </c>
      <c r="F197" s="1217" t="s">
        <v>984</v>
      </c>
      <c r="G197" s="1662" t="s">
        <v>955</v>
      </c>
      <c r="H197" s="2772">
        <f t="shared" ref="H197:U197" si="41">H198</f>
        <v>725</v>
      </c>
      <c r="I197" s="2773">
        <f t="shared" si="41"/>
        <v>0</v>
      </c>
      <c r="J197" s="2774">
        <f t="shared" si="41"/>
        <v>0</v>
      </c>
      <c r="K197" s="2735">
        <f t="shared" si="41"/>
        <v>0</v>
      </c>
      <c r="L197" s="2735">
        <f t="shared" si="41"/>
        <v>0</v>
      </c>
      <c r="M197" s="2735">
        <f t="shared" si="41"/>
        <v>0</v>
      </c>
      <c r="N197" s="2775">
        <f t="shared" si="41"/>
        <v>0</v>
      </c>
      <c r="O197" s="2735">
        <f t="shared" si="41"/>
        <v>0</v>
      </c>
      <c r="P197" s="2735">
        <f t="shared" si="41"/>
        <v>0</v>
      </c>
      <c r="Q197" s="2735">
        <f t="shared" si="41"/>
        <v>0</v>
      </c>
      <c r="R197" s="2735">
        <f t="shared" si="41"/>
        <v>0</v>
      </c>
      <c r="S197" s="2735">
        <f t="shared" si="41"/>
        <v>0</v>
      </c>
      <c r="T197" s="2735">
        <f t="shared" si="41"/>
        <v>0</v>
      </c>
      <c r="U197" s="2772">
        <f t="shared" si="41"/>
        <v>0</v>
      </c>
    </row>
    <row r="198" spans="1:28" ht="21" x14ac:dyDescent="0.25">
      <c r="A198" s="1179"/>
      <c r="B198" s="1182" t="s">
        <v>454</v>
      </c>
      <c r="C198" s="1217"/>
      <c r="D198" s="1217" t="s">
        <v>452</v>
      </c>
      <c r="E198" s="1217" t="s">
        <v>539</v>
      </c>
      <c r="F198" s="1217" t="s">
        <v>984</v>
      </c>
      <c r="G198" s="1662" t="s">
        <v>1</v>
      </c>
      <c r="H198" s="2772">
        <v>725</v>
      </c>
      <c r="I198" s="2773"/>
      <c r="J198" s="2774"/>
      <c r="K198" s="2735"/>
      <c r="L198" s="2735"/>
      <c r="M198" s="2735"/>
      <c r="N198" s="2775">
        <v>0</v>
      </c>
      <c r="O198" s="2735"/>
      <c r="P198" s="2735"/>
      <c r="Q198" s="2735"/>
      <c r="R198" s="2735"/>
      <c r="S198" s="2735"/>
      <c r="T198" s="2735"/>
      <c r="U198" s="2772">
        <v>0</v>
      </c>
      <c r="V198" s="1">
        <v>1695.0139999999999</v>
      </c>
      <c r="W198" s="1">
        <v>1726.1220000000001</v>
      </c>
      <c r="X198" s="1">
        <v>1726.1220000000001</v>
      </c>
      <c r="AA198" s="1">
        <v>-5.7</v>
      </c>
      <c r="AB198" s="1">
        <v>383.2</v>
      </c>
    </row>
    <row r="199" spans="1:28" ht="40.5" customHeight="1" x14ac:dyDescent="0.25">
      <c r="A199" s="1179"/>
      <c r="B199" s="1198" t="s">
        <v>1230</v>
      </c>
      <c r="C199" s="1217"/>
      <c r="D199" s="1217" t="s">
        <v>452</v>
      </c>
      <c r="E199" s="1217" t="s">
        <v>539</v>
      </c>
      <c r="F199" s="1217" t="s">
        <v>1229</v>
      </c>
      <c r="G199" s="1662"/>
      <c r="H199" s="2772">
        <f>H200</f>
        <v>0</v>
      </c>
      <c r="I199" s="2773"/>
      <c r="J199" s="2774"/>
      <c r="K199" s="2735"/>
      <c r="L199" s="2735"/>
      <c r="M199" s="2735"/>
      <c r="N199" s="2775">
        <f>N200</f>
        <v>34813.337650000001</v>
      </c>
      <c r="O199" s="2735"/>
      <c r="P199" s="2735"/>
      <c r="Q199" s="2735"/>
      <c r="R199" s="2735"/>
      <c r="S199" s="2735"/>
      <c r="T199" s="2735"/>
      <c r="U199" s="2772">
        <f>U200</f>
        <v>0</v>
      </c>
    </row>
    <row r="200" spans="1:28" ht="20.149999999999999" customHeight="1" x14ac:dyDescent="0.25">
      <c r="A200" s="1179"/>
      <c r="B200" s="1198" t="s">
        <v>948</v>
      </c>
      <c r="C200" s="1217"/>
      <c r="D200" s="1217" t="s">
        <v>452</v>
      </c>
      <c r="E200" s="1217" t="s">
        <v>539</v>
      </c>
      <c r="F200" s="1217" t="s">
        <v>1229</v>
      </c>
      <c r="G200" s="1662" t="s">
        <v>955</v>
      </c>
      <c r="H200" s="2772">
        <f>H201</f>
        <v>0</v>
      </c>
      <c r="I200" s="2773"/>
      <c r="J200" s="2774"/>
      <c r="K200" s="2735"/>
      <c r="L200" s="2735"/>
      <c r="M200" s="2735"/>
      <c r="N200" s="2775">
        <f>N201</f>
        <v>34813.337650000001</v>
      </c>
      <c r="O200" s="2735"/>
      <c r="P200" s="2735"/>
      <c r="Q200" s="2735"/>
      <c r="R200" s="2735"/>
      <c r="S200" s="2735"/>
      <c r="T200" s="2735"/>
      <c r="U200" s="2772">
        <f>U201</f>
        <v>0</v>
      </c>
    </row>
    <row r="201" spans="1:28" ht="21" x14ac:dyDescent="0.25">
      <c r="A201" s="1179"/>
      <c r="B201" s="1198" t="s">
        <v>454</v>
      </c>
      <c r="C201" s="1217"/>
      <c r="D201" s="1217" t="s">
        <v>452</v>
      </c>
      <c r="E201" s="1217" t="s">
        <v>539</v>
      </c>
      <c r="F201" s="1217" t="s">
        <v>1229</v>
      </c>
      <c r="G201" s="1662" t="s">
        <v>1</v>
      </c>
      <c r="H201" s="2772">
        <v>0</v>
      </c>
      <c r="I201" s="2773"/>
      <c r="J201" s="2774"/>
      <c r="K201" s="2735"/>
      <c r="L201" s="2735"/>
      <c r="M201" s="2735"/>
      <c r="N201" s="2775">
        <v>34813.337650000001</v>
      </c>
      <c r="O201" s="2735"/>
      <c r="P201" s="2735"/>
      <c r="Q201" s="2735"/>
      <c r="R201" s="2735"/>
      <c r="S201" s="2735"/>
      <c r="T201" s="2735"/>
      <c r="U201" s="2772">
        <v>0</v>
      </c>
    </row>
    <row r="202" spans="1:28" ht="13" x14ac:dyDescent="0.25">
      <c r="A202" s="1179"/>
      <c r="B202" s="1098" t="s">
        <v>201</v>
      </c>
      <c r="C202" s="1217"/>
      <c r="D202" s="1217" t="s">
        <v>452</v>
      </c>
      <c r="E202" s="1217" t="s">
        <v>539</v>
      </c>
      <c r="F202" s="1217" t="s">
        <v>213</v>
      </c>
      <c r="G202" s="1662"/>
      <c r="H202" s="2772">
        <f>H203</f>
        <v>4876.0556699999997</v>
      </c>
      <c r="I202" s="2773">
        <f>I204</f>
        <v>0</v>
      </c>
      <c r="J202" s="2774">
        <f>J204</f>
        <v>0</v>
      </c>
      <c r="K202" s="2735"/>
      <c r="L202" s="2735"/>
      <c r="M202" s="2735"/>
      <c r="N202" s="2775">
        <f>N203</f>
        <v>948.3</v>
      </c>
      <c r="O202" s="2735"/>
      <c r="P202" s="2735"/>
      <c r="Q202" s="2735"/>
      <c r="R202" s="2735"/>
      <c r="S202" s="2735"/>
      <c r="T202" s="2735"/>
      <c r="U202" s="2772">
        <f>U204</f>
        <v>948.3</v>
      </c>
    </row>
    <row r="203" spans="1:28" x14ac:dyDescent="0.25">
      <c r="A203" s="1179"/>
      <c r="B203" s="753" t="s">
        <v>948</v>
      </c>
      <c r="C203" s="1217"/>
      <c r="D203" s="1217" t="s">
        <v>452</v>
      </c>
      <c r="E203" s="1217" t="s">
        <v>539</v>
      </c>
      <c r="F203" s="1217" t="s">
        <v>213</v>
      </c>
      <c r="G203" s="1662" t="s">
        <v>955</v>
      </c>
      <c r="H203" s="2772">
        <f>H204</f>
        <v>4876.0556699999997</v>
      </c>
      <c r="I203" s="2773"/>
      <c r="J203" s="2774"/>
      <c r="K203" s="2735"/>
      <c r="L203" s="2735"/>
      <c r="M203" s="2735"/>
      <c r="N203" s="2775">
        <f>N204</f>
        <v>948.3</v>
      </c>
      <c r="O203" s="2735"/>
      <c r="P203" s="2735"/>
      <c r="Q203" s="2735"/>
      <c r="R203" s="2735"/>
      <c r="S203" s="2735"/>
      <c r="T203" s="2735"/>
      <c r="U203" s="2772">
        <f>U204</f>
        <v>948.3</v>
      </c>
    </row>
    <row r="204" spans="1:28" ht="21" x14ac:dyDescent="0.25">
      <c r="A204" s="1179"/>
      <c r="B204" s="1182" t="s">
        <v>454</v>
      </c>
      <c r="C204" s="1217"/>
      <c r="D204" s="1217" t="s">
        <v>452</v>
      </c>
      <c r="E204" s="1217" t="s">
        <v>539</v>
      </c>
      <c r="F204" s="1217" t="s">
        <v>213</v>
      </c>
      <c r="G204" s="1662" t="s">
        <v>1</v>
      </c>
      <c r="H204" s="2772">
        <f>875.8+0.25567+4000</f>
        <v>4876.0556699999997</v>
      </c>
      <c r="I204" s="2773"/>
      <c r="J204" s="2774"/>
      <c r="K204" s="2735"/>
      <c r="L204" s="2735"/>
      <c r="M204" s="2735"/>
      <c r="N204" s="2775">
        <v>948.3</v>
      </c>
      <c r="O204" s="2735"/>
      <c r="P204" s="2735"/>
      <c r="Q204" s="2735"/>
      <c r="R204" s="2735"/>
      <c r="S204" s="2735"/>
      <c r="T204" s="2735"/>
      <c r="U204" s="2772">
        <v>948.3</v>
      </c>
      <c r="AA204" s="1">
        <v>5.7</v>
      </c>
      <c r="AB204" s="1">
        <v>383.2</v>
      </c>
    </row>
    <row r="205" spans="1:28" ht="31.5" x14ac:dyDescent="0.25">
      <c r="A205" s="1179"/>
      <c r="B205" s="1205" t="s">
        <v>837</v>
      </c>
      <c r="C205" s="1217"/>
      <c r="D205" s="1217" t="s">
        <v>452</v>
      </c>
      <c r="E205" s="1217" t="s">
        <v>539</v>
      </c>
      <c r="F205" s="409" t="s">
        <v>204</v>
      </c>
      <c r="G205" s="1662"/>
      <c r="H205" s="2772">
        <f>H206</f>
        <v>920.2</v>
      </c>
      <c r="I205" s="2773">
        <f>I206</f>
        <v>0</v>
      </c>
      <c r="J205" s="2774">
        <f>J206</f>
        <v>0</v>
      </c>
      <c r="K205" s="2735"/>
      <c r="L205" s="2735"/>
      <c r="M205" s="2735"/>
      <c r="N205" s="2775">
        <f>N206</f>
        <v>0</v>
      </c>
      <c r="O205" s="2735"/>
      <c r="P205" s="2735"/>
      <c r="Q205" s="2735"/>
      <c r="R205" s="2735"/>
      <c r="S205" s="2735"/>
      <c r="T205" s="2735"/>
      <c r="U205" s="2772">
        <f>U206</f>
        <v>993.22</v>
      </c>
    </row>
    <row r="206" spans="1:28" x14ac:dyDescent="0.25">
      <c r="A206" s="1179"/>
      <c r="B206" s="1197" t="s">
        <v>203</v>
      </c>
      <c r="C206" s="1217"/>
      <c r="D206" s="1217" t="s">
        <v>452</v>
      </c>
      <c r="E206" s="1217" t="s">
        <v>539</v>
      </c>
      <c r="F206" s="1217" t="s">
        <v>202</v>
      </c>
      <c r="G206" s="1662"/>
      <c r="H206" s="2772">
        <f>H207+H209</f>
        <v>920.2</v>
      </c>
      <c r="I206" s="2773">
        <f>I207+I209</f>
        <v>0</v>
      </c>
      <c r="J206" s="2774">
        <f>J207+J209</f>
        <v>0</v>
      </c>
      <c r="K206" s="2735"/>
      <c r="L206" s="2735"/>
      <c r="M206" s="2735"/>
      <c r="N206" s="2775">
        <f>N207+N209</f>
        <v>0</v>
      </c>
      <c r="O206" s="2735"/>
      <c r="P206" s="2735"/>
      <c r="Q206" s="2735"/>
      <c r="R206" s="2735"/>
      <c r="S206" s="2735"/>
      <c r="T206" s="2735"/>
      <c r="U206" s="2772">
        <f>U207+U209</f>
        <v>993.22</v>
      </c>
    </row>
    <row r="207" spans="1:28" hidden="1" x14ac:dyDescent="0.25">
      <c r="A207" s="1179"/>
      <c r="B207" s="1197" t="s">
        <v>619</v>
      </c>
      <c r="C207" s="1217"/>
      <c r="D207" s="1217" t="s">
        <v>452</v>
      </c>
      <c r="E207" s="1217" t="s">
        <v>539</v>
      </c>
      <c r="F207" s="1217" t="s">
        <v>200</v>
      </c>
      <c r="G207" s="1662"/>
      <c r="H207" s="2772">
        <f>H208</f>
        <v>0</v>
      </c>
      <c r="I207" s="2773">
        <f>I208</f>
        <v>0</v>
      </c>
      <c r="J207" s="2774">
        <f>J208</f>
        <v>0</v>
      </c>
      <c r="K207" s="2735"/>
      <c r="L207" s="2735"/>
      <c r="M207" s="2735"/>
      <c r="N207" s="2775">
        <f>N208</f>
        <v>0</v>
      </c>
      <c r="O207" s="2735"/>
      <c r="P207" s="2735"/>
      <c r="Q207" s="2735"/>
      <c r="R207" s="2735"/>
      <c r="S207" s="2735"/>
      <c r="T207" s="2735"/>
      <c r="U207" s="2772">
        <f>U208</f>
        <v>0</v>
      </c>
    </row>
    <row r="208" spans="1:28" ht="21" hidden="1" x14ac:dyDescent="0.25">
      <c r="A208" s="1179"/>
      <c r="B208" s="1182" t="s">
        <v>454</v>
      </c>
      <c r="C208" s="1217"/>
      <c r="D208" s="1217" t="s">
        <v>452</v>
      </c>
      <c r="E208" s="1217" t="s">
        <v>539</v>
      </c>
      <c r="F208" s="1217" t="s">
        <v>200</v>
      </c>
      <c r="G208" s="1662" t="s">
        <v>1</v>
      </c>
      <c r="H208" s="2772"/>
      <c r="I208" s="2773"/>
      <c r="J208" s="2774"/>
      <c r="K208" s="2735"/>
      <c r="L208" s="2735"/>
      <c r="M208" s="2735"/>
      <c r="N208" s="2775"/>
      <c r="O208" s="2735"/>
      <c r="P208" s="2735"/>
      <c r="Q208" s="2735"/>
      <c r="R208" s="2735"/>
      <c r="S208" s="2735"/>
      <c r="T208" s="2735"/>
      <c r="U208" s="2772"/>
      <c r="V208" s="1">
        <v>750</v>
      </c>
    </row>
    <row r="209" spans="1:24" ht="21" x14ac:dyDescent="0.25">
      <c r="A209" s="1179"/>
      <c r="B209" s="1197" t="s">
        <v>199</v>
      </c>
      <c r="C209" s="1217"/>
      <c r="D209" s="1217" t="s">
        <v>452</v>
      </c>
      <c r="E209" s="1217" t="s">
        <v>539</v>
      </c>
      <c r="F209" s="1217" t="s">
        <v>198</v>
      </c>
      <c r="G209" s="1662"/>
      <c r="H209" s="2772">
        <f>H211</f>
        <v>920.2</v>
      </c>
      <c r="I209" s="2773">
        <f>I211</f>
        <v>0</v>
      </c>
      <c r="J209" s="2774">
        <f>J211</f>
        <v>0</v>
      </c>
      <c r="K209" s="2735"/>
      <c r="L209" s="2735"/>
      <c r="M209" s="2735"/>
      <c r="N209" s="2775">
        <f>N211</f>
        <v>0</v>
      </c>
      <c r="O209" s="2735"/>
      <c r="P209" s="2735"/>
      <c r="Q209" s="2735"/>
      <c r="R209" s="2735"/>
      <c r="S209" s="2735"/>
      <c r="T209" s="2735"/>
      <c r="U209" s="2772">
        <f>U211</f>
        <v>993.22</v>
      </c>
    </row>
    <row r="210" spans="1:24" x14ac:dyDescent="0.25">
      <c r="A210" s="1179"/>
      <c r="B210" s="753" t="s">
        <v>948</v>
      </c>
      <c r="C210" s="1217"/>
      <c r="D210" s="1217" t="s">
        <v>452</v>
      </c>
      <c r="E210" s="1217" t="s">
        <v>539</v>
      </c>
      <c r="F210" s="1217" t="s">
        <v>198</v>
      </c>
      <c r="G210" s="1662" t="s">
        <v>955</v>
      </c>
      <c r="H210" s="2772">
        <f t="shared" ref="H210:U210" si="42">H211</f>
        <v>920.2</v>
      </c>
      <c r="I210" s="2773">
        <f t="shared" si="42"/>
        <v>0</v>
      </c>
      <c r="J210" s="2774">
        <f t="shared" si="42"/>
        <v>0</v>
      </c>
      <c r="K210" s="2735">
        <f t="shared" si="42"/>
        <v>0</v>
      </c>
      <c r="L210" s="2735">
        <f t="shared" si="42"/>
        <v>0</v>
      </c>
      <c r="M210" s="2735">
        <f t="shared" si="42"/>
        <v>0</v>
      </c>
      <c r="N210" s="2775">
        <f t="shared" si="42"/>
        <v>0</v>
      </c>
      <c r="O210" s="2735">
        <f t="shared" si="42"/>
        <v>0</v>
      </c>
      <c r="P210" s="2735">
        <f t="shared" si="42"/>
        <v>0</v>
      </c>
      <c r="Q210" s="2735">
        <f t="shared" si="42"/>
        <v>0</v>
      </c>
      <c r="R210" s="2735">
        <f t="shared" si="42"/>
        <v>0</v>
      </c>
      <c r="S210" s="2735">
        <f t="shared" si="42"/>
        <v>0</v>
      </c>
      <c r="T210" s="2735">
        <f t="shared" si="42"/>
        <v>0</v>
      </c>
      <c r="U210" s="2772">
        <f t="shared" si="42"/>
        <v>993.22</v>
      </c>
    </row>
    <row r="211" spans="1:24" ht="21" x14ac:dyDescent="0.25">
      <c r="A211" s="1179"/>
      <c r="B211" s="1182" t="s">
        <v>454</v>
      </c>
      <c r="C211" s="1217"/>
      <c r="D211" s="1217" t="s">
        <v>452</v>
      </c>
      <c r="E211" s="1217" t="s">
        <v>539</v>
      </c>
      <c r="F211" s="1217" t="s">
        <v>198</v>
      </c>
      <c r="G211" s="1662" t="s">
        <v>1</v>
      </c>
      <c r="H211" s="2772">
        <v>920.2</v>
      </c>
      <c r="I211" s="2773"/>
      <c r="J211" s="2774"/>
      <c r="K211" s="2735"/>
      <c r="L211" s="2735"/>
      <c r="M211" s="2735"/>
      <c r="N211" s="2775">
        <v>0</v>
      </c>
      <c r="O211" s="2735"/>
      <c r="P211" s="2735"/>
      <c r="Q211" s="2735"/>
      <c r="R211" s="2735"/>
      <c r="S211" s="2735"/>
      <c r="T211" s="2735"/>
      <c r="U211" s="2772">
        <f>610+383.22</f>
        <v>993.22</v>
      </c>
      <c r="V211" s="1">
        <v>440</v>
      </c>
      <c r="W211" s="1">
        <v>460</v>
      </c>
      <c r="X211" s="1">
        <v>520</v>
      </c>
    </row>
    <row r="212" spans="1:24" ht="31.5" hidden="1" x14ac:dyDescent="0.25">
      <c r="A212" s="842"/>
      <c r="B212" s="1230" t="s">
        <v>557</v>
      </c>
      <c r="C212" s="408"/>
      <c r="D212" s="408" t="s">
        <v>452</v>
      </c>
      <c r="E212" s="408" t="s">
        <v>539</v>
      </c>
      <c r="F212" s="408" t="s">
        <v>556</v>
      </c>
      <c r="G212" s="1661"/>
      <c r="H212" s="2776">
        <f>H213</f>
        <v>0</v>
      </c>
      <c r="I212" s="2777">
        <f>I213</f>
        <v>0</v>
      </c>
      <c r="J212" s="2778">
        <f>J213</f>
        <v>0</v>
      </c>
      <c r="K212" s="2735"/>
      <c r="L212" s="2735"/>
      <c r="M212" s="2735"/>
      <c r="N212" s="2780">
        <f>N213</f>
        <v>0</v>
      </c>
      <c r="O212" s="2735"/>
      <c r="P212" s="2735"/>
      <c r="Q212" s="2735"/>
      <c r="R212" s="2735"/>
      <c r="S212" s="2735"/>
      <c r="T212" s="2735"/>
      <c r="U212" s="2776">
        <f>U213</f>
        <v>0</v>
      </c>
    </row>
    <row r="213" spans="1:24" ht="21" hidden="1" x14ac:dyDescent="0.25">
      <c r="A213" s="1179"/>
      <c r="B213" s="1219" t="s">
        <v>555</v>
      </c>
      <c r="C213" s="1217"/>
      <c r="D213" s="1217" t="s">
        <v>452</v>
      </c>
      <c r="E213" s="1217" t="s">
        <v>539</v>
      </c>
      <c r="F213" s="1217" t="s">
        <v>554</v>
      </c>
      <c r="G213" s="1664"/>
      <c r="H213" s="2772">
        <f>H214+H217</f>
        <v>0</v>
      </c>
      <c r="I213" s="2773">
        <f>I214+I217</f>
        <v>0</v>
      </c>
      <c r="J213" s="2774">
        <f>J214+J217</f>
        <v>0</v>
      </c>
      <c r="K213" s="2735"/>
      <c r="L213" s="2735"/>
      <c r="M213" s="2735"/>
      <c r="N213" s="2775">
        <f>N214+N217</f>
        <v>0</v>
      </c>
      <c r="O213" s="2735"/>
      <c r="P213" s="2735"/>
      <c r="Q213" s="2735"/>
      <c r="R213" s="2735"/>
      <c r="S213" s="2735"/>
      <c r="T213" s="2735"/>
      <c r="U213" s="2772">
        <f>U214+U217</f>
        <v>0</v>
      </c>
    </row>
    <row r="214" spans="1:24" ht="31.5" hidden="1" x14ac:dyDescent="0.25">
      <c r="A214" s="1179"/>
      <c r="B214" s="1219" t="s">
        <v>553</v>
      </c>
      <c r="C214" s="1217"/>
      <c r="D214" s="1217" t="s">
        <v>452</v>
      </c>
      <c r="E214" s="1217" t="s">
        <v>539</v>
      </c>
      <c r="F214" s="1217" t="s">
        <v>552</v>
      </c>
      <c r="G214" s="1664"/>
      <c r="H214" s="2772">
        <f t="shared" ref="H214:J215" si="43">H215</f>
        <v>0</v>
      </c>
      <c r="I214" s="2773">
        <f t="shared" si="43"/>
        <v>0</v>
      </c>
      <c r="J214" s="2774">
        <f t="shared" si="43"/>
        <v>0</v>
      </c>
      <c r="K214" s="2735"/>
      <c r="L214" s="2735"/>
      <c r="M214" s="2735"/>
      <c r="N214" s="2775">
        <f t="shared" ref="N214:N215" si="44">N215</f>
        <v>0</v>
      </c>
      <c r="O214" s="2735"/>
      <c r="P214" s="2735"/>
      <c r="Q214" s="2735"/>
      <c r="R214" s="2735"/>
      <c r="S214" s="2735"/>
      <c r="T214" s="2735"/>
      <c r="U214" s="2772">
        <f t="shared" ref="U214:U215" si="45">U215</f>
        <v>0</v>
      </c>
    </row>
    <row r="215" spans="1:24" ht="31.5" hidden="1" x14ac:dyDescent="0.25">
      <c r="A215" s="1179"/>
      <c r="B215" s="753" t="s">
        <v>551</v>
      </c>
      <c r="C215" s="1217"/>
      <c r="D215" s="1217" t="s">
        <v>452</v>
      </c>
      <c r="E215" s="1217" t="s">
        <v>539</v>
      </c>
      <c r="F215" s="1217" t="s">
        <v>550</v>
      </c>
      <c r="G215" s="1664"/>
      <c r="H215" s="2772">
        <f t="shared" si="43"/>
        <v>0</v>
      </c>
      <c r="I215" s="2773">
        <f t="shared" si="43"/>
        <v>0</v>
      </c>
      <c r="J215" s="2774">
        <f t="shared" si="43"/>
        <v>0</v>
      </c>
      <c r="K215" s="2735"/>
      <c r="L215" s="2735"/>
      <c r="M215" s="2735"/>
      <c r="N215" s="2775">
        <f t="shared" si="44"/>
        <v>0</v>
      </c>
      <c r="O215" s="2735"/>
      <c r="P215" s="2735"/>
      <c r="Q215" s="2735"/>
      <c r="R215" s="2735"/>
      <c r="S215" s="2735"/>
      <c r="T215" s="2735"/>
      <c r="U215" s="2772">
        <f t="shared" si="45"/>
        <v>0</v>
      </c>
    </row>
    <row r="216" spans="1:24" hidden="1" x14ac:dyDescent="0.25">
      <c r="A216" s="1179"/>
      <c r="B216" s="1182" t="s">
        <v>481</v>
      </c>
      <c r="C216" s="1217"/>
      <c r="D216" s="1217" t="s">
        <v>452</v>
      </c>
      <c r="E216" s="1217" t="s">
        <v>539</v>
      </c>
      <c r="F216" s="1217" t="s">
        <v>550</v>
      </c>
      <c r="G216" s="1662" t="s">
        <v>26</v>
      </c>
      <c r="H216" s="2772">
        <v>0</v>
      </c>
      <c r="I216" s="2773">
        <v>0</v>
      </c>
      <c r="J216" s="2774">
        <v>0</v>
      </c>
      <c r="K216" s="2735"/>
      <c r="L216" s="2735"/>
      <c r="M216" s="2735"/>
      <c r="N216" s="2775">
        <v>0</v>
      </c>
      <c r="O216" s="2735"/>
      <c r="P216" s="2735"/>
      <c r="Q216" s="2735"/>
      <c r="R216" s="2735"/>
      <c r="S216" s="2735"/>
      <c r="T216" s="2735"/>
      <c r="U216" s="2772">
        <v>0</v>
      </c>
    </row>
    <row r="217" spans="1:24" ht="42" hidden="1" x14ac:dyDescent="0.25">
      <c r="A217" s="1179"/>
      <c r="B217" s="1219" t="s">
        <v>549</v>
      </c>
      <c r="C217" s="1217"/>
      <c r="D217" s="1217" t="s">
        <v>548</v>
      </c>
      <c r="E217" s="1217" t="s">
        <v>539</v>
      </c>
      <c r="F217" s="1217" t="s">
        <v>547</v>
      </c>
      <c r="G217" s="1664"/>
      <c r="H217" s="2772">
        <f>H218+H220+H222</f>
        <v>0</v>
      </c>
      <c r="I217" s="2773">
        <f>I218+I220+I222</f>
        <v>0</v>
      </c>
      <c r="J217" s="2774">
        <f>J218+J220+J222</f>
        <v>0</v>
      </c>
      <c r="K217" s="2735"/>
      <c r="L217" s="2735"/>
      <c r="M217" s="2735"/>
      <c r="N217" s="2775">
        <f>N218+N220+N222</f>
        <v>0</v>
      </c>
      <c r="O217" s="2735"/>
      <c r="P217" s="2735"/>
      <c r="Q217" s="2735"/>
      <c r="R217" s="2735"/>
      <c r="S217" s="2735"/>
      <c r="T217" s="2735"/>
      <c r="U217" s="2772">
        <f>U218+U220+U222</f>
        <v>0</v>
      </c>
    </row>
    <row r="218" spans="1:24" ht="21" hidden="1" x14ac:dyDescent="0.25">
      <c r="A218" s="1179"/>
      <c r="B218" s="753" t="s">
        <v>546</v>
      </c>
      <c r="C218" s="1217"/>
      <c r="D218" s="1217" t="s">
        <v>452</v>
      </c>
      <c r="E218" s="1217" t="s">
        <v>539</v>
      </c>
      <c r="F218" s="1217" t="s">
        <v>545</v>
      </c>
      <c r="G218" s="1664"/>
      <c r="H218" s="2772">
        <f>H219</f>
        <v>0</v>
      </c>
      <c r="I218" s="2773">
        <f>I219</f>
        <v>0</v>
      </c>
      <c r="J218" s="2774">
        <f>J219</f>
        <v>0</v>
      </c>
      <c r="K218" s="2735"/>
      <c r="L218" s="2735"/>
      <c r="M218" s="2735"/>
      <c r="N218" s="2775">
        <f>N219</f>
        <v>0</v>
      </c>
      <c r="O218" s="2735"/>
      <c r="P218" s="2735"/>
      <c r="Q218" s="2735"/>
      <c r="R218" s="2735"/>
      <c r="S218" s="2735"/>
      <c r="T218" s="2735"/>
      <c r="U218" s="2772">
        <f>U219</f>
        <v>0</v>
      </c>
    </row>
    <row r="219" spans="1:24" ht="21" hidden="1" x14ac:dyDescent="0.25">
      <c r="A219" s="1179"/>
      <c r="B219" s="1182" t="s">
        <v>454</v>
      </c>
      <c r="C219" s="1217"/>
      <c r="D219" s="1217" t="s">
        <v>452</v>
      </c>
      <c r="E219" s="1217" t="s">
        <v>539</v>
      </c>
      <c r="F219" s="1217" t="s">
        <v>545</v>
      </c>
      <c r="G219" s="1662" t="s">
        <v>1</v>
      </c>
      <c r="H219" s="2772"/>
      <c r="I219" s="2773"/>
      <c r="J219" s="2774"/>
      <c r="K219" s="2735"/>
      <c r="L219" s="2735"/>
      <c r="M219" s="2735"/>
      <c r="N219" s="2775"/>
      <c r="O219" s="2735"/>
      <c r="P219" s="2735"/>
      <c r="Q219" s="2735"/>
      <c r="R219" s="2735"/>
      <c r="S219" s="2735"/>
      <c r="T219" s="2735"/>
      <c r="U219" s="2772"/>
    </row>
    <row r="220" spans="1:24" ht="31.5" hidden="1" x14ac:dyDescent="0.25">
      <c r="A220" s="1229"/>
      <c r="B220" s="753" t="s">
        <v>544</v>
      </c>
      <c r="C220" s="1217"/>
      <c r="D220" s="1217" t="s">
        <v>452</v>
      </c>
      <c r="E220" s="1217" t="s">
        <v>539</v>
      </c>
      <c r="F220" s="1217" t="s">
        <v>543</v>
      </c>
      <c r="G220" s="1664"/>
      <c r="H220" s="2772">
        <f>H221</f>
        <v>0</v>
      </c>
      <c r="I220" s="2773">
        <f>I221</f>
        <v>0</v>
      </c>
      <c r="J220" s="2774">
        <f>J221</f>
        <v>0</v>
      </c>
      <c r="K220" s="2735"/>
      <c r="L220" s="2735"/>
      <c r="M220" s="2735"/>
      <c r="N220" s="2775">
        <f>N221</f>
        <v>0</v>
      </c>
      <c r="O220" s="2735"/>
      <c r="P220" s="2735"/>
      <c r="Q220" s="2735"/>
      <c r="R220" s="2735"/>
      <c r="S220" s="2735"/>
      <c r="T220" s="2735"/>
      <c r="U220" s="2772">
        <f>U221</f>
        <v>0</v>
      </c>
    </row>
    <row r="221" spans="1:24" ht="21" hidden="1" x14ac:dyDescent="0.25">
      <c r="A221" s="1229"/>
      <c r="B221" s="1182" t="s">
        <v>454</v>
      </c>
      <c r="C221" s="1217"/>
      <c r="D221" s="1217" t="s">
        <v>452</v>
      </c>
      <c r="E221" s="1217" t="s">
        <v>539</v>
      </c>
      <c r="F221" s="1217" t="s">
        <v>543</v>
      </c>
      <c r="G221" s="1662" t="s">
        <v>1</v>
      </c>
      <c r="H221" s="2772"/>
      <c r="I221" s="2773"/>
      <c r="J221" s="2774"/>
      <c r="K221" s="2735"/>
      <c r="L221" s="2735"/>
      <c r="M221" s="2735"/>
      <c r="N221" s="2775"/>
      <c r="O221" s="2735"/>
      <c r="P221" s="2735"/>
      <c r="Q221" s="2735"/>
      <c r="R221" s="2735"/>
      <c r="S221" s="2735"/>
      <c r="T221" s="2735"/>
      <c r="U221" s="2772"/>
    </row>
    <row r="222" spans="1:24" ht="31.5" hidden="1" x14ac:dyDescent="0.25">
      <c r="A222" s="1229"/>
      <c r="B222" s="753" t="s">
        <v>542</v>
      </c>
      <c r="C222" s="1217"/>
      <c r="D222" s="1217" t="s">
        <v>452</v>
      </c>
      <c r="E222" s="1217" t="s">
        <v>539</v>
      </c>
      <c r="F222" s="1217" t="s">
        <v>541</v>
      </c>
      <c r="G222" s="1664"/>
      <c r="H222" s="2772">
        <f>H223</f>
        <v>0</v>
      </c>
      <c r="I222" s="2773">
        <f>I223</f>
        <v>0</v>
      </c>
      <c r="J222" s="2774">
        <f>J223</f>
        <v>0</v>
      </c>
      <c r="K222" s="2735"/>
      <c r="L222" s="2735"/>
      <c r="M222" s="2735"/>
      <c r="N222" s="2775">
        <f>N223</f>
        <v>0</v>
      </c>
      <c r="O222" s="2735"/>
      <c r="P222" s="2735"/>
      <c r="Q222" s="2735"/>
      <c r="R222" s="2735"/>
      <c r="S222" s="2735"/>
      <c r="T222" s="2735"/>
      <c r="U222" s="2772">
        <f>U223</f>
        <v>0</v>
      </c>
    </row>
    <row r="223" spans="1:24" ht="21" hidden="1" x14ac:dyDescent="0.25">
      <c r="A223" s="1229"/>
      <c r="B223" s="1182" t="s">
        <v>454</v>
      </c>
      <c r="C223" s="1217"/>
      <c r="D223" s="1217" t="s">
        <v>452</v>
      </c>
      <c r="E223" s="1217" t="s">
        <v>539</v>
      </c>
      <c r="F223" s="1217" t="s">
        <v>541</v>
      </c>
      <c r="G223" s="1662" t="s">
        <v>1</v>
      </c>
      <c r="H223" s="2772"/>
      <c r="I223" s="2773"/>
      <c r="J223" s="2774"/>
      <c r="K223" s="2735"/>
      <c r="L223" s="2735"/>
      <c r="M223" s="2735"/>
      <c r="N223" s="2775"/>
      <c r="O223" s="2735"/>
      <c r="P223" s="2735"/>
      <c r="Q223" s="2735"/>
      <c r="R223" s="2735"/>
      <c r="S223" s="2735"/>
      <c r="T223" s="2735"/>
      <c r="U223" s="2772"/>
    </row>
    <row r="224" spans="1:24" ht="21" hidden="1" x14ac:dyDescent="0.25">
      <c r="A224" s="1211"/>
      <c r="B224" s="753" t="s">
        <v>499</v>
      </c>
      <c r="C224" s="1177"/>
      <c r="D224" s="409" t="s">
        <v>452</v>
      </c>
      <c r="E224" s="409" t="s">
        <v>539</v>
      </c>
      <c r="F224" s="409" t="s">
        <v>89</v>
      </c>
      <c r="G224" s="1662"/>
      <c r="H224" s="2772">
        <f t="shared" ref="H224:J227" si="46">H225</f>
        <v>0</v>
      </c>
      <c r="I224" s="2777">
        <f t="shared" si="46"/>
        <v>0</v>
      </c>
      <c r="J224" s="2778">
        <f t="shared" si="46"/>
        <v>0</v>
      </c>
      <c r="K224" s="2735"/>
      <c r="L224" s="2735"/>
      <c r="M224" s="2735"/>
      <c r="N224" s="2775">
        <f t="shared" ref="N224:N227" si="47">N225</f>
        <v>0</v>
      </c>
      <c r="O224" s="2735"/>
      <c r="P224" s="2735"/>
      <c r="Q224" s="2735"/>
      <c r="R224" s="2735"/>
      <c r="S224" s="2735"/>
      <c r="T224" s="2735"/>
      <c r="U224" s="2772">
        <f t="shared" ref="U224:U227" si="48">U225</f>
        <v>0</v>
      </c>
    </row>
    <row r="225" spans="1:21" hidden="1" x14ac:dyDescent="0.25">
      <c r="A225" s="842"/>
      <c r="B225" s="753" t="s">
        <v>109</v>
      </c>
      <c r="C225" s="1177"/>
      <c r="D225" s="409" t="s">
        <v>452</v>
      </c>
      <c r="E225" s="409" t="s">
        <v>539</v>
      </c>
      <c r="F225" s="409" t="s">
        <v>84</v>
      </c>
      <c r="G225" s="1662"/>
      <c r="H225" s="2772">
        <f t="shared" si="46"/>
        <v>0</v>
      </c>
      <c r="I225" s="2777">
        <f t="shared" si="46"/>
        <v>0</v>
      </c>
      <c r="J225" s="2778">
        <f t="shared" si="46"/>
        <v>0</v>
      </c>
      <c r="K225" s="2735"/>
      <c r="L225" s="2735"/>
      <c r="M225" s="2735"/>
      <c r="N225" s="2775">
        <f t="shared" si="47"/>
        <v>0</v>
      </c>
      <c r="O225" s="2735"/>
      <c r="P225" s="2735"/>
      <c r="Q225" s="2735"/>
      <c r="R225" s="2735"/>
      <c r="S225" s="2735"/>
      <c r="T225" s="2735"/>
      <c r="U225" s="2772">
        <f t="shared" si="48"/>
        <v>0</v>
      </c>
    </row>
    <row r="226" spans="1:21" hidden="1" x14ac:dyDescent="0.25">
      <c r="A226" s="842"/>
      <c r="B226" s="753" t="s">
        <v>109</v>
      </c>
      <c r="C226" s="1177"/>
      <c r="D226" s="409" t="s">
        <v>452</v>
      </c>
      <c r="E226" s="409" t="s">
        <v>539</v>
      </c>
      <c r="F226" s="409" t="s">
        <v>82</v>
      </c>
      <c r="G226" s="1662"/>
      <c r="H226" s="2772">
        <f>H227</f>
        <v>0</v>
      </c>
      <c r="I226" s="2777">
        <f t="shared" si="46"/>
        <v>0</v>
      </c>
      <c r="J226" s="2778">
        <f t="shared" si="46"/>
        <v>0</v>
      </c>
      <c r="K226" s="2735">
        <v>388.9</v>
      </c>
      <c r="L226" s="2735"/>
      <c r="M226" s="2735"/>
      <c r="N226" s="2775">
        <f>N227</f>
        <v>0</v>
      </c>
      <c r="O226" s="2735"/>
      <c r="P226" s="2735"/>
      <c r="Q226" s="2735"/>
      <c r="R226" s="2735"/>
      <c r="S226" s="2735"/>
      <c r="T226" s="2735"/>
      <c r="U226" s="2772">
        <f>U227</f>
        <v>0</v>
      </c>
    </row>
    <row r="227" spans="1:21" ht="21" hidden="1" x14ac:dyDescent="0.25">
      <c r="A227" s="1229"/>
      <c r="B227" s="1481" t="s">
        <v>967</v>
      </c>
      <c r="C227" s="409"/>
      <c r="D227" s="409" t="s">
        <v>452</v>
      </c>
      <c r="E227" s="409" t="s">
        <v>539</v>
      </c>
      <c r="F227" s="1231" t="s">
        <v>965</v>
      </c>
      <c r="G227" s="1662"/>
      <c r="H227" s="2772">
        <f t="shared" si="46"/>
        <v>0</v>
      </c>
      <c r="I227" s="2773">
        <f t="shared" si="46"/>
        <v>0</v>
      </c>
      <c r="J227" s="2774">
        <f t="shared" si="46"/>
        <v>0</v>
      </c>
      <c r="K227" s="2735"/>
      <c r="L227" s="2735"/>
      <c r="M227" s="2735"/>
      <c r="N227" s="2775">
        <f t="shared" si="47"/>
        <v>0</v>
      </c>
      <c r="O227" s="2735"/>
      <c r="P227" s="2735"/>
      <c r="Q227" s="2735"/>
      <c r="R227" s="2735"/>
      <c r="S227" s="2735"/>
      <c r="T227" s="2735"/>
      <c r="U227" s="2772">
        <f t="shared" si="48"/>
        <v>0</v>
      </c>
    </row>
    <row r="228" spans="1:21" ht="21" hidden="1" x14ac:dyDescent="0.25">
      <c r="A228" s="1229"/>
      <c r="B228" s="1182" t="s">
        <v>454</v>
      </c>
      <c r="C228" s="1217"/>
      <c r="D228" s="1217" t="s">
        <v>452</v>
      </c>
      <c r="E228" s="1217" t="s">
        <v>539</v>
      </c>
      <c r="F228" s="1231" t="s">
        <v>965</v>
      </c>
      <c r="G228" s="1662" t="s">
        <v>1</v>
      </c>
      <c r="H228" s="2772"/>
      <c r="I228" s="2773"/>
      <c r="J228" s="2774"/>
      <c r="K228" s="2735">
        <v>388.9</v>
      </c>
      <c r="L228" s="2735"/>
      <c r="M228" s="2735"/>
      <c r="N228" s="2775"/>
      <c r="O228" s="2735"/>
      <c r="P228" s="2735"/>
      <c r="Q228" s="2735"/>
      <c r="R228" s="2735"/>
      <c r="S228" s="2735"/>
      <c r="T228" s="2735"/>
      <c r="U228" s="2772"/>
    </row>
    <row r="229" spans="1:21" x14ac:dyDescent="0.25">
      <c r="A229" s="1229"/>
      <c r="B229" s="1225" t="s">
        <v>51</v>
      </c>
      <c r="C229" s="1227"/>
      <c r="D229" s="1227" t="s">
        <v>452</v>
      </c>
      <c r="E229" s="1227" t="s">
        <v>534</v>
      </c>
      <c r="F229" s="1227"/>
      <c r="G229" s="1665"/>
      <c r="H229" s="2781">
        <f>H230+H235</f>
        <v>2992.8499599999996</v>
      </c>
      <c r="I229" s="2782">
        <f>I230+I235</f>
        <v>0</v>
      </c>
      <c r="J229" s="2783">
        <f>J230+J235</f>
        <v>0</v>
      </c>
      <c r="K229" s="2735"/>
      <c r="L229" s="2735"/>
      <c r="M229" s="2735"/>
      <c r="N229" s="2784">
        <f>N230+N235</f>
        <v>1368.6352299999999</v>
      </c>
      <c r="O229" s="2735"/>
      <c r="P229" s="2735"/>
      <c r="Q229" s="2735"/>
      <c r="R229" s="2735"/>
      <c r="S229" s="2735"/>
      <c r="T229" s="2735"/>
      <c r="U229" s="2781">
        <f>U230+U235</f>
        <v>2837.92</v>
      </c>
    </row>
    <row r="230" spans="1:21" ht="31.5" x14ac:dyDescent="0.25">
      <c r="A230" s="1179"/>
      <c r="B230" s="1205" t="s">
        <v>907</v>
      </c>
      <c r="C230" s="409"/>
      <c r="D230" s="409" t="s">
        <v>452</v>
      </c>
      <c r="E230" s="409" t="s">
        <v>534</v>
      </c>
      <c r="F230" s="409" t="s">
        <v>292</v>
      </c>
      <c r="G230" s="1662"/>
      <c r="H230" s="2772">
        <f t="shared" ref="H230:J231" si="49">H231</f>
        <v>350</v>
      </c>
      <c r="I230" s="2773">
        <f t="shared" si="49"/>
        <v>0</v>
      </c>
      <c r="J230" s="2789">
        <f t="shared" si="49"/>
        <v>0</v>
      </c>
      <c r="K230" s="2745">
        <f>330</f>
        <v>330</v>
      </c>
      <c r="L230" s="2735"/>
      <c r="M230" s="2735"/>
      <c r="N230" s="2775">
        <f t="shared" ref="N230:N231" si="50">N231</f>
        <v>370</v>
      </c>
      <c r="O230" s="2735"/>
      <c r="P230" s="2735"/>
      <c r="Q230" s="2735"/>
      <c r="R230" s="2735"/>
      <c r="S230" s="2735"/>
      <c r="T230" s="2735"/>
      <c r="U230" s="2772">
        <f t="shared" ref="U230:U231" si="51">U231</f>
        <v>390</v>
      </c>
    </row>
    <row r="231" spans="1:21" ht="31.5" x14ac:dyDescent="0.25">
      <c r="A231" s="1179"/>
      <c r="B231" s="1197" t="s">
        <v>289</v>
      </c>
      <c r="C231" s="409"/>
      <c r="D231" s="409" t="s">
        <v>452</v>
      </c>
      <c r="E231" s="409" t="s">
        <v>534</v>
      </c>
      <c r="F231" s="409" t="s">
        <v>286</v>
      </c>
      <c r="G231" s="1662"/>
      <c r="H231" s="2772">
        <f t="shared" si="49"/>
        <v>350</v>
      </c>
      <c r="I231" s="2773">
        <f t="shared" si="49"/>
        <v>0</v>
      </c>
      <c r="J231" s="2789">
        <f t="shared" si="49"/>
        <v>0</v>
      </c>
      <c r="K231" s="2735"/>
      <c r="L231" s="2735"/>
      <c r="M231" s="2735"/>
      <c r="N231" s="2775">
        <f t="shared" si="50"/>
        <v>370</v>
      </c>
      <c r="O231" s="2735"/>
      <c r="P231" s="2735"/>
      <c r="Q231" s="2735"/>
      <c r="R231" s="2735"/>
      <c r="S231" s="2735"/>
      <c r="T231" s="2735"/>
      <c r="U231" s="2772">
        <f t="shared" si="51"/>
        <v>390</v>
      </c>
    </row>
    <row r="232" spans="1:21" ht="21" x14ac:dyDescent="0.25">
      <c r="A232" s="1179"/>
      <c r="B232" s="1232" t="s">
        <v>287</v>
      </c>
      <c r="C232" s="1217"/>
      <c r="D232" s="1217" t="s">
        <v>452</v>
      </c>
      <c r="E232" s="1217" t="s">
        <v>534</v>
      </c>
      <c r="F232" s="1217" t="s">
        <v>275</v>
      </c>
      <c r="G232" s="1664"/>
      <c r="H232" s="2772">
        <f>H234</f>
        <v>350</v>
      </c>
      <c r="I232" s="2773">
        <f>I234</f>
        <v>0</v>
      </c>
      <c r="J232" s="2789">
        <f>J234</f>
        <v>0</v>
      </c>
      <c r="K232" s="2735"/>
      <c r="L232" s="2735"/>
      <c r="M232" s="2735"/>
      <c r="N232" s="2775">
        <f>N234</f>
        <v>370</v>
      </c>
      <c r="O232" s="2735"/>
      <c r="P232" s="2735"/>
      <c r="Q232" s="2735"/>
      <c r="R232" s="2735"/>
      <c r="S232" s="2735"/>
      <c r="T232" s="2735"/>
      <c r="U232" s="2772">
        <f>U234</f>
        <v>390</v>
      </c>
    </row>
    <row r="233" spans="1:21" x14ac:dyDescent="0.25">
      <c r="A233" s="1179"/>
      <c r="B233" s="753" t="s">
        <v>948</v>
      </c>
      <c r="C233" s="1217"/>
      <c r="D233" s="1217" t="s">
        <v>452</v>
      </c>
      <c r="E233" s="1217" t="s">
        <v>534</v>
      </c>
      <c r="F233" s="1217" t="s">
        <v>275</v>
      </c>
      <c r="G233" s="1664" t="s">
        <v>955</v>
      </c>
      <c r="H233" s="2772">
        <f t="shared" ref="H233:U233" si="52">H234</f>
        <v>350</v>
      </c>
      <c r="I233" s="2773">
        <f t="shared" si="52"/>
        <v>0</v>
      </c>
      <c r="J233" s="2790">
        <f t="shared" si="52"/>
        <v>0</v>
      </c>
      <c r="K233" s="2735">
        <f t="shared" si="52"/>
        <v>0</v>
      </c>
      <c r="L233" s="2735">
        <f t="shared" si="52"/>
        <v>0</v>
      </c>
      <c r="M233" s="2735">
        <f t="shared" si="52"/>
        <v>0</v>
      </c>
      <c r="N233" s="2775">
        <f t="shared" si="52"/>
        <v>370</v>
      </c>
      <c r="O233" s="2735">
        <f t="shared" si="52"/>
        <v>0</v>
      </c>
      <c r="P233" s="2735">
        <f t="shared" si="52"/>
        <v>0</v>
      </c>
      <c r="Q233" s="2735">
        <f t="shared" si="52"/>
        <v>0</v>
      </c>
      <c r="R233" s="2735">
        <f t="shared" si="52"/>
        <v>0</v>
      </c>
      <c r="S233" s="2735">
        <f t="shared" si="52"/>
        <v>0</v>
      </c>
      <c r="T233" s="2735">
        <f t="shared" si="52"/>
        <v>0</v>
      </c>
      <c r="U233" s="2772">
        <f t="shared" si="52"/>
        <v>390</v>
      </c>
    </row>
    <row r="234" spans="1:21" ht="21" x14ac:dyDescent="0.25">
      <c r="A234" s="1179"/>
      <c r="B234" s="1182" t="s">
        <v>454</v>
      </c>
      <c r="C234" s="1217"/>
      <c r="D234" s="1217" t="s">
        <v>452</v>
      </c>
      <c r="E234" s="1217" t="s">
        <v>534</v>
      </c>
      <c r="F234" s="1217" t="s">
        <v>275</v>
      </c>
      <c r="G234" s="1662" t="s">
        <v>1</v>
      </c>
      <c r="H234" s="2772">
        <v>350</v>
      </c>
      <c r="I234" s="2773"/>
      <c r="J234" s="2774"/>
      <c r="K234" s="2735"/>
      <c r="L234" s="2735"/>
      <c r="M234" s="2735"/>
      <c r="N234" s="2775">
        <v>370</v>
      </c>
      <c r="O234" s="2735"/>
      <c r="P234" s="2735"/>
      <c r="Q234" s="2735"/>
      <c r="R234" s="2735"/>
      <c r="S234" s="2735"/>
      <c r="T234" s="2735"/>
      <c r="U234" s="2772">
        <v>390</v>
      </c>
    </row>
    <row r="235" spans="1:21" ht="21" x14ac:dyDescent="0.25">
      <c r="A235" s="1233"/>
      <c r="B235" s="753" t="s">
        <v>499</v>
      </c>
      <c r="C235" s="1180"/>
      <c r="D235" s="409" t="s">
        <v>452</v>
      </c>
      <c r="E235" s="409" t="s">
        <v>534</v>
      </c>
      <c r="F235" s="409" t="s">
        <v>89</v>
      </c>
      <c r="G235" s="1662"/>
      <c r="H235" s="2772">
        <f>H236</f>
        <v>2642.8499599999996</v>
      </c>
      <c r="I235" s="2773">
        <f t="shared" ref="H235:J236" si="53">I236</f>
        <v>0</v>
      </c>
      <c r="J235" s="2789">
        <f t="shared" si="53"/>
        <v>0</v>
      </c>
      <c r="K235" s="2735"/>
      <c r="L235" s="2735"/>
      <c r="M235" s="2735"/>
      <c r="N235" s="2775">
        <f>N236</f>
        <v>998.63522999999998</v>
      </c>
      <c r="O235" s="2735"/>
      <c r="P235" s="2735"/>
      <c r="Q235" s="2735"/>
      <c r="R235" s="2735"/>
      <c r="S235" s="2735"/>
      <c r="T235" s="2735"/>
      <c r="U235" s="2772">
        <f>U236</f>
        <v>2447.92</v>
      </c>
    </row>
    <row r="236" spans="1:21" x14ac:dyDescent="0.25">
      <c r="A236" s="1179"/>
      <c r="B236" s="753" t="s">
        <v>109</v>
      </c>
      <c r="C236" s="1180"/>
      <c r="D236" s="409" t="s">
        <v>452</v>
      </c>
      <c r="E236" s="409" t="s">
        <v>534</v>
      </c>
      <c r="F236" s="409" t="s">
        <v>84</v>
      </c>
      <c r="G236" s="1662"/>
      <c r="H236" s="2772">
        <f t="shared" si="53"/>
        <v>2642.8499599999996</v>
      </c>
      <c r="I236" s="2773">
        <f t="shared" si="53"/>
        <v>0</v>
      </c>
      <c r="J236" s="2789">
        <f t="shared" si="53"/>
        <v>0</v>
      </c>
      <c r="K236" s="2735"/>
      <c r="L236" s="2735"/>
      <c r="M236" s="2735"/>
      <c r="N236" s="2775">
        <f t="shared" ref="N236" si="54">N237</f>
        <v>998.63522999999998</v>
      </c>
      <c r="O236" s="2735"/>
      <c r="P236" s="2735"/>
      <c r="Q236" s="2735"/>
      <c r="R236" s="2735"/>
      <c r="S236" s="2735"/>
      <c r="T236" s="2735"/>
      <c r="U236" s="2772">
        <f t="shared" ref="U236" si="55">U237</f>
        <v>2447.92</v>
      </c>
    </row>
    <row r="237" spans="1:21" x14ac:dyDescent="0.25">
      <c r="A237" s="1179"/>
      <c r="B237" s="753" t="s">
        <v>109</v>
      </c>
      <c r="C237" s="1180"/>
      <c r="D237" s="409" t="s">
        <v>452</v>
      </c>
      <c r="E237" s="409" t="s">
        <v>534</v>
      </c>
      <c r="F237" s="409" t="s">
        <v>82</v>
      </c>
      <c r="G237" s="1662"/>
      <c r="H237" s="2772">
        <f>H238+H241+H246+H247</f>
        <v>2642.8499599999996</v>
      </c>
      <c r="I237" s="2773">
        <f>I238+I241+I246</f>
        <v>0</v>
      </c>
      <c r="J237" s="2789">
        <f>J238+J241+J246</f>
        <v>0</v>
      </c>
      <c r="K237" s="2745">
        <f>K240+K243+K246</f>
        <v>94.8</v>
      </c>
      <c r="L237" s="2735"/>
      <c r="M237" s="2735"/>
      <c r="N237" s="2775">
        <f>N238+N241+N246+N247</f>
        <v>998.63522999999998</v>
      </c>
      <c r="O237" s="2735"/>
      <c r="P237" s="2735"/>
      <c r="Q237" s="2735"/>
      <c r="R237" s="2735"/>
      <c r="S237" s="2735"/>
      <c r="T237" s="2735"/>
      <c r="U237" s="2772">
        <f>U238+U241+U246+U247</f>
        <v>2447.92</v>
      </c>
    </row>
    <row r="238" spans="1:21" x14ac:dyDescent="0.25">
      <c r="A238" s="842"/>
      <c r="B238" s="753" t="s">
        <v>537</v>
      </c>
      <c r="C238" s="409"/>
      <c r="D238" s="409" t="s">
        <v>452</v>
      </c>
      <c r="E238" s="409" t="s">
        <v>534</v>
      </c>
      <c r="F238" s="409" t="s">
        <v>536</v>
      </c>
      <c r="G238" s="1662"/>
      <c r="H238" s="2772">
        <f>H240</f>
        <v>728.04995999999983</v>
      </c>
      <c r="I238" s="2773">
        <f>I240</f>
        <v>0</v>
      </c>
      <c r="J238" s="2789">
        <f>J240</f>
        <v>0</v>
      </c>
      <c r="K238" s="2735"/>
      <c r="L238" s="2735"/>
      <c r="M238" s="2735"/>
      <c r="N238" s="2775">
        <f>N240</f>
        <v>700.1</v>
      </c>
      <c r="O238" s="2735"/>
      <c r="P238" s="2735"/>
      <c r="Q238" s="2735"/>
      <c r="R238" s="2735"/>
      <c r="S238" s="2735"/>
      <c r="T238" s="2735"/>
      <c r="U238" s="2772">
        <f>U240</f>
        <v>1041.866</v>
      </c>
    </row>
    <row r="239" spans="1:21" x14ac:dyDescent="0.25">
      <c r="A239" s="842"/>
      <c r="B239" s="753" t="s">
        <v>948</v>
      </c>
      <c r="C239" s="409"/>
      <c r="D239" s="1217" t="s">
        <v>452</v>
      </c>
      <c r="E239" s="1217" t="s">
        <v>534</v>
      </c>
      <c r="F239" s="1217" t="s">
        <v>536</v>
      </c>
      <c r="G239" s="1662" t="s">
        <v>955</v>
      </c>
      <c r="H239" s="2772">
        <f t="shared" ref="H239:U239" si="56">H240</f>
        <v>728.04995999999983</v>
      </c>
      <c r="I239" s="2773">
        <f t="shared" si="56"/>
        <v>0</v>
      </c>
      <c r="J239" s="2789">
        <f t="shared" si="56"/>
        <v>0</v>
      </c>
      <c r="K239" s="2735">
        <f t="shared" si="56"/>
        <v>0</v>
      </c>
      <c r="L239" s="2735">
        <f t="shared" si="56"/>
        <v>0</v>
      </c>
      <c r="M239" s="2735">
        <f t="shared" si="56"/>
        <v>0</v>
      </c>
      <c r="N239" s="2775">
        <f t="shared" si="56"/>
        <v>700.1</v>
      </c>
      <c r="O239" s="2735">
        <f t="shared" si="56"/>
        <v>0</v>
      </c>
      <c r="P239" s="2735">
        <f t="shared" si="56"/>
        <v>0</v>
      </c>
      <c r="Q239" s="2735">
        <f t="shared" si="56"/>
        <v>0</v>
      </c>
      <c r="R239" s="2735">
        <f t="shared" si="56"/>
        <v>0</v>
      </c>
      <c r="S239" s="2735">
        <f t="shared" si="56"/>
        <v>0</v>
      </c>
      <c r="T239" s="2735">
        <f t="shared" si="56"/>
        <v>0</v>
      </c>
      <c r="U239" s="2772">
        <f t="shared" si="56"/>
        <v>1041.866</v>
      </c>
    </row>
    <row r="240" spans="1:21" ht="21" x14ac:dyDescent="0.25">
      <c r="A240" s="1229"/>
      <c r="B240" s="1182" t="s">
        <v>454</v>
      </c>
      <c r="C240" s="1217"/>
      <c r="D240" s="1217" t="s">
        <v>452</v>
      </c>
      <c r="E240" s="1217" t="s">
        <v>534</v>
      </c>
      <c r="F240" s="1217" t="s">
        <v>536</v>
      </c>
      <c r="G240" s="1662" t="s">
        <v>1</v>
      </c>
      <c r="H240" s="2772">
        <f>1754.399-110.158-0.04884-23.708-204.697-344.9372-342.8</f>
        <v>728.04995999999983</v>
      </c>
      <c r="I240" s="2773"/>
      <c r="J240" s="2789"/>
      <c r="K240" s="2757"/>
      <c r="L240" s="2735"/>
      <c r="M240" s="2735"/>
      <c r="N240" s="2775">
        <v>700.1</v>
      </c>
      <c r="O240" s="2735"/>
      <c r="P240" s="2735"/>
      <c r="Q240" s="2735"/>
      <c r="R240" s="2735"/>
      <c r="S240" s="2735"/>
      <c r="T240" s="2735"/>
      <c r="U240" s="2772">
        <f>1142.106-100.24</f>
        <v>1041.866</v>
      </c>
    </row>
    <row r="241" spans="1:27" x14ac:dyDescent="0.25">
      <c r="A241" s="842"/>
      <c r="B241" s="753" t="s">
        <v>535</v>
      </c>
      <c r="C241" s="409"/>
      <c r="D241" s="409" t="s">
        <v>452</v>
      </c>
      <c r="E241" s="409" t="s">
        <v>534</v>
      </c>
      <c r="F241" s="409" t="s">
        <v>54</v>
      </c>
      <c r="G241" s="1662"/>
      <c r="H241" s="2772">
        <f>H243</f>
        <v>94.8</v>
      </c>
      <c r="I241" s="2773">
        <f>I243</f>
        <v>0</v>
      </c>
      <c r="J241" s="2789">
        <f>J243</f>
        <v>0</v>
      </c>
      <c r="K241" s="2735"/>
      <c r="L241" s="2735"/>
      <c r="M241" s="2735"/>
      <c r="N241" s="2775">
        <f>N243</f>
        <v>94.8</v>
      </c>
      <c r="O241" s="2735"/>
      <c r="P241" s="2735"/>
      <c r="Q241" s="2735"/>
      <c r="R241" s="2735"/>
      <c r="S241" s="2735"/>
      <c r="T241" s="2735"/>
      <c r="U241" s="2772">
        <f>U243</f>
        <v>94.8</v>
      </c>
    </row>
    <row r="242" spans="1:27" x14ac:dyDescent="0.25">
      <c r="A242" s="842"/>
      <c r="B242" s="753" t="s">
        <v>948</v>
      </c>
      <c r="C242" s="409"/>
      <c r="D242" s="1217" t="s">
        <v>452</v>
      </c>
      <c r="E242" s="1217" t="s">
        <v>534</v>
      </c>
      <c r="F242" s="1217" t="s">
        <v>54</v>
      </c>
      <c r="G242" s="1662" t="s">
        <v>955</v>
      </c>
      <c r="H242" s="2772">
        <f t="shared" ref="H242:U242" si="57">H243</f>
        <v>94.8</v>
      </c>
      <c r="I242" s="2773">
        <f t="shared" si="57"/>
        <v>0</v>
      </c>
      <c r="J242" s="2790">
        <f t="shared" si="57"/>
        <v>0</v>
      </c>
      <c r="K242" s="2735">
        <f t="shared" si="57"/>
        <v>94.8</v>
      </c>
      <c r="L242" s="2735">
        <f t="shared" si="57"/>
        <v>0</v>
      </c>
      <c r="M242" s="2735">
        <f t="shared" si="57"/>
        <v>0</v>
      </c>
      <c r="N242" s="2775">
        <f t="shared" si="57"/>
        <v>94.8</v>
      </c>
      <c r="O242" s="2735">
        <f t="shared" si="57"/>
        <v>0</v>
      </c>
      <c r="P242" s="2735">
        <f t="shared" si="57"/>
        <v>0</v>
      </c>
      <c r="Q242" s="2735">
        <f t="shared" si="57"/>
        <v>0</v>
      </c>
      <c r="R242" s="2735">
        <f t="shared" si="57"/>
        <v>0</v>
      </c>
      <c r="S242" s="2735">
        <f t="shared" si="57"/>
        <v>0</v>
      </c>
      <c r="T242" s="2735">
        <f t="shared" si="57"/>
        <v>0</v>
      </c>
      <c r="U242" s="2772">
        <f t="shared" si="57"/>
        <v>94.8</v>
      </c>
    </row>
    <row r="243" spans="1:27" ht="21" x14ac:dyDescent="0.25">
      <c r="A243" s="1234"/>
      <c r="B243" s="1182" t="s">
        <v>454</v>
      </c>
      <c r="C243" s="1217"/>
      <c r="D243" s="1217" t="s">
        <v>452</v>
      </c>
      <c r="E243" s="1217" t="s">
        <v>534</v>
      </c>
      <c r="F243" s="1217" t="s">
        <v>54</v>
      </c>
      <c r="G243" s="1662" t="s">
        <v>1</v>
      </c>
      <c r="H243" s="2772">
        <v>94.8</v>
      </c>
      <c r="I243" s="2773"/>
      <c r="J243" s="2774"/>
      <c r="K243" s="2735">
        <v>94.8</v>
      </c>
      <c r="L243" s="2735"/>
      <c r="M243" s="2735"/>
      <c r="N243" s="2775">
        <v>94.8</v>
      </c>
      <c r="O243" s="2735"/>
      <c r="P243" s="2735"/>
      <c r="Q243" s="2735"/>
      <c r="R243" s="2735"/>
      <c r="S243" s="2735"/>
      <c r="T243" s="2735"/>
      <c r="U243" s="2772">
        <v>94.8</v>
      </c>
    </row>
    <row r="244" spans="1:27" x14ac:dyDescent="0.25">
      <c r="A244" s="1234"/>
      <c r="B244" s="753" t="s">
        <v>53</v>
      </c>
      <c r="C244" s="409"/>
      <c r="D244" s="409" t="s">
        <v>452</v>
      </c>
      <c r="E244" s="409" t="s">
        <v>534</v>
      </c>
      <c r="F244" s="409" t="s">
        <v>50</v>
      </c>
      <c r="G244" s="1662"/>
      <c r="H244" s="2772">
        <f>H246+H247</f>
        <v>1820</v>
      </c>
      <c r="I244" s="2773">
        <f>I246</f>
        <v>0</v>
      </c>
      <c r="J244" s="2774">
        <f>J246</f>
        <v>0</v>
      </c>
      <c r="K244" s="2735"/>
      <c r="L244" s="2735"/>
      <c r="M244" s="2735"/>
      <c r="N244" s="2775">
        <f>N246+N247</f>
        <v>203.73523</v>
      </c>
      <c r="O244" s="2735"/>
      <c r="P244" s="2735"/>
      <c r="Q244" s="2735"/>
      <c r="R244" s="2735"/>
      <c r="S244" s="2735"/>
      <c r="T244" s="2735"/>
      <c r="U244" s="2772">
        <f>U246+U247</f>
        <v>1311.2539999999999</v>
      </c>
    </row>
    <row r="245" spans="1:27" x14ac:dyDescent="0.25">
      <c r="A245" s="1234"/>
      <c r="B245" s="753" t="s">
        <v>948</v>
      </c>
      <c r="C245" s="409"/>
      <c r="D245" s="1217" t="s">
        <v>452</v>
      </c>
      <c r="E245" s="1217" t="s">
        <v>534</v>
      </c>
      <c r="F245" s="1217" t="s">
        <v>50</v>
      </c>
      <c r="G245" s="1662" t="s">
        <v>955</v>
      </c>
      <c r="H245" s="2772">
        <f t="shared" ref="H245:U245" si="58">H246</f>
        <v>1820</v>
      </c>
      <c r="I245" s="2773">
        <f t="shared" si="58"/>
        <v>0</v>
      </c>
      <c r="J245" s="2774">
        <f t="shared" si="58"/>
        <v>0</v>
      </c>
      <c r="K245" s="2735">
        <f t="shared" si="58"/>
        <v>0</v>
      </c>
      <c r="L245" s="2735">
        <f t="shared" si="58"/>
        <v>0</v>
      </c>
      <c r="M245" s="2735">
        <f t="shared" si="58"/>
        <v>0</v>
      </c>
      <c r="N245" s="2775">
        <f t="shared" si="58"/>
        <v>203.73523</v>
      </c>
      <c r="O245" s="2735">
        <f t="shared" si="58"/>
        <v>0</v>
      </c>
      <c r="P245" s="2735">
        <f t="shared" si="58"/>
        <v>0</v>
      </c>
      <c r="Q245" s="2735">
        <f t="shared" si="58"/>
        <v>0</v>
      </c>
      <c r="R245" s="2735">
        <f t="shared" si="58"/>
        <v>0</v>
      </c>
      <c r="S245" s="2735">
        <f t="shared" si="58"/>
        <v>0</v>
      </c>
      <c r="T245" s="2735">
        <f t="shared" si="58"/>
        <v>0</v>
      </c>
      <c r="U245" s="2772">
        <f t="shared" si="58"/>
        <v>1311.2539999999999</v>
      </c>
    </row>
    <row r="246" spans="1:27" ht="21" x14ac:dyDescent="0.25">
      <c r="A246" s="1234"/>
      <c r="B246" s="1182" t="s">
        <v>454</v>
      </c>
      <c r="C246" s="1217"/>
      <c r="D246" s="1217" t="s">
        <v>452</v>
      </c>
      <c r="E246" s="1217" t="s">
        <v>534</v>
      </c>
      <c r="F246" s="1217" t="s">
        <v>50</v>
      </c>
      <c r="G246" s="1662" t="s">
        <v>1</v>
      </c>
      <c r="H246" s="2772">
        <f>3026-600-606</f>
        <v>1820</v>
      </c>
      <c r="I246" s="2773"/>
      <c r="J246" s="2774"/>
      <c r="K246" s="2757"/>
      <c r="L246" s="2735"/>
      <c r="M246" s="2735"/>
      <c r="N246" s="2775">
        <f>1680-88.131-1388.13377</f>
        <v>203.73523</v>
      </c>
      <c r="O246" s="2735"/>
      <c r="P246" s="2735"/>
      <c r="Q246" s="2735"/>
      <c r="R246" s="2735"/>
      <c r="S246" s="2735"/>
      <c r="T246" s="2735"/>
      <c r="U246" s="2772">
        <f>1641.634-330.38</f>
        <v>1311.2539999999999</v>
      </c>
      <c r="AA246" s="1">
        <v>-5</v>
      </c>
    </row>
    <row r="247" spans="1:27" hidden="1" x14ac:dyDescent="0.25">
      <c r="A247" s="1234"/>
      <c r="B247" s="1182" t="s">
        <v>622</v>
      </c>
      <c r="C247" s="1217"/>
      <c r="D247" s="1217"/>
      <c r="E247" s="1217"/>
      <c r="F247" s="1217"/>
      <c r="G247" s="1662"/>
      <c r="H247" s="2772"/>
      <c r="I247" s="2773"/>
      <c r="J247" s="2790"/>
      <c r="K247" s="2735"/>
      <c r="L247" s="2735"/>
      <c r="M247" s="2735"/>
      <c r="N247" s="2775"/>
      <c r="O247" s="2735"/>
      <c r="P247" s="2735"/>
      <c r="Q247" s="2735"/>
      <c r="R247" s="2735"/>
      <c r="S247" s="2735"/>
      <c r="T247" s="2735"/>
      <c r="U247" s="2772"/>
    </row>
    <row r="248" spans="1:27" x14ac:dyDescent="0.25">
      <c r="A248" s="1234"/>
      <c r="B248" s="1225" t="s">
        <v>378</v>
      </c>
      <c r="C248" s="1226"/>
      <c r="D248" s="1227" t="s">
        <v>463</v>
      </c>
      <c r="E248" s="1227" t="s">
        <v>459</v>
      </c>
      <c r="F248" s="1227"/>
      <c r="G248" s="1665"/>
      <c r="H248" s="2781">
        <f>H249+H272+H323</f>
        <v>55387.934000000001</v>
      </c>
      <c r="I248" s="2782">
        <f>I249+I272+I323</f>
        <v>17214.18</v>
      </c>
      <c r="J248" s="2783">
        <f>J249+J272+J323</f>
        <v>13826.606</v>
      </c>
      <c r="K248" s="2735"/>
      <c r="L248" s="2735"/>
      <c r="M248" s="2735"/>
      <c r="N248" s="2784">
        <f>N249+N272+N323</f>
        <v>43088.284</v>
      </c>
      <c r="O248" s="2735"/>
      <c r="P248" s="2735"/>
      <c r="Q248" s="2735"/>
      <c r="R248" s="2735"/>
      <c r="S248" s="2735"/>
      <c r="T248" s="2735"/>
      <c r="U248" s="2781">
        <f>U249+U272+U323</f>
        <v>43441.242000000006</v>
      </c>
    </row>
    <row r="249" spans="1:27" x14ac:dyDescent="0.25">
      <c r="A249" s="1229"/>
      <c r="B249" s="1225" t="s">
        <v>11</v>
      </c>
      <c r="C249" s="1227"/>
      <c r="D249" s="1227" t="s">
        <v>463</v>
      </c>
      <c r="E249" s="1227" t="s">
        <v>456</v>
      </c>
      <c r="F249" s="1227"/>
      <c r="G249" s="1665"/>
      <c r="H249" s="2781">
        <f>H259+H250</f>
        <v>1107.4449999999999</v>
      </c>
      <c r="I249" s="2782">
        <f>I259</f>
        <v>0</v>
      </c>
      <c r="J249" s="2783">
        <f>J259</f>
        <v>0</v>
      </c>
      <c r="K249" s="2735"/>
      <c r="L249" s="2735"/>
      <c r="M249" s="2735"/>
      <c r="N249" s="2784">
        <f>N259+N250</f>
        <v>860.798</v>
      </c>
      <c r="O249" s="2735"/>
      <c r="P249" s="2735"/>
      <c r="Q249" s="2735"/>
      <c r="R249" s="2735"/>
      <c r="S249" s="2735"/>
      <c r="T249" s="2735"/>
      <c r="U249" s="2781">
        <f>U259+U250</f>
        <v>860.798</v>
      </c>
    </row>
    <row r="250" spans="1:27" ht="31.5" hidden="1" x14ac:dyDescent="0.25">
      <c r="A250" s="1229"/>
      <c r="B250" s="1203" t="s">
        <v>861</v>
      </c>
      <c r="C250" s="1177"/>
      <c r="D250" s="408" t="s">
        <v>463</v>
      </c>
      <c r="E250" s="408" t="s">
        <v>456</v>
      </c>
      <c r="F250" s="408" t="s">
        <v>468</v>
      </c>
      <c r="G250" s="1661"/>
      <c r="H250" s="2776">
        <f>H251+H255</f>
        <v>0</v>
      </c>
      <c r="I250" s="2782"/>
      <c r="J250" s="2783"/>
      <c r="K250" s="2735"/>
      <c r="L250" s="2735"/>
      <c r="M250" s="2735"/>
      <c r="N250" s="2780"/>
      <c r="O250" s="2735"/>
      <c r="P250" s="2735"/>
      <c r="Q250" s="2735"/>
      <c r="R250" s="2735"/>
      <c r="S250" s="2735"/>
      <c r="T250" s="2735"/>
      <c r="U250" s="2776"/>
    </row>
    <row r="251" spans="1:27" hidden="1" x14ac:dyDescent="0.25">
      <c r="A251" s="1229"/>
      <c r="B251" s="1203" t="s">
        <v>849</v>
      </c>
      <c r="C251" s="1180"/>
      <c r="D251" s="409" t="s">
        <v>463</v>
      </c>
      <c r="E251" s="409" t="s">
        <v>456</v>
      </c>
      <c r="F251" s="409" t="s">
        <v>854</v>
      </c>
      <c r="G251" s="1662"/>
      <c r="H251" s="2772">
        <f>H252</f>
        <v>0</v>
      </c>
      <c r="I251" s="2782"/>
      <c r="J251" s="2783"/>
      <c r="K251" s="2745">
        <v>186.20699999999999</v>
      </c>
      <c r="L251" s="2735"/>
      <c r="M251" s="2735"/>
      <c r="N251" s="2775"/>
      <c r="O251" s="2735"/>
      <c r="P251" s="2735"/>
      <c r="Q251" s="2735"/>
      <c r="R251" s="2735"/>
      <c r="S251" s="2735"/>
      <c r="T251" s="2735"/>
      <c r="U251" s="2772"/>
    </row>
    <row r="252" spans="1:27" hidden="1" x14ac:dyDescent="0.25">
      <c r="A252" s="1229"/>
      <c r="B252" s="1203" t="s">
        <v>850</v>
      </c>
      <c r="C252" s="1180"/>
      <c r="D252" s="409" t="s">
        <v>463</v>
      </c>
      <c r="E252" s="409" t="s">
        <v>456</v>
      </c>
      <c r="F252" s="409" t="s">
        <v>855</v>
      </c>
      <c r="G252" s="1662"/>
      <c r="H252" s="2772">
        <f>H253</f>
        <v>0</v>
      </c>
      <c r="I252" s="2782"/>
      <c r="J252" s="2783"/>
      <c r="K252" s="2735"/>
      <c r="L252" s="2735"/>
      <c r="M252" s="2735"/>
      <c r="N252" s="2775"/>
      <c r="O252" s="2735"/>
      <c r="P252" s="2735"/>
      <c r="Q252" s="2735"/>
      <c r="R252" s="2735"/>
      <c r="S252" s="2735"/>
      <c r="T252" s="2735"/>
      <c r="U252" s="2772"/>
    </row>
    <row r="253" spans="1:27" ht="31.5" hidden="1" x14ac:dyDescent="0.25">
      <c r="A253" s="1229"/>
      <c r="B253" s="1232" t="s">
        <v>851</v>
      </c>
      <c r="C253" s="1180"/>
      <c r="D253" s="409" t="s">
        <v>463</v>
      </c>
      <c r="E253" s="409" t="s">
        <v>456</v>
      </c>
      <c r="F253" s="1864" t="s">
        <v>856</v>
      </c>
      <c r="G253" s="1662"/>
      <c r="H253" s="2772">
        <f>H254</f>
        <v>0</v>
      </c>
      <c r="I253" s="2782"/>
      <c r="J253" s="2783"/>
      <c r="K253" s="2735"/>
      <c r="L253" s="2735"/>
      <c r="M253" s="2735"/>
      <c r="N253" s="2775"/>
      <c r="O253" s="2735"/>
      <c r="P253" s="2735"/>
      <c r="Q253" s="2735"/>
      <c r="R253" s="2735"/>
      <c r="S253" s="2735"/>
      <c r="T253" s="2735"/>
      <c r="U253" s="2772"/>
    </row>
    <row r="254" spans="1:27" hidden="1" x14ac:dyDescent="0.25">
      <c r="A254" s="1229"/>
      <c r="B254" s="1236" t="s">
        <v>497</v>
      </c>
      <c r="C254" s="1183"/>
      <c r="D254" s="409" t="s">
        <v>463</v>
      </c>
      <c r="E254" s="409" t="s">
        <v>456</v>
      </c>
      <c r="F254" s="1864" t="s">
        <v>856</v>
      </c>
      <c r="G254" s="1662" t="s">
        <v>77</v>
      </c>
      <c r="H254" s="2791"/>
      <c r="I254" s="2782"/>
      <c r="J254" s="2783"/>
      <c r="K254" s="2735">
        <v>130.441</v>
      </c>
      <c r="L254" s="2735"/>
      <c r="M254" s="2735"/>
      <c r="N254" s="2792"/>
      <c r="O254" s="2735"/>
      <c r="P254" s="2735"/>
      <c r="Q254" s="2735"/>
      <c r="R254" s="2735"/>
      <c r="S254" s="2735"/>
      <c r="T254" s="2735"/>
      <c r="U254" s="2791"/>
    </row>
    <row r="255" spans="1:27" ht="21" hidden="1" x14ac:dyDescent="0.25">
      <c r="A255" s="1229"/>
      <c r="B255" s="1203" t="s">
        <v>853</v>
      </c>
      <c r="C255" s="1183"/>
      <c r="D255" s="409" t="s">
        <v>463</v>
      </c>
      <c r="E255" s="409" t="s">
        <v>456</v>
      </c>
      <c r="F255" s="1864" t="s">
        <v>857</v>
      </c>
      <c r="G255" s="1662"/>
      <c r="H255" s="2791">
        <f>H256</f>
        <v>0</v>
      </c>
      <c r="I255" s="2782"/>
      <c r="J255" s="2783"/>
      <c r="K255" s="2735"/>
      <c r="L255" s="2735"/>
      <c r="M255" s="2735"/>
      <c r="N255" s="2792"/>
      <c r="O255" s="2735"/>
      <c r="P255" s="2735"/>
      <c r="Q255" s="2735"/>
      <c r="R255" s="2735"/>
      <c r="S255" s="2735"/>
      <c r="T255" s="2735"/>
      <c r="U255" s="2791"/>
    </row>
    <row r="256" spans="1:27" hidden="1" x14ac:dyDescent="0.25">
      <c r="A256" s="1229"/>
      <c r="B256" s="1203" t="s">
        <v>850</v>
      </c>
      <c r="C256" s="1183"/>
      <c r="D256" s="409" t="s">
        <v>463</v>
      </c>
      <c r="E256" s="409" t="s">
        <v>456</v>
      </c>
      <c r="F256" s="409" t="s">
        <v>858</v>
      </c>
      <c r="G256" s="1662"/>
      <c r="H256" s="2791">
        <f>H257</f>
        <v>0</v>
      </c>
      <c r="I256" s="2782"/>
      <c r="J256" s="2783"/>
      <c r="K256" s="2735"/>
      <c r="L256" s="2735"/>
      <c r="M256" s="2735"/>
      <c r="N256" s="2792"/>
      <c r="O256" s="2735"/>
      <c r="P256" s="2735"/>
      <c r="Q256" s="2735"/>
      <c r="R256" s="2735"/>
      <c r="S256" s="2735"/>
      <c r="T256" s="2735"/>
      <c r="U256" s="2791"/>
    </row>
    <row r="257" spans="1:21" ht="31.5" hidden="1" x14ac:dyDescent="0.25">
      <c r="A257" s="1229"/>
      <c r="B257" s="1203" t="s">
        <v>851</v>
      </c>
      <c r="C257" s="1183"/>
      <c r="D257" s="409" t="s">
        <v>463</v>
      </c>
      <c r="E257" s="409" t="s">
        <v>456</v>
      </c>
      <c r="F257" s="1864" t="s">
        <v>859</v>
      </c>
      <c r="G257" s="1662"/>
      <c r="H257" s="2791">
        <f>H258</f>
        <v>0</v>
      </c>
      <c r="I257" s="2782"/>
      <c r="J257" s="2783"/>
      <c r="K257" s="2735"/>
      <c r="L257" s="2735"/>
      <c r="M257" s="2735"/>
      <c r="N257" s="2792"/>
      <c r="O257" s="2735"/>
      <c r="P257" s="2735"/>
      <c r="Q257" s="2735"/>
      <c r="R257" s="2735"/>
      <c r="S257" s="2735"/>
      <c r="T257" s="2735"/>
      <c r="U257" s="2791"/>
    </row>
    <row r="258" spans="1:21" hidden="1" x14ac:dyDescent="0.25">
      <c r="A258" s="1229"/>
      <c r="B258" s="1236" t="s">
        <v>497</v>
      </c>
      <c r="C258" s="1183"/>
      <c r="D258" s="409" t="s">
        <v>463</v>
      </c>
      <c r="E258" s="409" t="s">
        <v>456</v>
      </c>
      <c r="F258" s="1864" t="s">
        <v>859</v>
      </c>
      <c r="G258" s="1662" t="s">
        <v>77</v>
      </c>
      <c r="H258" s="2791"/>
      <c r="I258" s="2782"/>
      <c r="J258" s="2783"/>
      <c r="K258" s="2735">
        <v>55.765999999999998</v>
      </c>
      <c r="L258" s="2735"/>
      <c r="M258" s="2735"/>
      <c r="N258" s="2792"/>
      <c r="O258" s="2735"/>
      <c r="P258" s="2735"/>
      <c r="Q258" s="2735"/>
      <c r="R258" s="2735"/>
      <c r="S258" s="2735"/>
      <c r="T258" s="2735"/>
      <c r="U258" s="2791"/>
    </row>
    <row r="259" spans="1:21" ht="22.5" customHeight="1" x14ac:dyDescent="0.25">
      <c r="A259" s="1233"/>
      <c r="B259" s="753" t="s">
        <v>499</v>
      </c>
      <c r="C259" s="1180"/>
      <c r="D259" s="409" t="s">
        <v>463</v>
      </c>
      <c r="E259" s="409" t="s">
        <v>456</v>
      </c>
      <c r="F259" s="409" t="s">
        <v>89</v>
      </c>
      <c r="G259" s="1662"/>
      <c r="H259" s="2772">
        <f t="shared" ref="H259:J260" si="59">H260</f>
        <v>1107.4449999999999</v>
      </c>
      <c r="I259" s="2773">
        <f t="shared" si="59"/>
        <v>0</v>
      </c>
      <c r="J259" s="2789">
        <f t="shared" si="59"/>
        <v>0</v>
      </c>
      <c r="K259" s="2735"/>
      <c r="L259" s="2735"/>
      <c r="M259" s="2735"/>
      <c r="N259" s="2775">
        <f t="shared" ref="N259:N260" si="60">N260</f>
        <v>860.798</v>
      </c>
      <c r="O259" s="2735"/>
      <c r="P259" s="2735"/>
      <c r="Q259" s="2735"/>
      <c r="R259" s="2735"/>
      <c r="S259" s="2735"/>
      <c r="T259" s="2735"/>
      <c r="U259" s="2772">
        <f t="shared" ref="U259:U260" si="61">U260</f>
        <v>860.798</v>
      </c>
    </row>
    <row r="260" spans="1:21" x14ac:dyDescent="0.25">
      <c r="A260" s="1179"/>
      <c r="B260" s="753" t="s">
        <v>109</v>
      </c>
      <c r="C260" s="1180"/>
      <c r="D260" s="409" t="s">
        <v>463</v>
      </c>
      <c r="E260" s="409" t="s">
        <v>456</v>
      </c>
      <c r="F260" s="409" t="s">
        <v>84</v>
      </c>
      <c r="G260" s="1662"/>
      <c r="H260" s="2772">
        <f t="shared" si="59"/>
        <v>1107.4449999999999</v>
      </c>
      <c r="I260" s="2773">
        <f t="shared" si="59"/>
        <v>0</v>
      </c>
      <c r="J260" s="2789">
        <f t="shared" si="59"/>
        <v>0</v>
      </c>
      <c r="K260" s="2735"/>
      <c r="L260" s="2735"/>
      <c r="M260" s="2735"/>
      <c r="N260" s="2775">
        <f t="shared" si="60"/>
        <v>860.798</v>
      </c>
      <c r="O260" s="2735"/>
      <c r="P260" s="2735"/>
      <c r="Q260" s="2735"/>
      <c r="R260" s="2735"/>
      <c r="S260" s="2735"/>
      <c r="T260" s="2735"/>
      <c r="U260" s="2772">
        <f t="shared" si="61"/>
        <v>860.798</v>
      </c>
    </row>
    <row r="261" spans="1:21" x14ac:dyDescent="0.25">
      <c r="A261" s="1179"/>
      <c r="B261" s="753" t="s">
        <v>109</v>
      </c>
      <c r="C261" s="1180"/>
      <c r="D261" s="409" t="s">
        <v>463</v>
      </c>
      <c r="E261" s="409" t="s">
        <v>456</v>
      </c>
      <c r="F261" s="409" t="s">
        <v>82</v>
      </c>
      <c r="G261" s="1662"/>
      <c r="H261" s="2772">
        <f>H262+H264+H269+H267</f>
        <v>1107.4449999999999</v>
      </c>
      <c r="I261" s="2773">
        <f>I262+I264+I269</f>
        <v>0</v>
      </c>
      <c r="J261" s="2789">
        <f>J262+J264+J269</f>
        <v>0</v>
      </c>
      <c r="K261" s="2735"/>
      <c r="L261" s="2735"/>
      <c r="M261" s="2735"/>
      <c r="N261" s="2775">
        <f>N262+N264+N269</f>
        <v>860.798</v>
      </c>
      <c r="O261" s="2735"/>
      <c r="P261" s="2735"/>
      <c r="Q261" s="2735"/>
      <c r="R261" s="2735"/>
      <c r="S261" s="2735"/>
      <c r="T261" s="2735"/>
      <c r="U261" s="2772">
        <f>U262+U264+U269</f>
        <v>860.798</v>
      </c>
    </row>
    <row r="262" spans="1:21" hidden="1" x14ac:dyDescent="0.25">
      <c r="A262" s="842"/>
      <c r="B262" s="753" t="s">
        <v>533</v>
      </c>
      <c r="C262" s="409"/>
      <c r="D262" s="409" t="s">
        <v>463</v>
      </c>
      <c r="E262" s="409" t="s">
        <v>456</v>
      </c>
      <c r="F262" s="409" t="s">
        <v>30</v>
      </c>
      <c r="G262" s="1662"/>
      <c r="H262" s="1682">
        <f>H263</f>
        <v>0</v>
      </c>
      <c r="I262" s="529">
        <f>I263</f>
        <v>0</v>
      </c>
      <c r="J262" s="270">
        <f>J263</f>
        <v>0</v>
      </c>
      <c r="K262" s="1858"/>
      <c r="L262" s="1858"/>
      <c r="M262" s="1858"/>
      <c r="N262" s="1200">
        <f>N263</f>
        <v>0</v>
      </c>
      <c r="O262" s="1858"/>
      <c r="P262" s="1858"/>
      <c r="Q262" s="1858"/>
      <c r="R262" s="1858"/>
      <c r="S262" s="1858"/>
      <c r="T262" s="1858"/>
      <c r="U262" s="1682">
        <f>U263</f>
        <v>0</v>
      </c>
    </row>
    <row r="263" spans="1:21" ht="21" hidden="1" x14ac:dyDescent="0.25">
      <c r="A263" s="1229"/>
      <c r="B263" s="1182" t="s">
        <v>454</v>
      </c>
      <c r="C263" s="409"/>
      <c r="D263" s="1217" t="s">
        <v>463</v>
      </c>
      <c r="E263" s="1217" t="s">
        <v>456</v>
      </c>
      <c r="F263" s="409" t="s">
        <v>30</v>
      </c>
      <c r="G263" s="1662" t="s">
        <v>1</v>
      </c>
      <c r="H263" s="1682">
        <v>0</v>
      </c>
      <c r="I263" s="529"/>
      <c r="J263" s="269"/>
      <c r="K263" s="1858"/>
      <c r="L263" s="1858"/>
      <c r="M263" s="1858"/>
      <c r="N263" s="1200">
        <v>0</v>
      </c>
      <c r="O263" s="1858"/>
      <c r="P263" s="1858"/>
      <c r="Q263" s="1858"/>
      <c r="R263" s="1858"/>
      <c r="S263" s="1858"/>
      <c r="T263" s="1858"/>
      <c r="U263" s="1682">
        <v>0</v>
      </c>
    </row>
    <row r="264" spans="1:21" x14ac:dyDescent="0.25">
      <c r="A264" s="842"/>
      <c r="B264" s="753" t="s">
        <v>532</v>
      </c>
      <c r="C264" s="409"/>
      <c r="D264" s="409" t="s">
        <v>463</v>
      </c>
      <c r="E264" s="409" t="s">
        <v>456</v>
      </c>
      <c r="F264" s="409" t="s">
        <v>531</v>
      </c>
      <c r="G264" s="1662"/>
      <c r="H264" s="2772">
        <f>H266</f>
        <v>46.317999999999998</v>
      </c>
      <c r="I264" s="2773">
        <f>I266</f>
        <v>0</v>
      </c>
      <c r="J264" s="2774">
        <f>J266</f>
        <v>0</v>
      </c>
      <c r="K264" s="2735"/>
      <c r="L264" s="2735"/>
      <c r="M264" s="2735"/>
      <c r="N264" s="2775">
        <f>N266</f>
        <v>0</v>
      </c>
      <c r="O264" s="2735"/>
      <c r="P264" s="2735"/>
      <c r="Q264" s="2735"/>
      <c r="R264" s="2735"/>
      <c r="S264" s="2735"/>
      <c r="T264" s="2735"/>
      <c r="U264" s="2772">
        <f>U266</f>
        <v>0</v>
      </c>
    </row>
    <row r="265" spans="1:21" x14ac:dyDescent="0.25">
      <c r="A265" s="842"/>
      <c r="B265" s="753" t="s">
        <v>948</v>
      </c>
      <c r="C265" s="409"/>
      <c r="D265" s="409" t="s">
        <v>463</v>
      </c>
      <c r="E265" s="409" t="s">
        <v>456</v>
      </c>
      <c r="F265" s="409" t="s">
        <v>531</v>
      </c>
      <c r="G265" s="1662" t="s">
        <v>955</v>
      </c>
      <c r="H265" s="2772">
        <f>H266</f>
        <v>46.317999999999998</v>
      </c>
      <c r="I265" s="2773"/>
      <c r="J265" s="2774"/>
      <c r="K265" s="2735"/>
      <c r="L265" s="2735"/>
      <c r="M265" s="2735"/>
      <c r="N265" s="2775">
        <f>N266</f>
        <v>0</v>
      </c>
      <c r="O265" s="2735"/>
      <c r="P265" s="2735"/>
      <c r="Q265" s="2735"/>
      <c r="R265" s="2735"/>
      <c r="S265" s="2735"/>
      <c r="T265" s="2735"/>
      <c r="U265" s="2772">
        <f>U266</f>
        <v>0</v>
      </c>
    </row>
    <row r="266" spans="1:21" ht="21" x14ac:dyDescent="0.25">
      <c r="A266" s="1229"/>
      <c r="B266" s="1182" t="s">
        <v>454</v>
      </c>
      <c r="C266" s="409"/>
      <c r="D266" s="1217" t="s">
        <v>463</v>
      </c>
      <c r="E266" s="1217" t="s">
        <v>456</v>
      </c>
      <c r="F266" s="1217" t="s">
        <v>531</v>
      </c>
      <c r="G266" s="1662" t="s">
        <v>1</v>
      </c>
      <c r="H266" s="2772">
        <v>46.317999999999998</v>
      </c>
      <c r="I266" s="2773"/>
      <c r="J266" s="2774"/>
      <c r="K266" s="2735"/>
      <c r="L266" s="2735"/>
      <c r="M266" s="2735"/>
      <c r="N266" s="2775">
        <v>0</v>
      </c>
      <c r="O266" s="2735"/>
      <c r="P266" s="2735"/>
      <c r="Q266" s="2735"/>
      <c r="R266" s="2735"/>
      <c r="S266" s="2735"/>
      <c r="T266" s="2735"/>
      <c r="U266" s="2772">
        <v>0</v>
      </c>
    </row>
    <row r="267" spans="1:21" hidden="1" x14ac:dyDescent="0.25">
      <c r="A267" s="1229"/>
      <c r="B267" s="753" t="s">
        <v>1007</v>
      </c>
      <c r="C267" s="409"/>
      <c r="D267" s="409" t="s">
        <v>463</v>
      </c>
      <c r="E267" s="409" t="s">
        <v>456</v>
      </c>
      <c r="F267" s="1217" t="s">
        <v>30</v>
      </c>
      <c r="G267" s="1662"/>
      <c r="H267" s="2772">
        <f>H268</f>
        <v>0</v>
      </c>
      <c r="I267" s="2773"/>
      <c r="J267" s="2774"/>
      <c r="K267" s="2735"/>
      <c r="L267" s="2735"/>
      <c r="M267" s="2735"/>
      <c r="N267" s="2775"/>
      <c r="O267" s="2735"/>
      <c r="P267" s="2735"/>
      <c r="Q267" s="2735"/>
      <c r="R267" s="2735"/>
      <c r="S267" s="2735"/>
      <c r="T267" s="2735"/>
      <c r="U267" s="2772"/>
    </row>
    <row r="268" spans="1:21" ht="21" hidden="1" x14ac:dyDescent="0.25">
      <c r="A268" s="1229"/>
      <c r="B268" s="1182" t="s">
        <v>454</v>
      </c>
      <c r="C268" s="409"/>
      <c r="D268" s="409" t="s">
        <v>463</v>
      </c>
      <c r="E268" s="409" t="s">
        <v>456</v>
      </c>
      <c r="F268" s="1217" t="s">
        <v>30</v>
      </c>
      <c r="G268" s="1662" t="s">
        <v>1</v>
      </c>
      <c r="H268" s="2772"/>
      <c r="I268" s="2773"/>
      <c r="J268" s="2774"/>
      <c r="K268" s="2735"/>
      <c r="L268" s="2735"/>
      <c r="M268" s="2735"/>
      <c r="N268" s="2775"/>
      <c r="O268" s="2735"/>
      <c r="P268" s="2735"/>
      <c r="Q268" s="2735"/>
      <c r="R268" s="2735"/>
      <c r="S268" s="2735"/>
      <c r="T268" s="2735"/>
      <c r="U268" s="2772"/>
    </row>
    <row r="269" spans="1:21" x14ac:dyDescent="0.25">
      <c r="A269" s="842"/>
      <c r="B269" s="753" t="s">
        <v>12</v>
      </c>
      <c r="C269" s="409"/>
      <c r="D269" s="409" t="s">
        <v>463</v>
      </c>
      <c r="E269" s="409" t="s">
        <v>456</v>
      </c>
      <c r="F269" s="409" t="s">
        <v>10</v>
      </c>
      <c r="G269" s="1662"/>
      <c r="H269" s="2772">
        <f>H271</f>
        <v>1061.127</v>
      </c>
      <c r="I269" s="2773">
        <f>I271</f>
        <v>0</v>
      </c>
      <c r="J269" s="2774">
        <f>J271</f>
        <v>0</v>
      </c>
      <c r="K269" s="2735"/>
      <c r="L269" s="2735"/>
      <c r="M269" s="2735"/>
      <c r="N269" s="2775">
        <f>N271</f>
        <v>860.798</v>
      </c>
      <c r="O269" s="2735"/>
      <c r="P269" s="2735"/>
      <c r="Q269" s="2735"/>
      <c r="R269" s="2735"/>
      <c r="S269" s="2735"/>
      <c r="T269" s="2735"/>
      <c r="U269" s="2772">
        <f>U271</f>
        <v>860.798</v>
      </c>
    </row>
    <row r="270" spans="1:21" x14ac:dyDescent="0.25">
      <c r="A270" s="842"/>
      <c r="B270" s="753" t="s">
        <v>948</v>
      </c>
      <c r="C270" s="409"/>
      <c r="D270" s="1217" t="s">
        <v>463</v>
      </c>
      <c r="E270" s="1217" t="s">
        <v>456</v>
      </c>
      <c r="F270" s="1217" t="s">
        <v>10</v>
      </c>
      <c r="G270" s="1662" t="s">
        <v>955</v>
      </c>
      <c r="H270" s="2772">
        <f t="shared" ref="H270:U270" si="62">H271</f>
        <v>1061.127</v>
      </c>
      <c r="I270" s="2773">
        <f t="shared" si="62"/>
        <v>0</v>
      </c>
      <c r="J270" s="2774">
        <f t="shared" si="62"/>
        <v>0</v>
      </c>
      <c r="K270" s="2735">
        <f t="shared" si="62"/>
        <v>0</v>
      </c>
      <c r="L270" s="2735">
        <f t="shared" si="62"/>
        <v>0</v>
      </c>
      <c r="M270" s="2735">
        <f t="shared" si="62"/>
        <v>0</v>
      </c>
      <c r="N270" s="2775">
        <f t="shared" si="62"/>
        <v>860.798</v>
      </c>
      <c r="O270" s="2735">
        <f t="shared" si="62"/>
        <v>0</v>
      </c>
      <c r="P270" s="2735">
        <f t="shared" si="62"/>
        <v>0</v>
      </c>
      <c r="Q270" s="2735">
        <f t="shared" si="62"/>
        <v>0</v>
      </c>
      <c r="R270" s="2735">
        <f t="shared" si="62"/>
        <v>0</v>
      </c>
      <c r="S270" s="2735">
        <f t="shared" si="62"/>
        <v>0</v>
      </c>
      <c r="T270" s="2735">
        <f t="shared" si="62"/>
        <v>0</v>
      </c>
      <c r="U270" s="2772">
        <f t="shared" si="62"/>
        <v>860.798</v>
      </c>
    </row>
    <row r="271" spans="1:21" ht="21" x14ac:dyDescent="0.25">
      <c r="A271" s="1229"/>
      <c r="B271" s="1182" t="s">
        <v>454</v>
      </c>
      <c r="C271" s="409"/>
      <c r="D271" s="1217" t="s">
        <v>463</v>
      </c>
      <c r="E271" s="1217" t="s">
        <v>456</v>
      </c>
      <c r="F271" s="1217" t="s">
        <v>10</v>
      </c>
      <c r="G271" s="1662" t="s">
        <v>1</v>
      </c>
      <c r="H271" s="2772">
        <f>860.797+200.33</f>
        <v>1061.127</v>
      </c>
      <c r="I271" s="2773"/>
      <c r="J271" s="2774"/>
      <c r="K271" s="2745"/>
      <c r="L271" s="2735"/>
      <c r="M271" s="2735"/>
      <c r="N271" s="2775">
        <v>860.798</v>
      </c>
      <c r="O271" s="2735"/>
      <c r="P271" s="2735"/>
      <c r="Q271" s="2735"/>
      <c r="R271" s="2735"/>
      <c r="S271" s="2735"/>
      <c r="T271" s="2735"/>
      <c r="U271" s="2772">
        <v>860.798</v>
      </c>
    </row>
    <row r="272" spans="1:21" x14ac:dyDescent="0.25">
      <c r="A272" s="1234"/>
      <c r="B272" s="1225" t="s">
        <v>530</v>
      </c>
      <c r="C272" s="1227"/>
      <c r="D272" s="1227" t="s">
        <v>463</v>
      </c>
      <c r="E272" s="1227" t="s">
        <v>488</v>
      </c>
      <c r="F272" s="1227"/>
      <c r="G272" s="1665"/>
      <c r="H272" s="2781">
        <f>H273+H283+H314</f>
        <v>10376.122000000001</v>
      </c>
      <c r="I272" s="2782">
        <f>I273+I283+I296</f>
        <v>3670.8</v>
      </c>
      <c r="J272" s="2783">
        <f>J273+J283+J296</f>
        <v>4037.88</v>
      </c>
      <c r="K272" s="2735"/>
      <c r="L272" s="2735"/>
      <c r="M272" s="2735"/>
      <c r="N272" s="2784">
        <f>N273+N283</f>
        <v>6415.5620000000008</v>
      </c>
      <c r="O272" s="2735"/>
      <c r="P272" s="2735"/>
      <c r="Q272" s="2735"/>
      <c r="R272" s="2735"/>
      <c r="S272" s="2735"/>
      <c r="T272" s="2735"/>
      <c r="U272" s="2781">
        <f>U273+U283</f>
        <v>3820.3919999999998</v>
      </c>
    </row>
    <row r="273" spans="1:27" ht="21" x14ac:dyDescent="0.25">
      <c r="A273" s="1234"/>
      <c r="B273" s="1238" t="s">
        <v>884</v>
      </c>
      <c r="C273" s="409"/>
      <c r="D273" s="409" t="s">
        <v>463</v>
      </c>
      <c r="E273" s="409" t="s">
        <v>488</v>
      </c>
      <c r="F273" s="409" t="s">
        <v>196</v>
      </c>
      <c r="G273" s="1662"/>
      <c r="H273" s="2772">
        <f>H274</f>
        <v>9302.8870000000006</v>
      </c>
      <c r="I273" s="2773">
        <f t="shared" ref="I273:J274" si="63">I274</f>
        <v>0</v>
      </c>
      <c r="J273" s="2789">
        <f t="shared" si="63"/>
        <v>0</v>
      </c>
      <c r="K273" s="2745">
        <f>K277</f>
        <v>0</v>
      </c>
      <c r="L273" s="2735"/>
      <c r="M273" s="2735"/>
      <c r="N273" s="2775">
        <f>N277+N282</f>
        <v>5415.5620000000008</v>
      </c>
      <c r="O273" s="2735"/>
      <c r="P273" s="2735"/>
      <c r="Q273" s="2735"/>
      <c r="R273" s="2735"/>
      <c r="S273" s="2735"/>
      <c r="T273" s="2735"/>
      <c r="U273" s="2772">
        <f t="shared" ref="U273" si="64">U274</f>
        <v>2492.16</v>
      </c>
    </row>
    <row r="274" spans="1:27" x14ac:dyDescent="0.25">
      <c r="A274" s="1234"/>
      <c r="B274" s="1203" t="s">
        <v>195</v>
      </c>
      <c r="C274" s="409"/>
      <c r="D274" s="1217" t="s">
        <v>463</v>
      </c>
      <c r="E274" s="1217" t="s">
        <v>488</v>
      </c>
      <c r="F274" s="409" t="s">
        <v>194</v>
      </c>
      <c r="G274" s="1662"/>
      <c r="H274" s="2772">
        <f>H279+H282</f>
        <v>9302.8870000000006</v>
      </c>
      <c r="I274" s="2773">
        <f t="shared" si="63"/>
        <v>0</v>
      </c>
      <c r="J274" s="2789">
        <f t="shared" si="63"/>
        <v>0</v>
      </c>
      <c r="K274" s="2735"/>
      <c r="L274" s="2735"/>
      <c r="M274" s="2735"/>
      <c r="N274" s="2775">
        <f t="shared" ref="N274" si="65">N275</f>
        <v>0</v>
      </c>
      <c r="O274" s="2735"/>
      <c r="P274" s="2735"/>
      <c r="Q274" s="2735"/>
      <c r="R274" s="2735"/>
      <c r="S274" s="2735"/>
      <c r="T274" s="2735"/>
      <c r="U274" s="2772">
        <f>U275+U282</f>
        <v>2492.16</v>
      </c>
    </row>
    <row r="275" spans="1:27" ht="21" x14ac:dyDescent="0.25">
      <c r="A275" s="1234"/>
      <c r="B275" s="1239" t="s">
        <v>1191</v>
      </c>
      <c r="C275" s="1217"/>
      <c r="D275" s="1217" t="s">
        <v>463</v>
      </c>
      <c r="E275" s="1217" t="s">
        <v>488</v>
      </c>
      <c r="F275" s="1217" t="s">
        <v>191</v>
      </c>
      <c r="G275" s="1664"/>
      <c r="H275" s="2772">
        <f>H277</f>
        <v>0</v>
      </c>
      <c r="I275" s="2773">
        <f>I277</f>
        <v>0</v>
      </c>
      <c r="J275" s="2789">
        <f>J277</f>
        <v>0</v>
      </c>
      <c r="K275" s="2735"/>
      <c r="L275" s="2735"/>
      <c r="M275" s="2735"/>
      <c r="N275" s="2775">
        <f>N277</f>
        <v>0</v>
      </c>
      <c r="O275" s="2735"/>
      <c r="P275" s="2735"/>
      <c r="Q275" s="2735"/>
      <c r="R275" s="2735"/>
      <c r="S275" s="2735"/>
      <c r="T275" s="2735"/>
      <c r="U275" s="2772">
        <f>U277</f>
        <v>0</v>
      </c>
    </row>
    <row r="276" spans="1:27" hidden="1" x14ac:dyDescent="0.25">
      <c r="A276" s="1234"/>
      <c r="B276" s="753" t="s">
        <v>948</v>
      </c>
      <c r="C276" s="1217"/>
      <c r="D276" s="1217" t="s">
        <v>463</v>
      </c>
      <c r="E276" s="1217" t="s">
        <v>488</v>
      </c>
      <c r="F276" s="1217" t="s">
        <v>191</v>
      </c>
      <c r="G276" s="1664" t="s">
        <v>955</v>
      </c>
      <c r="H276" s="2772">
        <f t="shared" ref="H276:U276" si="66">H277</f>
        <v>0</v>
      </c>
      <c r="I276" s="2773">
        <f t="shared" si="66"/>
        <v>0</v>
      </c>
      <c r="J276" s="2790">
        <f t="shared" si="66"/>
        <v>0</v>
      </c>
      <c r="K276" s="2735">
        <f t="shared" si="66"/>
        <v>0</v>
      </c>
      <c r="L276" s="2735">
        <f t="shared" si="66"/>
        <v>0</v>
      </c>
      <c r="M276" s="2735">
        <f t="shared" si="66"/>
        <v>0</v>
      </c>
      <c r="N276" s="2775">
        <f t="shared" si="66"/>
        <v>0</v>
      </c>
      <c r="O276" s="2735">
        <f t="shared" si="66"/>
        <v>0</v>
      </c>
      <c r="P276" s="2735">
        <f t="shared" si="66"/>
        <v>0</v>
      </c>
      <c r="Q276" s="2735">
        <f t="shared" si="66"/>
        <v>0</v>
      </c>
      <c r="R276" s="2735">
        <f t="shared" si="66"/>
        <v>0</v>
      </c>
      <c r="S276" s="2735">
        <f t="shared" si="66"/>
        <v>0</v>
      </c>
      <c r="T276" s="2735">
        <f t="shared" si="66"/>
        <v>0</v>
      </c>
      <c r="U276" s="2772">
        <f t="shared" si="66"/>
        <v>0</v>
      </c>
    </row>
    <row r="277" spans="1:27" ht="21" hidden="1" x14ac:dyDescent="0.25">
      <c r="A277" s="1234"/>
      <c r="B277" s="1182" t="s">
        <v>454</v>
      </c>
      <c r="C277" s="409"/>
      <c r="D277" s="1217" t="s">
        <v>463</v>
      </c>
      <c r="E277" s="1217" t="s">
        <v>488</v>
      </c>
      <c r="F277" s="1217" t="s">
        <v>191</v>
      </c>
      <c r="G277" s="1662" t="s">
        <v>1</v>
      </c>
      <c r="H277" s="2772">
        <v>0</v>
      </c>
      <c r="I277" s="2773"/>
      <c r="J277" s="2774"/>
      <c r="K277" s="2735"/>
      <c r="L277" s="2735"/>
      <c r="M277" s="2735"/>
      <c r="N277" s="2775">
        <v>0</v>
      </c>
      <c r="O277" s="2735"/>
      <c r="P277" s="2735"/>
      <c r="Q277" s="2735"/>
      <c r="R277" s="2735"/>
      <c r="S277" s="2735"/>
      <c r="T277" s="2735"/>
      <c r="U277" s="2772">
        <v>0</v>
      </c>
    </row>
    <row r="278" spans="1:27" x14ac:dyDescent="0.25">
      <c r="A278" s="1234"/>
      <c r="B278" s="1242" t="s">
        <v>1061</v>
      </c>
      <c r="C278" s="409"/>
      <c r="D278" s="1217" t="s">
        <v>463</v>
      </c>
      <c r="E278" s="1217" t="s">
        <v>488</v>
      </c>
      <c r="F278" s="1217" t="s">
        <v>191</v>
      </c>
      <c r="G278" s="1662" t="s">
        <v>1060</v>
      </c>
      <c r="H278" s="2772">
        <f>H279</f>
        <v>1426.097</v>
      </c>
      <c r="I278" s="2773"/>
      <c r="J278" s="2790"/>
      <c r="K278" s="2735"/>
      <c r="L278" s="2735"/>
      <c r="M278" s="2735"/>
      <c r="N278" s="2775">
        <v>0</v>
      </c>
      <c r="O278" s="2735"/>
      <c r="P278" s="2735"/>
      <c r="Q278" s="2735"/>
      <c r="R278" s="2735"/>
      <c r="S278" s="2735"/>
      <c r="T278" s="2735"/>
      <c r="U278" s="2772">
        <v>0</v>
      </c>
    </row>
    <row r="279" spans="1:27" x14ac:dyDescent="0.25">
      <c r="A279" s="1234"/>
      <c r="B279" s="1182" t="s">
        <v>481</v>
      </c>
      <c r="C279" s="409"/>
      <c r="D279" s="1217" t="s">
        <v>463</v>
      </c>
      <c r="E279" s="1217" t="s">
        <v>488</v>
      </c>
      <c r="F279" s="1217" t="s">
        <v>191</v>
      </c>
      <c r="G279" s="1662" t="s">
        <v>26</v>
      </c>
      <c r="H279" s="2772">
        <f>600+606+220.097</f>
        <v>1426.097</v>
      </c>
      <c r="I279" s="2773"/>
      <c r="J279" s="2790"/>
      <c r="K279" s="2735"/>
      <c r="L279" s="2735"/>
      <c r="M279" s="2735"/>
      <c r="N279" s="2775">
        <v>0</v>
      </c>
      <c r="O279" s="2735"/>
      <c r="P279" s="2735"/>
      <c r="Q279" s="2735"/>
      <c r="R279" s="2735"/>
      <c r="S279" s="2735"/>
      <c r="T279" s="2735"/>
      <c r="U279" s="2772">
        <v>0</v>
      </c>
    </row>
    <row r="280" spans="1:27" ht="21.65" customHeight="1" x14ac:dyDescent="0.25">
      <c r="A280" s="1234"/>
      <c r="B280" s="1242" t="s">
        <v>193</v>
      </c>
      <c r="C280" s="409"/>
      <c r="D280" s="1217" t="s">
        <v>463</v>
      </c>
      <c r="E280" s="1217" t="s">
        <v>488</v>
      </c>
      <c r="F280" s="1217" t="s">
        <v>1008</v>
      </c>
      <c r="G280" s="1662"/>
      <c r="H280" s="2772">
        <f>H282</f>
        <v>7876.79</v>
      </c>
      <c r="I280" s="2773"/>
      <c r="J280" s="2790"/>
      <c r="K280" s="2735"/>
      <c r="L280" s="2735"/>
      <c r="M280" s="2735"/>
      <c r="N280" s="2775">
        <f>N282</f>
        <v>5415.5620000000008</v>
      </c>
      <c r="O280" s="2735"/>
      <c r="P280" s="2735"/>
      <c r="Q280" s="2735"/>
      <c r="R280" s="2735"/>
      <c r="S280" s="2735"/>
      <c r="T280" s="2735"/>
      <c r="U280" s="2772">
        <f>U282</f>
        <v>2492.16</v>
      </c>
    </row>
    <row r="281" spans="1:27" ht="14.5" customHeight="1" x14ac:dyDescent="0.25">
      <c r="A281" s="1234"/>
      <c r="B281" s="1242" t="s">
        <v>1061</v>
      </c>
      <c r="C281" s="409"/>
      <c r="D281" s="1217" t="s">
        <v>463</v>
      </c>
      <c r="E281" s="1217" t="s">
        <v>488</v>
      </c>
      <c r="F281" s="1217" t="s">
        <v>1008</v>
      </c>
      <c r="G281" s="1662" t="s">
        <v>1060</v>
      </c>
      <c r="H281" s="2772">
        <f t="shared" ref="H281:U281" si="67">H282</f>
        <v>7876.79</v>
      </c>
      <c r="I281" s="2773">
        <f t="shared" si="67"/>
        <v>0</v>
      </c>
      <c r="J281" s="2790">
        <f t="shared" si="67"/>
        <v>0</v>
      </c>
      <c r="K281" s="2735">
        <f t="shared" si="67"/>
        <v>0</v>
      </c>
      <c r="L281" s="2735">
        <f t="shared" si="67"/>
        <v>0</v>
      </c>
      <c r="M281" s="2735">
        <f t="shared" si="67"/>
        <v>0</v>
      </c>
      <c r="N281" s="2775">
        <f t="shared" si="67"/>
        <v>5415.5620000000008</v>
      </c>
      <c r="O281" s="2735">
        <f t="shared" si="67"/>
        <v>0</v>
      </c>
      <c r="P281" s="2735">
        <f t="shared" si="67"/>
        <v>0</v>
      </c>
      <c r="Q281" s="2735">
        <f t="shared" si="67"/>
        <v>0</v>
      </c>
      <c r="R281" s="2735">
        <f t="shared" si="67"/>
        <v>0</v>
      </c>
      <c r="S281" s="2735">
        <f t="shared" si="67"/>
        <v>0</v>
      </c>
      <c r="T281" s="2735">
        <f t="shared" si="67"/>
        <v>0</v>
      </c>
      <c r="U281" s="2772">
        <f t="shared" si="67"/>
        <v>2492.16</v>
      </c>
    </row>
    <row r="282" spans="1:27" x14ac:dyDescent="0.25">
      <c r="A282" s="1234"/>
      <c r="B282" s="1182" t="s">
        <v>481</v>
      </c>
      <c r="C282" s="409"/>
      <c r="D282" s="1217" t="s">
        <v>463</v>
      </c>
      <c r="E282" s="1217" t="s">
        <v>488</v>
      </c>
      <c r="F282" s="1217" t="s">
        <v>1008</v>
      </c>
      <c r="G282" s="1662" t="s">
        <v>26</v>
      </c>
      <c r="H282" s="2772">
        <f>6022.622+1854.168</f>
        <v>7876.79</v>
      </c>
      <c r="I282" s="2773"/>
      <c r="J282" s="2790"/>
      <c r="K282" s="2735"/>
      <c r="L282" s="2735"/>
      <c r="M282" s="2735"/>
      <c r="N282" s="2775">
        <f>15947.492-11122-1375.022+1328.89+636.202</f>
        <v>5415.5620000000008</v>
      </c>
      <c r="O282" s="2735"/>
      <c r="P282" s="2735"/>
      <c r="Q282" s="2735"/>
      <c r="R282" s="2735"/>
      <c r="S282" s="2735"/>
      <c r="T282" s="2735"/>
      <c r="U282" s="2772">
        <f>23.92+2468.24</f>
        <v>2492.16</v>
      </c>
      <c r="AA282" s="1">
        <f>95+5</f>
        <v>100</v>
      </c>
    </row>
    <row r="283" spans="1:27" ht="45.65" customHeight="1" x14ac:dyDescent="0.25">
      <c r="A283" s="1179"/>
      <c r="B283" s="1203" t="s">
        <v>928</v>
      </c>
      <c r="C283" s="409"/>
      <c r="D283" s="409" t="s">
        <v>463</v>
      </c>
      <c r="E283" s="409" t="s">
        <v>488</v>
      </c>
      <c r="F283" s="409" t="s">
        <v>181</v>
      </c>
      <c r="G283" s="1662"/>
      <c r="H283" s="2772">
        <f>H287+H295+H289+H286+H296</f>
        <v>743.23500000000013</v>
      </c>
      <c r="I283" s="2773">
        <f>I284</f>
        <v>3670.8</v>
      </c>
      <c r="J283" s="2789">
        <f>J284</f>
        <v>4037.88</v>
      </c>
      <c r="K283" s="2735"/>
      <c r="L283" s="2735"/>
      <c r="M283" s="2735"/>
      <c r="N283" s="2775">
        <f>N293+N295+N299</f>
        <v>1000</v>
      </c>
      <c r="O283" s="2735"/>
      <c r="P283" s="2735"/>
      <c r="Q283" s="2735"/>
      <c r="R283" s="2735"/>
      <c r="S283" s="2735"/>
      <c r="T283" s="2735"/>
      <c r="U283" s="2772">
        <f>U293+U295+U299</f>
        <v>1328.232</v>
      </c>
    </row>
    <row r="284" spans="1:27" ht="21" hidden="1" x14ac:dyDescent="0.25">
      <c r="A284" s="1240"/>
      <c r="B284" s="1197" t="s">
        <v>180</v>
      </c>
      <c r="C284" s="1217"/>
      <c r="D284" s="1217" t="s">
        <v>463</v>
      </c>
      <c r="E284" s="1217" t="s">
        <v>488</v>
      </c>
      <c r="F284" s="1217" t="s">
        <v>179</v>
      </c>
      <c r="G284" s="1664"/>
      <c r="H284" s="2772">
        <f>H285</f>
        <v>0</v>
      </c>
      <c r="I284" s="2773">
        <f>I285</f>
        <v>3670.8</v>
      </c>
      <c r="J284" s="2789">
        <f>J285</f>
        <v>4037.88</v>
      </c>
      <c r="K284" s="2745">
        <f>K287</f>
        <v>7000</v>
      </c>
      <c r="L284" s="2735"/>
      <c r="M284" s="2735"/>
      <c r="N284" s="2775">
        <f>N285</f>
        <v>0</v>
      </c>
      <c r="O284" s="2735"/>
      <c r="P284" s="2735"/>
      <c r="Q284" s="2735"/>
      <c r="R284" s="2735"/>
      <c r="S284" s="2735"/>
      <c r="T284" s="2735"/>
      <c r="U284" s="2772">
        <f>U285</f>
        <v>0</v>
      </c>
    </row>
    <row r="285" spans="1:27" ht="30" hidden="1" customHeight="1" x14ac:dyDescent="0.25">
      <c r="A285" s="1240"/>
      <c r="B285" s="1197" t="s">
        <v>23</v>
      </c>
      <c r="C285" s="1217"/>
      <c r="D285" s="1217" t="s">
        <v>463</v>
      </c>
      <c r="E285" s="1217" t="s">
        <v>488</v>
      </c>
      <c r="F285" s="1217" t="s">
        <v>178</v>
      </c>
      <c r="G285" s="1664"/>
      <c r="H285" s="2772">
        <f>H286</f>
        <v>0</v>
      </c>
      <c r="I285" s="2773">
        <f>I287+I288</f>
        <v>3670.8</v>
      </c>
      <c r="J285" s="2789">
        <f>J287+J288</f>
        <v>4037.88</v>
      </c>
      <c r="K285" s="2735"/>
      <c r="L285" s="2735"/>
      <c r="M285" s="2735"/>
      <c r="N285" s="2775">
        <f>N287+N288</f>
        <v>0</v>
      </c>
      <c r="O285" s="2735"/>
      <c r="P285" s="2735"/>
      <c r="Q285" s="2735"/>
      <c r="R285" s="2735"/>
      <c r="S285" s="2735"/>
      <c r="T285" s="2735"/>
      <c r="U285" s="2772">
        <f>U287+U288</f>
        <v>0</v>
      </c>
    </row>
    <row r="286" spans="1:27" ht="30" hidden="1" customHeight="1" x14ac:dyDescent="0.25">
      <c r="A286" s="1240"/>
      <c r="B286" s="1182" t="s">
        <v>454</v>
      </c>
      <c r="C286" s="409"/>
      <c r="D286" s="1217" t="s">
        <v>463</v>
      </c>
      <c r="E286" s="1217" t="s">
        <v>488</v>
      </c>
      <c r="F286" s="1217" t="s">
        <v>178</v>
      </c>
      <c r="G286" s="1662" t="s">
        <v>1</v>
      </c>
      <c r="H286" s="2772"/>
      <c r="I286" s="2773"/>
      <c r="J286" s="2790"/>
      <c r="K286" s="2735"/>
      <c r="L286" s="2735"/>
      <c r="M286" s="2735"/>
      <c r="N286" s="2775"/>
      <c r="O286" s="2735"/>
      <c r="P286" s="2735"/>
      <c r="Q286" s="2735"/>
      <c r="R286" s="2735"/>
      <c r="S286" s="2735"/>
      <c r="T286" s="2735"/>
      <c r="U286" s="2772"/>
    </row>
    <row r="287" spans="1:27" hidden="1" x14ac:dyDescent="0.25">
      <c r="A287" s="1229"/>
      <c r="B287" s="1182" t="s">
        <v>481</v>
      </c>
      <c r="C287" s="1217"/>
      <c r="D287" s="1217" t="s">
        <v>463</v>
      </c>
      <c r="E287" s="1217" t="s">
        <v>488</v>
      </c>
      <c r="F287" s="1217" t="s">
        <v>178</v>
      </c>
      <c r="G287" s="1662" t="s">
        <v>26</v>
      </c>
      <c r="H287" s="2793">
        <f>200.001-75.7-124.301</f>
        <v>0</v>
      </c>
      <c r="I287" s="2773">
        <v>3670.8</v>
      </c>
      <c r="J287" s="2774">
        <v>4037.88</v>
      </c>
      <c r="K287" s="2735">
        <v>7000</v>
      </c>
      <c r="L287" s="2735"/>
      <c r="M287" s="2735"/>
      <c r="N287" s="2775"/>
      <c r="O287" s="2735"/>
      <c r="P287" s="2735"/>
      <c r="Q287" s="2735"/>
      <c r="R287" s="2735"/>
      <c r="S287" s="2735"/>
      <c r="T287" s="2735"/>
      <c r="U287" s="2772"/>
    </row>
    <row r="288" spans="1:27" hidden="1" x14ac:dyDescent="0.25">
      <c r="A288" s="1229"/>
      <c r="B288" s="753" t="s">
        <v>528</v>
      </c>
      <c r="C288" s="1217"/>
      <c r="D288" s="1217" t="s">
        <v>463</v>
      </c>
      <c r="E288" s="1217" t="s">
        <v>488</v>
      </c>
      <c r="F288" s="1217" t="s">
        <v>527</v>
      </c>
      <c r="G288" s="1664"/>
      <c r="H288" s="2772">
        <f>H289</f>
        <v>0</v>
      </c>
      <c r="I288" s="2773">
        <f>I289</f>
        <v>0</v>
      </c>
      <c r="J288" s="2774">
        <f>J289</f>
        <v>0</v>
      </c>
      <c r="K288" s="2735"/>
      <c r="L288" s="2735"/>
      <c r="M288" s="2735"/>
      <c r="N288" s="2775">
        <f>N289</f>
        <v>0</v>
      </c>
      <c r="O288" s="2735"/>
      <c r="P288" s="2735"/>
      <c r="Q288" s="2735"/>
      <c r="R288" s="2735"/>
      <c r="S288" s="2735"/>
      <c r="T288" s="2735"/>
      <c r="U288" s="2772">
        <f>U289</f>
        <v>0</v>
      </c>
    </row>
    <row r="289" spans="1:21" ht="21" hidden="1" x14ac:dyDescent="0.25">
      <c r="A289" s="1229"/>
      <c r="B289" s="1182" t="s">
        <v>454</v>
      </c>
      <c r="C289" s="409"/>
      <c r="D289" s="1217" t="s">
        <v>463</v>
      </c>
      <c r="E289" s="1217" t="s">
        <v>488</v>
      </c>
      <c r="F289" s="1217" t="s">
        <v>178</v>
      </c>
      <c r="G289" s="1662" t="s">
        <v>1</v>
      </c>
      <c r="H289" s="2772"/>
      <c r="I289" s="2773"/>
      <c r="J289" s="2774"/>
      <c r="K289" s="2735"/>
      <c r="L289" s="2735"/>
      <c r="M289" s="2735"/>
      <c r="N289" s="2775"/>
      <c r="O289" s="2735"/>
      <c r="P289" s="2735"/>
      <c r="Q289" s="2735"/>
      <c r="R289" s="2735"/>
      <c r="S289" s="2735"/>
      <c r="T289" s="2735"/>
      <c r="U289" s="2772"/>
    </row>
    <row r="290" spans="1:21" ht="21" x14ac:dyDescent="0.25">
      <c r="A290" s="1229"/>
      <c r="B290" s="1197" t="s">
        <v>1009</v>
      </c>
      <c r="C290" s="409"/>
      <c r="D290" s="1217" t="s">
        <v>463</v>
      </c>
      <c r="E290" s="1217" t="s">
        <v>488</v>
      </c>
      <c r="F290" s="1217" t="s">
        <v>1010</v>
      </c>
      <c r="G290" s="1662"/>
      <c r="H290" s="2772">
        <f>H291</f>
        <v>743.23500000000013</v>
      </c>
      <c r="I290" s="2773"/>
      <c r="J290" s="2790"/>
      <c r="K290" s="2735"/>
      <c r="L290" s="2735"/>
      <c r="M290" s="2735"/>
      <c r="N290" s="2775">
        <f>N291</f>
        <v>1000</v>
      </c>
      <c r="O290" s="2735"/>
      <c r="P290" s="2735"/>
      <c r="Q290" s="2735"/>
      <c r="R290" s="2735"/>
      <c r="S290" s="2735"/>
      <c r="T290" s="2735"/>
      <c r="U290" s="2772">
        <f>U291</f>
        <v>1000</v>
      </c>
    </row>
    <row r="291" spans="1:21" ht="21" customHeight="1" x14ac:dyDescent="0.25">
      <c r="A291" s="1229"/>
      <c r="B291" s="1868" t="s">
        <v>1011</v>
      </c>
      <c r="C291" s="409"/>
      <c r="D291" s="1217" t="s">
        <v>463</v>
      </c>
      <c r="E291" s="1217" t="s">
        <v>488</v>
      </c>
      <c r="F291" s="1231" t="s">
        <v>1012</v>
      </c>
      <c r="G291" s="1662"/>
      <c r="H291" s="2772">
        <f>H295+H293</f>
        <v>743.23500000000013</v>
      </c>
      <c r="I291" s="2773"/>
      <c r="J291" s="2790"/>
      <c r="K291" s="2735"/>
      <c r="L291" s="2735"/>
      <c r="M291" s="2735"/>
      <c r="N291" s="2775">
        <f>N295+N293</f>
        <v>1000</v>
      </c>
      <c r="O291" s="2735"/>
      <c r="P291" s="2735"/>
      <c r="Q291" s="2735"/>
      <c r="R291" s="2735"/>
      <c r="S291" s="2735"/>
      <c r="T291" s="2735"/>
      <c r="U291" s="2772">
        <f>U295+U293</f>
        <v>1000</v>
      </c>
    </row>
    <row r="292" spans="1:21" ht="21" hidden="1" customHeight="1" x14ac:dyDescent="0.25">
      <c r="A292" s="1229"/>
      <c r="B292" s="1242" t="s">
        <v>948</v>
      </c>
      <c r="C292" s="409"/>
      <c r="D292" s="1217" t="s">
        <v>463</v>
      </c>
      <c r="E292" s="1217" t="s">
        <v>488</v>
      </c>
      <c r="F292" s="1231" t="s">
        <v>1012</v>
      </c>
      <c r="G292" s="1662" t="s">
        <v>955</v>
      </c>
      <c r="H292" s="2772">
        <f t="shared" ref="H292:U292" si="68">H293</f>
        <v>0</v>
      </c>
      <c r="I292" s="2773">
        <f t="shared" si="68"/>
        <v>0</v>
      </c>
      <c r="J292" s="2790">
        <f t="shared" si="68"/>
        <v>0</v>
      </c>
      <c r="K292" s="2735">
        <f t="shared" si="68"/>
        <v>0</v>
      </c>
      <c r="L292" s="2735">
        <f t="shared" si="68"/>
        <v>0</v>
      </c>
      <c r="M292" s="2735">
        <f t="shared" si="68"/>
        <v>0</v>
      </c>
      <c r="N292" s="2775">
        <f t="shared" si="68"/>
        <v>0</v>
      </c>
      <c r="O292" s="2735">
        <f t="shared" si="68"/>
        <v>0</v>
      </c>
      <c r="P292" s="2735">
        <f t="shared" si="68"/>
        <v>0</v>
      </c>
      <c r="Q292" s="2735">
        <f t="shared" si="68"/>
        <v>0</v>
      </c>
      <c r="R292" s="2735">
        <f t="shared" si="68"/>
        <v>0</v>
      </c>
      <c r="S292" s="2735">
        <f t="shared" si="68"/>
        <v>0</v>
      </c>
      <c r="T292" s="2735">
        <f t="shared" si="68"/>
        <v>0</v>
      </c>
      <c r="U292" s="2772">
        <f t="shared" si="68"/>
        <v>0</v>
      </c>
    </row>
    <row r="293" spans="1:21" ht="21" hidden="1" customHeight="1" x14ac:dyDescent="0.25">
      <c r="A293" s="1229"/>
      <c r="B293" s="1242" t="s">
        <v>454</v>
      </c>
      <c r="C293" s="409"/>
      <c r="D293" s="1217" t="s">
        <v>463</v>
      </c>
      <c r="E293" s="1217" t="s">
        <v>488</v>
      </c>
      <c r="F293" s="1231" t="s">
        <v>1012</v>
      </c>
      <c r="G293" s="1662" t="s">
        <v>1</v>
      </c>
      <c r="H293" s="2772">
        <v>0</v>
      </c>
      <c r="I293" s="2773"/>
      <c r="J293" s="2790"/>
      <c r="K293" s="2735"/>
      <c r="L293" s="2735"/>
      <c r="M293" s="2735"/>
      <c r="N293" s="2775">
        <v>0</v>
      </c>
      <c r="O293" s="2735"/>
      <c r="P293" s="2735"/>
      <c r="Q293" s="2735"/>
      <c r="R293" s="2735"/>
      <c r="S293" s="2735"/>
      <c r="T293" s="2735"/>
      <c r="U293" s="2772">
        <v>0</v>
      </c>
    </row>
    <row r="294" spans="1:21" ht="21" customHeight="1" x14ac:dyDescent="0.25">
      <c r="A294" s="1229"/>
      <c r="B294" s="1242" t="s">
        <v>1068</v>
      </c>
      <c r="C294" s="409"/>
      <c r="D294" s="1217" t="s">
        <v>463</v>
      </c>
      <c r="E294" s="1217" t="s">
        <v>488</v>
      </c>
      <c r="F294" s="1231" t="s">
        <v>1012</v>
      </c>
      <c r="G294" s="1662" t="s">
        <v>1064</v>
      </c>
      <c r="H294" s="2772">
        <f t="shared" ref="H294:U294" si="69">H295</f>
        <v>743.23500000000013</v>
      </c>
      <c r="I294" s="2773">
        <f t="shared" si="69"/>
        <v>0</v>
      </c>
      <c r="J294" s="2790">
        <f t="shared" si="69"/>
        <v>0</v>
      </c>
      <c r="K294" s="2735">
        <f t="shared" si="69"/>
        <v>0</v>
      </c>
      <c r="L294" s="2735">
        <f t="shared" si="69"/>
        <v>0</v>
      </c>
      <c r="M294" s="2735">
        <f t="shared" si="69"/>
        <v>0</v>
      </c>
      <c r="N294" s="2775">
        <f t="shared" si="69"/>
        <v>1000</v>
      </c>
      <c r="O294" s="2735">
        <f t="shared" si="69"/>
        <v>0</v>
      </c>
      <c r="P294" s="2735">
        <f t="shared" si="69"/>
        <v>0</v>
      </c>
      <c r="Q294" s="2735">
        <f t="shared" si="69"/>
        <v>0</v>
      </c>
      <c r="R294" s="2735">
        <f t="shared" si="69"/>
        <v>0</v>
      </c>
      <c r="S294" s="2735">
        <f t="shared" si="69"/>
        <v>0</v>
      </c>
      <c r="T294" s="2735">
        <f t="shared" si="69"/>
        <v>0</v>
      </c>
      <c r="U294" s="2772">
        <f t="shared" si="69"/>
        <v>1000</v>
      </c>
    </row>
    <row r="295" spans="1:21" ht="21" x14ac:dyDescent="0.25">
      <c r="A295" s="1229"/>
      <c r="B295" s="1242" t="s">
        <v>523</v>
      </c>
      <c r="C295" s="409"/>
      <c r="D295" s="1217" t="s">
        <v>463</v>
      </c>
      <c r="E295" s="1217" t="s">
        <v>488</v>
      </c>
      <c r="F295" s="1231" t="s">
        <v>1012</v>
      </c>
      <c r="G295" s="1662" t="s">
        <v>521</v>
      </c>
      <c r="H295" s="2772">
        <f>2243.235-1500</f>
        <v>743.23500000000013</v>
      </c>
      <c r="I295" s="2773"/>
      <c r="J295" s="2790"/>
      <c r="K295" s="2735"/>
      <c r="L295" s="2735"/>
      <c r="M295" s="2735"/>
      <c r="N295" s="2775">
        <v>1000</v>
      </c>
      <c r="O295" s="2735"/>
      <c r="P295" s="2735"/>
      <c r="Q295" s="2735"/>
      <c r="R295" s="2735"/>
      <c r="S295" s="2735"/>
      <c r="T295" s="2735"/>
      <c r="U295" s="2772">
        <v>1000</v>
      </c>
    </row>
    <row r="296" spans="1:21" ht="27.75" customHeight="1" x14ac:dyDescent="0.25">
      <c r="A296" s="1240"/>
      <c r="B296" s="1197" t="s">
        <v>1159</v>
      </c>
      <c r="C296" s="1217"/>
      <c r="D296" s="1217" t="s">
        <v>463</v>
      </c>
      <c r="E296" s="1217" t="s">
        <v>488</v>
      </c>
      <c r="F296" s="1217" t="s">
        <v>1157</v>
      </c>
      <c r="G296" s="1664"/>
      <c r="H296" s="2772">
        <f>H297</f>
        <v>0</v>
      </c>
      <c r="I296" s="2773">
        <f>I297</f>
        <v>0</v>
      </c>
      <c r="J296" s="2789">
        <f>J297</f>
        <v>0</v>
      </c>
      <c r="K296" s="2735"/>
      <c r="L296" s="2735"/>
      <c r="M296" s="2735"/>
      <c r="N296" s="2775">
        <f>N297</f>
        <v>0</v>
      </c>
      <c r="O296" s="2735"/>
      <c r="P296" s="2735"/>
      <c r="Q296" s="2735"/>
      <c r="R296" s="2735"/>
      <c r="S296" s="2735"/>
      <c r="T296" s="2735"/>
      <c r="U296" s="2772">
        <f>U297</f>
        <v>328.23200000000003</v>
      </c>
    </row>
    <row r="297" spans="1:21" ht="21" x14ac:dyDescent="0.25">
      <c r="A297" s="1240"/>
      <c r="B297" s="1180" t="s">
        <v>1160</v>
      </c>
      <c r="C297" s="1217"/>
      <c r="D297" s="1217" t="s">
        <v>463</v>
      </c>
      <c r="E297" s="1217" t="s">
        <v>488</v>
      </c>
      <c r="F297" s="1231" t="s">
        <v>1158</v>
      </c>
      <c r="G297" s="1664"/>
      <c r="H297" s="2772">
        <f>H298</f>
        <v>0</v>
      </c>
      <c r="I297" s="2773">
        <f t="shared" ref="I297:J299" si="70">I298</f>
        <v>0</v>
      </c>
      <c r="J297" s="2789">
        <f t="shared" si="70"/>
        <v>0</v>
      </c>
      <c r="K297" s="2735"/>
      <c r="L297" s="2735"/>
      <c r="M297" s="2735"/>
      <c r="N297" s="2775">
        <f>N298</f>
        <v>0</v>
      </c>
      <c r="O297" s="2735"/>
      <c r="P297" s="2735"/>
      <c r="Q297" s="2735"/>
      <c r="R297" s="2735"/>
      <c r="S297" s="2735"/>
      <c r="T297" s="2735"/>
      <c r="U297" s="2772">
        <f>U298</f>
        <v>328.23200000000003</v>
      </c>
    </row>
    <row r="298" spans="1:21" x14ac:dyDescent="0.25">
      <c r="A298" s="1229"/>
      <c r="B298" s="753" t="s">
        <v>1068</v>
      </c>
      <c r="C298" s="1217"/>
      <c r="D298" s="1217" t="s">
        <v>463</v>
      </c>
      <c r="E298" s="1217" t="s">
        <v>488</v>
      </c>
      <c r="F298" s="1231" t="s">
        <v>1158</v>
      </c>
      <c r="G298" s="1664" t="s">
        <v>1064</v>
      </c>
      <c r="H298" s="2772">
        <f>H299</f>
        <v>0</v>
      </c>
      <c r="I298" s="2773">
        <f t="shared" si="70"/>
        <v>0</v>
      </c>
      <c r="J298" s="2789">
        <f t="shared" si="70"/>
        <v>0</v>
      </c>
      <c r="K298" s="2735"/>
      <c r="L298" s="2735"/>
      <c r="M298" s="2735"/>
      <c r="N298" s="2775">
        <f>N299</f>
        <v>0</v>
      </c>
      <c r="O298" s="2735"/>
      <c r="P298" s="2735"/>
      <c r="Q298" s="2735"/>
      <c r="R298" s="2735"/>
      <c r="S298" s="2735"/>
      <c r="T298" s="2735"/>
      <c r="U298" s="2772">
        <f>U299</f>
        <v>328.23200000000003</v>
      </c>
    </row>
    <row r="299" spans="1:21" ht="21" x14ac:dyDescent="0.25">
      <c r="A299" s="1234"/>
      <c r="B299" s="1242" t="s">
        <v>523</v>
      </c>
      <c r="C299" s="409"/>
      <c r="D299" s="1217" t="s">
        <v>463</v>
      </c>
      <c r="E299" s="1217" t="s">
        <v>488</v>
      </c>
      <c r="F299" s="1231" t="s">
        <v>1158</v>
      </c>
      <c r="G299" s="1664" t="s">
        <v>521</v>
      </c>
      <c r="H299" s="2772">
        <v>0</v>
      </c>
      <c r="I299" s="2773">
        <f t="shared" si="70"/>
        <v>0</v>
      </c>
      <c r="J299" s="2789">
        <f t="shared" si="70"/>
        <v>0</v>
      </c>
      <c r="K299" s="2735"/>
      <c r="L299" s="2735"/>
      <c r="M299" s="2735"/>
      <c r="N299" s="2775">
        <v>0</v>
      </c>
      <c r="O299" s="2735"/>
      <c r="P299" s="2735"/>
      <c r="Q299" s="2735"/>
      <c r="R299" s="2735"/>
      <c r="S299" s="2735"/>
      <c r="T299" s="2735"/>
      <c r="U299" s="2772">
        <v>328.23200000000003</v>
      </c>
    </row>
    <row r="300" spans="1:21" hidden="1" x14ac:dyDescent="0.25">
      <c r="A300" s="1234"/>
      <c r="B300" s="1242" t="s">
        <v>481</v>
      </c>
      <c r="C300" s="1217"/>
      <c r="D300" s="1217" t="s">
        <v>463</v>
      </c>
      <c r="E300" s="1217" t="s">
        <v>488</v>
      </c>
      <c r="F300" s="409" t="s">
        <v>524</v>
      </c>
      <c r="G300" s="1662" t="s">
        <v>26</v>
      </c>
      <c r="H300" s="2772">
        <f>4900-4900</f>
        <v>0</v>
      </c>
      <c r="I300" s="2773"/>
      <c r="J300" s="2774"/>
      <c r="K300" s="2735"/>
      <c r="L300" s="2735"/>
      <c r="M300" s="2735"/>
      <c r="N300" s="2775"/>
      <c r="O300" s="2735"/>
      <c r="P300" s="2735"/>
      <c r="Q300" s="2735"/>
      <c r="R300" s="2735"/>
      <c r="S300" s="2735"/>
      <c r="T300" s="2735"/>
      <c r="U300" s="2772"/>
    </row>
    <row r="301" spans="1:21" ht="21" hidden="1" x14ac:dyDescent="0.25">
      <c r="A301" s="1234"/>
      <c r="B301" s="1242" t="s">
        <v>929</v>
      </c>
      <c r="C301" s="409"/>
      <c r="D301" s="1217" t="s">
        <v>463</v>
      </c>
      <c r="E301" s="1217" t="s">
        <v>488</v>
      </c>
      <c r="F301" s="1217" t="s">
        <v>89</v>
      </c>
      <c r="G301" s="1662"/>
      <c r="H301" s="2772">
        <f>H302</f>
        <v>0</v>
      </c>
      <c r="I301" s="2773"/>
      <c r="J301" s="2774"/>
      <c r="K301" s="2735"/>
      <c r="L301" s="2735"/>
      <c r="M301" s="2735"/>
      <c r="N301" s="2775"/>
      <c r="O301" s="2735"/>
      <c r="P301" s="2735"/>
      <c r="Q301" s="2735"/>
      <c r="R301" s="2735"/>
      <c r="S301" s="2735"/>
      <c r="T301" s="2735"/>
      <c r="U301" s="2772"/>
    </row>
    <row r="302" spans="1:21" hidden="1" x14ac:dyDescent="0.25">
      <c r="A302" s="1234"/>
      <c r="B302" s="1242" t="s">
        <v>109</v>
      </c>
      <c r="C302" s="409"/>
      <c r="D302" s="1217" t="s">
        <v>463</v>
      </c>
      <c r="E302" s="1217" t="s">
        <v>488</v>
      </c>
      <c r="F302" s="1217" t="s">
        <v>84</v>
      </c>
      <c r="G302" s="1662"/>
      <c r="H302" s="2772">
        <f>H303</f>
        <v>0</v>
      </c>
      <c r="I302" s="2773"/>
      <c r="J302" s="2774"/>
      <c r="K302" s="2735"/>
      <c r="L302" s="2735"/>
      <c r="M302" s="2735"/>
      <c r="N302" s="2775"/>
      <c r="O302" s="2735"/>
      <c r="P302" s="2735"/>
      <c r="Q302" s="2735"/>
      <c r="R302" s="2735"/>
      <c r="S302" s="2735"/>
      <c r="T302" s="2735"/>
      <c r="U302" s="2772"/>
    </row>
    <row r="303" spans="1:21" hidden="1" x14ac:dyDescent="0.25">
      <c r="A303" s="1234"/>
      <c r="B303" s="1242" t="s">
        <v>109</v>
      </c>
      <c r="C303" s="409"/>
      <c r="D303" s="1217" t="s">
        <v>463</v>
      </c>
      <c r="E303" s="1217" t="s">
        <v>488</v>
      </c>
      <c r="F303" s="1217" t="s">
        <v>82</v>
      </c>
      <c r="G303" s="1662"/>
      <c r="H303" s="2772">
        <f>H305+H313</f>
        <v>0</v>
      </c>
      <c r="I303" s="2773"/>
      <c r="J303" s="2774"/>
      <c r="K303" s="2735"/>
      <c r="L303" s="2735"/>
      <c r="M303" s="2735"/>
      <c r="N303" s="2775"/>
      <c r="O303" s="2735"/>
      <c r="P303" s="2735"/>
      <c r="Q303" s="2735"/>
      <c r="R303" s="2735"/>
      <c r="S303" s="2735"/>
      <c r="T303" s="2735"/>
      <c r="U303" s="2772"/>
    </row>
    <row r="304" spans="1:21" ht="34.5" hidden="1" customHeight="1" x14ac:dyDescent="0.25">
      <c r="A304" s="1234"/>
      <c r="B304" s="1242" t="s">
        <v>922</v>
      </c>
      <c r="C304" s="409"/>
      <c r="D304" s="1217" t="s">
        <v>463</v>
      </c>
      <c r="E304" s="1217" t="s">
        <v>488</v>
      </c>
      <c r="F304" s="1217" t="s">
        <v>923</v>
      </c>
      <c r="G304" s="1662"/>
      <c r="H304" s="2772">
        <f>H305</f>
        <v>0</v>
      </c>
      <c r="I304" s="2773"/>
      <c r="J304" s="2774"/>
      <c r="K304" s="2735"/>
      <c r="L304" s="2735"/>
      <c r="M304" s="2735"/>
      <c r="N304" s="2775"/>
      <c r="O304" s="2735"/>
      <c r="P304" s="2735"/>
      <c r="Q304" s="2735"/>
      <c r="R304" s="2735"/>
      <c r="S304" s="2735"/>
      <c r="T304" s="2735"/>
      <c r="U304" s="2772"/>
    </row>
    <row r="305" spans="1:21" ht="21" hidden="1" x14ac:dyDescent="0.25">
      <c r="A305" s="1234"/>
      <c r="B305" s="1242" t="s">
        <v>523</v>
      </c>
      <c r="C305" s="409"/>
      <c r="D305" s="1217" t="s">
        <v>463</v>
      </c>
      <c r="E305" s="1217" t="s">
        <v>488</v>
      </c>
      <c r="F305" s="1217" t="s">
        <v>923</v>
      </c>
      <c r="G305" s="1662" t="s">
        <v>521</v>
      </c>
      <c r="H305" s="2772"/>
      <c r="I305" s="2773"/>
      <c r="J305" s="2774"/>
      <c r="K305" s="2735"/>
      <c r="L305" s="2735"/>
      <c r="M305" s="2735"/>
      <c r="N305" s="2775"/>
      <c r="O305" s="2735"/>
      <c r="P305" s="2735"/>
      <c r="Q305" s="2735"/>
      <c r="R305" s="2735"/>
      <c r="S305" s="2735"/>
      <c r="T305" s="2735"/>
      <c r="U305" s="2772"/>
    </row>
    <row r="306" spans="1:21" ht="24.75" hidden="1" customHeight="1" x14ac:dyDescent="0.25">
      <c r="A306" s="1234"/>
      <c r="B306" s="1242" t="s">
        <v>930</v>
      </c>
      <c r="C306" s="409"/>
      <c r="D306" s="1217" t="s">
        <v>463</v>
      </c>
      <c r="E306" s="1217" t="s">
        <v>488</v>
      </c>
      <c r="F306" s="1217" t="s">
        <v>925</v>
      </c>
      <c r="G306" s="1662"/>
      <c r="H306" s="2772"/>
      <c r="I306" s="2773"/>
      <c r="J306" s="2790"/>
      <c r="K306" s="2735"/>
      <c r="L306" s="2735"/>
      <c r="M306" s="2735"/>
      <c r="N306" s="2775"/>
      <c r="O306" s="2735"/>
      <c r="P306" s="2735"/>
      <c r="Q306" s="2735"/>
      <c r="R306" s="2735"/>
      <c r="S306" s="2735"/>
      <c r="T306" s="2735"/>
      <c r="U306" s="2772"/>
    </row>
    <row r="307" spans="1:21" hidden="1" x14ac:dyDescent="0.25">
      <c r="A307" s="1234"/>
      <c r="B307" s="1242" t="s">
        <v>109</v>
      </c>
      <c r="C307" s="409"/>
      <c r="D307" s="1217" t="s">
        <v>463</v>
      </c>
      <c r="E307" s="1217" t="s">
        <v>488</v>
      </c>
      <c r="F307" s="1217" t="s">
        <v>925</v>
      </c>
      <c r="G307" s="1662"/>
      <c r="H307" s="2772"/>
      <c r="I307" s="2773"/>
      <c r="J307" s="2790"/>
      <c r="K307" s="2735"/>
      <c r="L307" s="2735"/>
      <c r="M307" s="2735"/>
      <c r="N307" s="2775"/>
      <c r="O307" s="2735"/>
      <c r="P307" s="2735"/>
      <c r="Q307" s="2735"/>
      <c r="R307" s="2735"/>
      <c r="S307" s="2735"/>
      <c r="T307" s="2735"/>
      <c r="U307" s="2772"/>
    </row>
    <row r="308" spans="1:21" hidden="1" x14ac:dyDescent="0.25">
      <c r="A308" s="1234"/>
      <c r="B308" s="1242" t="s">
        <v>109</v>
      </c>
      <c r="C308" s="409"/>
      <c r="D308" s="1217" t="s">
        <v>463</v>
      </c>
      <c r="E308" s="1217" t="s">
        <v>488</v>
      </c>
      <c r="F308" s="1217" t="s">
        <v>925</v>
      </c>
      <c r="G308" s="1662"/>
      <c r="H308" s="2772"/>
      <c r="I308" s="2773"/>
      <c r="J308" s="2790"/>
      <c r="K308" s="2735"/>
      <c r="L308" s="2735"/>
      <c r="M308" s="2735"/>
      <c r="N308" s="2775"/>
      <c r="O308" s="2735"/>
      <c r="P308" s="2735"/>
      <c r="Q308" s="2735"/>
      <c r="R308" s="2735"/>
      <c r="S308" s="2735"/>
      <c r="T308" s="2735"/>
      <c r="U308" s="2772"/>
    </row>
    <row r="309" spans="1:21" ht="21" x14ac:dyDescent="0.25">
      <c r="A309" s="1234"/>
      <c r="B309" s="1242" t="s">
        <v>499</v>
      </c>
      <c r="C309" s="409"/>
      <c r="D309" s="1217" t="s">
        <v>463</v>
      </c>
      <c r="E309" s="1217" t="s">
        <v>488</v>
      </c>
      <c r="F309" s="409" t="s">
        <v>89</v>
      </c>
      <c r="G309" s="1662"/>
      <c r="H309" s="2772">
        <f>H310</f>
        <v>330</v>
      </c>
      <c r="I309" s="2773"/>
      <c r="J309" s="2790"/>
      <c r="K309" s="2735"/>
      <c r="L309" s="2735"/>
      <c r="M309" s="2735"/>
      <c r="N309" s="2775">
        <f>N310</f>
        <v>0</v>
      </c>
      <c r="O309" s="2735"/>
      <c r="P309" s="2735"/>
      <c r="Q309" s="2735"/>
      <c r="R309" s="2735"/>
      <c r="S309" s="2735"/>
      <c r="T309" s="2735"/>
      <c r="U309" s="2772">
        <f>U310</f>
        <v>0</v>
      </c>
    </row>
    <row r="310" spans="1:21" x14ac:dyDescent="0.25">
      <c r="A310" s="1234"/>
      <c r="B310" s="1242" t="s">
        <v>109</v>
      </c>
      <c r="C310" s="409"/>
      <c r="D310" s="1217" t="s">
        <v>463</v>
      </c>
      <c r="E310" s="1217" t="s">
        <v>488</v>
      </c>
      <c r="F310" s="409" t="s">
        <v>84</v>
      </c>
      <c r="G310" s="1662"/>
      <c r="H310" s="2772">
        <f>H314</f>
        <v>330</v>
      </c>
      <c r="I310" s="2773"/>
      <c r="J310" s="2790"/>
      <c r="K310" s="2735"/>
      <c r="L310" s="2735"/>
      <c r="M310" s="2735"/>
      <c r="N310" s="2775">
        <f>N314</f>
        <v>0</v>
      </c>
      <c r="O310" s="2735"/>
      <c r="P310" s="2735"/>
      <c r="Q310" s="2735"/>
      <c r="R310" s="2735"/>
      <c r="S310" s="2735"/>
      <c r="T310" s="2735"/>
      <c r="U310" s="2772">
        <f>U314</f>
        <v>0</v>
      </c>
    </row>
    <row r="311" spans="1:21" hidden="1" x14ac:dyDescent="0.25">
      <c r="A311" s="1234"/>
      <c r="B311" s="1242" t="s">
        <v>109</v>
      </c>
      <c r="C311" s="409"/>
      <c r="D311" s="1217" t="s">
        <v>463</v>
      </c>
      <c r="E311" s="1217" t="s">
        <v>488</v>
      </c>
      <c r="F311" s="1217" t="s">
        <v>82</v>
      </c>
      <c r="G311" s="1662"/>
      <c r="H311" s="2772">
        <f>H312</f>
        <v>0</v>
      </c>
      <c r="I311" s="2773"/>
      <c r="J311" s="2790"/>
      <c r="K311" s="2735"/>
      <c r="L311" s="2735"/>
      <c r="M311" s="2735"/>
      <c r="N311" s="2775"/>
      <c r="O311" s="2735"/>
      <c r="P311" s="2735"/>
      <c r="Q311" s="2735"/>
      <c r="R311" s="2735"/>
      <c r="S311" s="2735"/>
      <c r="T311" s="2735"/>
      <c r="U311" s="2772"/>
    </row>
    <row r="312" spans="1:21" ht="21" hidden="1" x14ac:dyDescent="0.25">
      <c r="A312" s="1234"/>
      <c r="B312" s="1242" t="s">
        <v>930</v>
      </c>
      <c r="C312" s="409"/>
      <c r="D312" s="1217" t="s">
        <v>463</v>
      </c>
      <c r="E312" s="1217" t="s">
        <v>488</v>
      </c>
      <c r="F312" s="1217" t="s">
        <v>925</v>
      </c>
      <c r="G312" s="1662"/>
      <c r="H312" s="2772">
        <f>H313</f>
        <v>0</v>
      </c>
      <c r="I312" s="2773"/>
      <c r="J312" s="2790"/>
      <c r="K312" s="2735"/>
      <c r="L312" s="2735"/>
      <c r="M312" s="2735"/>
      <c r="N312" s="2775">
        <f>N313</f>
        <v>0</v>
      </c>
      <c r="O312" s="2735"/>
      <c r="P312" s="2735"/>
      <c r="Q312" s="2735"/>
      <c r="R312" s="2735"/>
      <c r="S312" s="2735"/>
      <c r="T312" s="2735"/>
      <c r="U312" s="2772">
        <f>U313</f>
        <v>0</v>
      </c>
    </row>
    <row r="313" spans="1:21" ht="21" hidden="1" x14ac:dyDescent="0.25">
      <c r="A313" s="1234"/>
      <c r="B313" s="1242" t="s">
        <v>523</v>
      </c>
      <c r="C313" s="409"/>
      <c r="D313" s="1217" t="s">
        <v>463</v>
      </c>
      <c r="E313" s="1217" t="s">
        <v>488</v>
      </c>
      <c r="F313" s="1217" t="s">
        <v>925</v>
      </c>
      <c r="G313" s="1662" t="s">
        <v>521</v>
      </c>
      <c r="H313" s="2772"/>
      <c r="I313" s="2773"/>
      <c r="J313" s="2790"/>
      <c r="K313" s="2735"/>
      <c r="L313" s="2735"/>
      <c r="M313" s="2735"/>
      <c r="N313" s="2775"/>
      <c r="O313" s="2735"/>
      <c r="P313" s="2735"/>
      <c r="Q313" s="2735"/>
      <c r="R313" s="2735"/>
      <c r="S313" s="2735"/>
      <c r="T313" s="2735"/>
      <c r="U313" s="2772"/>
    </row>
    <row r="314" spans="1:21" x14ac:dyDescent="0.25">
      <c r="A314" s="1234"/>
      <c r="B314" s="1242" t="s">
        <v>109</v>
      </c>
      <c r="C314" s="409"/>
      <c r="D314" s="1217" t="s">
        <v>463</v>
      </c>
      <c r="E314" s="1217" t="s">
        <v>488</v>
      </c>
      <c r="F314" s="1217" t="s">
        <v>82</v>
      </c>
      <c r="G314" s="1662"/>
      <c r="H314" s="2772">
        <f>H317+H320+H322</f>
        <v>330</v>
      </c>
      <c r="I314" s="2773"/>
      <c r="J314" s="2790"/>
      <c r="K314" s="2735"/>
      <c r="L314" s="2735"/>
      <c r="M314" s="2735"/>
      <c r="N314" s="2775">
        <f>N317+N320</f>
        <v>0</v>
      </c>
      <c r="O314" s="2735"/>
      <c r="P314" s="2735"/>
      <c r="Q314" s="2735"/>
      <c r="R314" s="2735"/>
      <c r="S314" s="2735"/>
      <c r="T314" s="2735"/>
      <c r="U314" s="2772">
        <f>U317+U320</f>
        <v>0</v>
      </c>
    </row>
    <row r="315" spans="1:21" ht="21.65" customHeight="1" x14ac:dyDescent="0.25">
      <c r="A315" s="1234"/>
      <c r="B315" s="1242" t="s">
        <v>1190</v>
      </c>
      <c r="C315" s="409"/>
      <c r="D315" s="1217" t="s">
        <v>463</v>
      </c>
      <c r="E315" s="1217" t="s">
        <v>488</v>
      </c>
      <c r="F315" s="1217" t="s">
        <v>1177</v>
      </c>
      <c r="G315" s="1662"/>
      <c r="H315" s="2772">
        <f>H316</f>
        <v>330</v>
      </c>
      <c r="I315" s="2773"/>
      <c r="J315" s="2790"/>
      <c r="K315" s="2735"/>
      <c r="L315" s="2735"/>
      <c r="M315" s="2735"/>
      <c r="N315" s="2775">
        <v>0</v>
      </c>
      <c r="O315" s="2735"/>
      <c r="P315" s="2735"/>
      <c r="Q315" s="2735"/>
      <c r="R315" s="2735"/>
      <c r="S315" s="2735"/>
      <c r="T315" s="2735"/>
      <c r="U315" s="2772">
        <v>0</v>
      </c>
    </row>
    <row r="316" spans="1:21" x14ac:dyDescent="0.25">
      <c r="A316" s="1234"/>
      <c r="B316" s="753" t="s">
        <v>948</v>
      </c>
      <c r="C316" s="409"/>
      <c r="D316" s="1217" t="s">
        <v>463</v>
      </c>
      <c r="E316" s="1217" t="s">
        <v>488</v>
      </c>
      <c r="F316" s="1217" t="s">
        <v>1177</v>
      </c>
      <c r="G316" s="1664" t="s">
        <v>955</v>
      </c>
      <c r="H316" s="2772">
        <f>H317</f>
        <v>330</v>
      </c>
      <c r="I316" s="2773"/>
      <c r="J316" s="2790"/>
      <c r="K316" s="2735"/>
      <c r="L316" s="2735"/>
      <c r="M316" s="2735"/>
      <c r="N316" s="2775">
        <v>0</v>
      </c>
      <c r="O316" s="2735"/>
      <c r="P316" s="2735"/>
      <c r="Q316" s="2735"/>
      <c r="R316" s="2735"/>
      <c r="S316" s="2735"/>
      <c r="T316" s="2735"/>
      <c r="U316" s="2772">
        <v>0</v>
      </c>
    </row>
    <row r="317" spans="1:21" x14ac:dyDescent="0.25">
      <c r="A317" s="1234"/>
      <c r="B317" s="1242" t="s">
        <v>454</v>
      </c>
      <c r="C317" s="409"/>
      <c r="D317" s="1217" t="s">
        <v>463</v>
      </c>
      <c r="E317" s="1217" t="s">
        <v>488</v>
      </c>
      <c r="F317" s="1217" t="s">
        <v>1177</v>
      </c>
      <c r="G317" s="1664" t="s">
        <v>1</v>
      </c>
      <c r="H317" s="2772">
        <v>330</v>
      </c>
      <c r="I317" s="2773"/>
      <c r="J317" s="2790"/>
      <c r="K317" s="2735"/>
      <c r="L317" s="2735"/>
      <c r="M317" s="2735"/>
      <c r="N317" s="2775">
        <v>0</v>
      </c>
      <c r="O317" s="2735"/>
      <c r="P317" s="2735"/>
      <c r="Q317" s="2735"/>
      <c r="R317" s="2735"/>
      <c r="S317" s="2735"/>
      <c r="T317" s="2735"/>
      <c r="U317" s="2772">
        <v>0</v>
      </c>
    </row>
    <row r="318" spans="1:21" ht="21" hidden="1" x14ac:dyDescent="0.25">
      <c r="A318" s="1234"/>
      <c r="B318" s="1242" t="s">
        <v>1193</v>
      </c>
      <c r="C318" s="409"/>
      <c r="D318" s="1217" t="s">
        <v>463</v>
      </c>
      <c r="E318" s="1217" t="s">
        <v>488</v>
      </c>
      <c r="F318" s="1217" t="s">
        <v>1192</v>
      </c>
      <c r="G318" s="1664"/>
      <c r="H318" s="2772">
        <f>H319+H322</f>
        <v>0</v>
      </c>
      <c r="I318" s="2773"/>
      <c r="J318" s="2790"/>
      <c r="K318" s="2735"/>
      <c r="L318" s="2735"/>
      <c r="M318" s="2735"/>
      <c r="N318" s="2775">
        <f>N319+N322</f>
        <v>0</v>
      </c>
      <c r="O318" s="2735"/>
      <c r="P318" s="2735"/>
      <c r="Q318" s="2735"/>
      <c r="R318" s="2735"/>
      <c r="S318" s="2735"/>
      <c r="T318" s="2735"/>
      <c r="U318" s="2772">
        <f>U319+U322</f>
        <v>0</v>
      </c>
    </row>
    <row r="319" spans="1:21" hidden="1" x14ac:dyDescent="0.25">
      <c r="A319" s="1234"/>
      <c r="B319" s="1242" t="s">
        <v>948</v>
      </c>
      <c r="C319" s="409"/>
      <c r="D319" s="1217" t="s">
        <v>463</v>
      </c>
      <c r="E319" s="1217" t="s">
        <v>488</v>
      </c>
      <c r="F319" s="1217" t="s">
        <v>1192</v>
      </c>
      <c r="G319" s="1664" t="s">
        <v>955</v>
      </c>
      <c r="H319" s="2772">
        <f>H320</f>
        <v>0</v>
      </c>
      <c r="I319" s="2773"/>
      <c r="J319" s="2790"/>
      <c r="K319" s="2735"/>
      <c r="L319" s="2735"/>
      <c r="M319" s="2735"/>
      <c r="N319" s="2775">
        <f>N320</f>
        <v>0</v>
      </c>
      <c r="O319" s="2735"/>
      <c r="P319" s="2735"/>
      <c r="Q319" s="2735"/>
      <c r="R319" s="2735"/>
      <c r="S319" s="2735"/>
      <c r="T319" s="2735"/>
      <c r="U319" s="2772">
        <f>U320</f>
        <v>0</v>
      </c>
    </row>
    <row r="320" spans="1:21" hidden="1" x14ac:dyDescent="0.25">
      <c r="A320" s="1234"/>
      <c r="B320" s="1242" t="s">
        <v>454</v>
      </c>
      <c r="C320" s="409"/>
      <c r="D320" s="1217" t="s">
        <v>463</v>
      </c>
      <c r="E320" s="1217" t="s">
        <v>488</v>
      </c>
      <c r="F320" s="1217" t="s">
        <v>1192</v>
      </c>
      <c r="G320" s="1664" t="s">
        <v>1</v>
      </c>
      <c r="H320" s="2772">
        <v>0</v>
      </c>
      <c r="I320" s="2773"/>
      <c r="J320" s="2790"/>
      <c r="K320" s="2735"/>
      <c r="L320" s="2735"/>
      <c r="M320" s="2735"/>
      <c r="N320" s="2775">
        <v>0</v>
      </c>
      <c r="O320" s="2735"/>
      <c r="P320" s="2735"/>
      <c r="Q320" s="2735"/>
      <c r="R320" s="2735"/>
      <c r="S320" s="2735"/>
      <c r="T320" s="2735"/>
      <c r="U320" s="2772">
        <v>0</v>
      </c>
    </row>
    <row r="321" spans="1:21" hidden="1" x14ac:dyDescent="0.25">
      <c r="A321" s="1234"/>
      <c r="B321" s="1242" t="s">
        <v>1068</v>
      </c>
      <c r="C321" s="409"/>
      <c r="D321" s="1217" t="s">
        <v>463</v>
      </c>
      <c r="E321" s="1217" t="s">
        <v>488</v>
      </c>
      <c r="F321" s="1217" t="s">
        <v>1192</v>
      </c>
      <c r="G321" s="1664" t="s">
        <v>1064</v>
      </c>
      <c r="H321" s="2772">
        <f>H322</f>
        <v>0</v>
      </c>
      <c r="I321" s="2773"/>
      <c r="J321" s="2790"/>
      <c r="K321" s="2735"/>
      <c r="L321" s="2735"/>
      <c r="M321" s="2735"/>
      <c r="N321" s="2775">
        <f>N322</f>
        <v>0</v>
      </c>
      <c r="O321" s="2735"/>
      <c r="P321" s="2735"/>
      <c r="Q321" s="2735"/>
      <c r="R321" s="2735"/>
      <c r="S321" s="2735"/>
      <c r="T321" s="2735"/>
      <c r="U321" s="2772">
        <f>U322</f>
        <v>0</v>
      </c>
    </row>
    <row r="322" spans="1:21" hidden="1" x14ac:dyDescent="0.25">
      <c r="A322" s="1234"/>
      <c r="B322" s="1242" t="s">
        <v>1003</v>
      </c>
      <c r="C322" s="409"/>
      <c r="D322" s="1217" t="s">
        <v>463</v>
      </c>
      <c r="E322" s="1217" t="s">
        <v>488</v>
      </c>
      <c r="F322" s="1217" t="s">
        <v>1192</v>
      </c>
      <c r="G322" s="1664" t="s">
        <v>95</v>
      </c>
      <c r="H322" s="2772">
        <v>0</v>
      </c>
      <c r="I322" s="2773"/>
      <c r="J322" s="2790"/>
      <c r="K322" s="2735"/>
      <c r="L322" s="2735"/>
      <c r="M322" s="2735"/>
      <c r="N322" s="2775">
        <v>0</v>
      </c>
      <c r="O322" s="2735"/>
      <c r="P322" s="2735"/>
      <c r="Q322" s="2735"/>
      <c r="R322" s="2735"/>
      <c r="S322" s="2735"/>
      <c r="T322" s="2735"/>
      <c r="U322" s="2772">
        <v>0</v>
      </c>
    </row>
    <row r="323" spans="1:21" x14ac:dyDescent="0.25">
      <c r="A323" s="1229"/>
      <c r="B323" s="1225" t="s">
        <v>34</v>
      </c>
      <c r="C323" s="1227"/>
      <c r="D323" s="1227" t="s">
        <v>463</v>
      </c>
      <c r="E323" s="1227" t="s">
        <v>495</v>
      </c>
      <c r="F323" s="1227"/>
      <c r="G323" s="1665"/>
      <c r="H323" s="2781">
        <f>H324+H370+H380+H385+H392+H354+H365+H360</f>
        <v>43904.366999999998</v>
      </c>
      <c r="I323" s="2782">
        <f>I324+I332</f>
        <v>13543.38</v>
      </c>
      <c r="J323" s="2783">
        <f>J324+J332</f>
        <v>9788.7259999999987</v>
      </c>
      <c r="K323" s="2735"/>
      <c r="L323" s="2735"/>
      <c r="M323" s="2735"/>
      <c r="N323" s="2784">
        <f>N328+N331+N335+N359+N364+N369+N384+N402+N404</f>
        <v>35811.923999999999</v>
      </c>
      <c r="O323" s="2735"/>
      <c r="P323" s="2735"/>
      <c r="Q323" s="2735"/>
      <c r="R323" s="2735"/>
      <c r="S323" s="2735"/>
      <c r="T323" s="2735"/>
      <c r="U323" s="2781">
        <f>U328+U331+U335+U359+U364+U369+U384+U402+U404</f>
        <v>38760.052000000003</v>
      </c>
    </row>
    <row r="324" spans="1:21" ht="24" customHeight="1" x14ac:dyDescent="0.25">
      <c r="A324" s="1179"/>
      <c r="B324" s="1243" t="s">
        <v>931</v>
      </c>
      <c r="C324" s="409"/>
      <c r="D324" s="409" t="s">
        <v>463</v>
      </c>
      <c r="E324" s="409" t="s">
        <v>495</v>
      </c>
      <c r="F324" s="409" t="s">
        <v>189</v>
      </c>
      <c r="G324" s="1662"/>
      <c r="H324" s="2772">
        <f>H325+H332</f>
        <v>30255.654000000002</v>
      </c>
      <c r="I324" s="2773">
        <f>I325</f>
        <v>10043.379999999999</v>
      </c>
      <c r="J324" s="2789">
        <f>J325</f>
        <v>6288.7259999999997</v>
      </c>
      <c r="K324" s="2745">
        <f>K328+K331+K374+K379+K407</f>
        <v>2750</v>
      </c>
      <c r="L324" s="2735"/>
      <c r="M324" s="2735"/>
      <c r="N324" s="2775">
        <f>N325+N332</f>
        <v>28925.802</v>
      </c>
      <c r="O324" s="2735"/>
      <c r="P324" s="2735"/>
      <c r="Q324" s="2735"/>
      <c r="R324" s="2735"/>
      <c r="S324" s="2735"/>
      <c r="T324" s="2735"/>
      <c r="U324" s="2772">
        <f>U325+U332</f>
        <v>27887.218000000001</v>
      </c>
    </row>
    <row r="325" spans="1:21" ht="31.5" x14ac:dyDescent="0.25">
      <c r="A325" s="842"/>
      <c r="B325" s="1197" t="s">
        <v>188</v>
      </c>
      <c r="C325" s="408"/>
      <c r="D325" s="409" t="s">
        <v>463</v>
      </c>
      <c r="E325" s="409" t="s">
        <v>495</v>
      </c>
      <c r="F325" s="409" t="s">
        <v>187</v>
      </c>
      <c r="G325" s="1661"/>
      <c r="H325" s="2772">
        <f>H326+H329</f>
        <v>29939.864000000001</v>
      </c>
      <c r="I325" s="2773">
        <f>I326+I329</f>
        <v>10043.379999999999</v>
      </c>
      <c r="J325" s="2789">
        <f>J326+J329</f>
        <v>6288.7259999999997</v>
      </c>
      <c r="K325" s="2735"/>
      <c r="L325" s="2735"/>
      <c r="M325" s="2735"/>
      <c r="N325" s="2775">
        <f>N326+N329</f>
        <v>28875.802</v>
      </c>
      <c r="O325" s="2735"/>
      <c r="P325" s="2735"/>
      <c r="Q325" s="2735"/>
      <c r="R325" s="2735"/>
      <c r="S325" s="2735"/>
      <c r="T325" s="2735"/>
      <c r="U325" s="2772">
        <f>U326+U329</f>
        <v>27837.218000000001</v>
      </c>
    </row>
    <row r="326" spans="1:21" ht="28.5" customHeight="1" x14ac:dyDescent="0.25">
      <c r="A326" s="1179"/>
      <c r="B326" s="1205" t="s">
        <v>186</v>
      </c>
      <c r="C326" s="1217"/>
      <c r="D326" s="1217" t="s">
        <v>463</v>
      </c>
      <c r="E326" s="1217" t="s">
        <v>495</v>
      </c>
      <c r="F326" s="1217" t="s">
        <v>185</v>
      </c>
      <c r="G326" s="1664"/>
      <c r="H326" s="2772">
        <f>H328</f>
        <v>850</v>
      </c>
      <c r="I326" s="2773">
        <f>I328</f>
        <v>10043.379999999999</v>
      </c>
      <c r="J326" s="2789">
        <f>J328</f>
        <v>6288.7259999999997</v>
      </c>
      <c r="K326" s="2735"/>
      <c r="L326" s="2735"/>
      <c r="M326" s="2735"/>
      <c r="N326" s="2775">
        <f>N328</f>
        <v>2539.3449999999998</v>
      </c>
      <c r="O326" s="2735"/>
      <c r="P326" s="2735"/>
      <c r="Q326" s="2735"/>
      <c r="R326" s="2735"/>
      <c r="S326" s="2735"/>
      <c r="T326" s="2735"/>
      <c r="U326" s="2772">
        <f>U328</f>
        <v>1105.6199999999999</v>
      </c>
    </row>
    <row r="327" spans="1:21" ht="19.5" customHeight="1" x14ac:dyDescent="0.25">
      <c r="A327" s="1179"/>
      <c r="B327" s="753" t="s">
        <v>948</v>
      </c>
      <c r="C327" s="1217"/>
      <c r="D327" s="1217" t="s">
        <v>463</v>
      </c>
      <c r="E327" s="1217" t="s">
        <v>495</v>
      </c>
      <c r="F327" s="1217" t="s">
        <v>185</v>
      </c>
      <c r="G327" s="1664" t="s">
        <v>955</v>
      </c>
      <c r="H327" s="2772">
        <f t="shared" ref="H327:U327" si="71">H328</f>
        <v>850</v>
      </c>
      <c r="I327" s="2773">
        <f t="shared" si="71"/>
        <v>10043.379999999999</v>
      </c>
      <c r="J327" s="2790">
        <f t="shared" si="71"/>
        <v>6288.7259999999997</v>
      </c>
      <c r="K327" s="2735">
        <f t="shared" si="71"/>
        <v>2300</v>
      </c>
      <c r="L327" s="2735">
        <f t="shared" si="71"/>
        <v>0</v>
      </c>
      <c r="M327" s="2735">
        <f t="shared" si="71"/>
        <v>0</v>
      </c>
      <c r="N327" s="2775">
        <f t="shared" si="71"/>
        <v>2539.3449999999998</v>
      </c>
      <c r="O327" s="2735">
        <f t="shared" si="71"/>
        <v>0</v>
      </c>
      <c r="P327" s="2735">
        <f t="shared" si="71"/>
        <v>0</v>
      </c>
      <c r="Q327" s="2735">
        <f t="shared" si="71"/>
        <v>0</v>
      </c>
      <c r="R327" s="2735">
        <f t="shared" si="71"/>
        <v>0</v>
      </c>
      <c r="S327" s="2735">
        <f t="shared" si="71"/>
        <v>0</v>
      </c>
      <c r="T327" s="2735">
        <f t="shared" si="71"/>
        <v>0</v>
      </c>
      <c r="U327" s="2772">
        <f t="shared" si="71"/>
        <v>1105.6199999999999</v>
      </c>
    </row>
    <row r="328" spans="1:21" ht="21" x14ac:dyDescent="0.25">
      <c r="A328" s="1179"/>
      <c r="B328" s="1182" t="s">
        <v>454</v>
      </c>
      <c r="C328" s="409"/>
      <c r="D328" s="1217" t="s">
        <v>463</v>
      </c>
      <c r="E328" s="1217" t="s">
        <v>495</v>
      </c>
      <c r="F328" s="1217" t="s">
        <v>185</v>
      </c>
      <c r="G328" s="1662" t="s">
        <v>1</v>
      </c>
      <c r="H328" s="2772">
        <f>1850-1000</f>
        <v>850</v>
      </c>
      <c r="I328" s="2773">
        <v>10043.379999999999</v>
      </c>
      <c r="J328" s="2774">
        <v>6288.7259999999997</v>
      </c>
      <c r="K328" s="2735">
        <v>2300</v>
      </c>
      <c r="L328" s="2735"/>
      <c r="M328" s="2735"/>
      <c r="N328" s="2775">
        <v>2539.3449999999998</v>
      </c>
      <c r="O328" s="2735"/>
      <c r="P328" s="2735"/>
      <c r="Q328" s="2735"/>
      <c r="R328" s="2735"/>
      <c r="S328" s="2735"/>
      <c r="T328" s="2735"/>
      <c r="U328" s="2772">
        <v>1105.6199999999999</v>
      </c>
    </row>
    <row r="329" spans="1:21" ht="25.5" customHeight="1" x14ac:dyDescent="0.25">
      <c r="A329" s="1179"/>
      <c r="B329" s="1205" t="s">
        <v>184</v>
      </c>
      <c r="C329" s="409"/>
      <c r="D329" s="1217" t="s">
        <v>463</v>
      </c>
      <c r="E329" s="1217" t="s">
        <v>495</v>
      </c>
      <c r="F329" s="1217" t="s">
        <v>183</v>
      </c>
      <c r="G329" s="1662"/>
      <c r="H329" s="2772">
        <f>H331+H349</f>
        <v>29089.864000000001</v>
      </c>
      <c r="I329" s="2773">
        <f>I331</f>
        <v>0</v>
      </c>
      <c r="J329" s="2774">
        <f>J331</f>
        <v>0</v>
      </c>
      <c r="K329" s="2735"/>
      <c r="L329" s="2735"/>
      <c r="M329" s="2735"/>
      <c r="N329" s="2775">
        <f>N331+N349</f>
        <v>26336.456999999999</v>
      </c>
      <c r="O329" s="2735"/>
      <c r="P329" s="2735"/>
      <c r="Q329" s="2735"/>
      <c r="R329" s="2735"/>
      <c r="S329" s="2735"/>
      <c r="T329" s="2735"/>
      <c r="U329" s="2772">
        <f>U331+U349</f>
        <v>26731.598000000002</v>
      </c>
    </row>
    <row r="330" spans="1:21" ht="17.149999999999999" customHeight="1" x14ac:dyDescent="0.25">
      <c r="A330" s="1179"/>
      <c r="B330" s="753" t="s">
        <v>948</v>
      </c>
      <c r="C330" s="409"/>
      <c r="D330" s="1217" t="s">
        <v>463</v>
      </c>
      <c r="E330" s="1217" t="s">
        <v>495</v>
      </c>
      <c r="F330" s="1217" t="s">
        <v>183</v>
      </c>
      <c r="G330" s="1662" t="s">
        <v>955</v>
      </c>
      <c r="H330" s="2772">
        <f t="shared" ref="H330:U330" si="72">H331</f>
        <v>29089.864000000001</v>
      </c>
      <c r="I330" s="2773">
        <f t="shared" si="72"/>
        <v>0</v>
      </c>
      <c r="J330" s="2774">
        <f t="shared" si="72"/>
        <v>0</v>
      </c>
      <c r="K330" s="2735">
        <f t="shared" si="72"/>
        <v>0</v>
      </c>
      <c r="L330" s="2735">
        <f t="shared" si="72"/>
        <v>0</v>
      </c>
      <c r="M330" s="2735">
        <f t="shared" si="72"/>
        <v>0</v>
      </c>
      <c r="N330" s="2775">
        <f t="shared" si="72"/>
        <v>26336.456999999999</v>
      </c>
      <c r="O330" s="2735">
        <f t="shared" si="72"/>
        <v>0</v>
      </c>
      <c r="P330" s="2735">
        <f t="shared" si="72"/>
        <v>0</v>
      </c>
      <c r="Q330" s="2735">
        <f t="shared" si="72"/>
        <v>0</v>
      </c>
      <c r="R330" s="2735">
        <f t="shared" si="72"/>
        <v>0</v>
      </c>
      <c r="S330" s="2735">
        <f t="shared" si="72"/>
        <v>0</v>
      </c>
      <c r="T330" s="2735">
        <f t="shared" si="72"/>
        <v>0</v>
      </c>
      <c r="U330" s="2772">
        <f t="shared" si="72"/>
        <v>26731.598000000002</v>
      </c>
    </row>
    <row r="331" spans="1:21" ht="21.75" customHeight="1" x14ac:dyDescent="0.25">
      <c r="A331" s="1179"/>
      <c r="B331" s="1182" t="s">
        <v>454</v>
      </c>
      <c r="C331" s="409"/>
      <c r="D331" s="1217" t="s">
        <v>463</v>
      </c>
      <c r="E331" s="1217" t="s">
        <v>495</v>
      </c>
      <c r="F331" s="1217" t="s">
        <v>183</v>
      </c>
      <c r="G331" s="1662" t="s">
        <v>1</v>
      </c>
      <c r="H331" s="2772">
        <f>26264.21+17.544+2808.11</f>
        <v>29089.864000000001</v>
      </c>
      <c r="I331" s="2773"/>
      <c r="J331" s="2774"/>
      <c r="K331" s="2757"/>
      <c r="L331" s="2735"/>
      <c r="M331" s="2735"/>
      <c r="N331" s="2775">
        <v>26336.456999999999</v>
      </c>
      <c r="O331" s="2735"/>
      <c r="P331" s="2735"/>
      <c r="Q331" s="2735"/>
      <c r="R331" s="2735"/>
      <c r="S331" s="2735"/>
      <c r="T331" s="2735"/>
      <c r="U331" s="2772">
        <v>26731.598000000002</v>
      </c>
    </row>
    <row r="332" spans="1:21" ht="21" x14ac:dyDescent="0.25">
      <c r="A332" s="842"/>
      <c r="B332" s="1197" t="s">
        <v>1117</v>
      </c>
      <c r="C332" s="408"/>
      <c r="D332" s="409" t="s">
        <v>463</v>
      </c>
      <c r="E332" s="409" t="s">
        <v>495</v>
      </c>
      <c r="F332" s="409" t="s">
        <v>1116</v>
      </c>
      <c r="G332" s="1661"/>
      <c r="H332" s="2776">
        <f>H333+H337</f>
        <v>315.79000000000002</v>
      </c>
      <c r="I332" s="2777">
        <f>I333+I337</f>
        <v>3500</v>
      </c>
      <c r="J332" s="2778">
        <f>J333+J337</f>
        <v>3500</v>
      </c>
      <c r="K332" s="2735"/>
      <c r="L332" s="2735"/>
      <c r="M332" s="2735"/>
      <c r="N332" s="2780">
        <f>N333+N337</f>
        <v>50</v>
      </c>
      <c r="O332" s="2735"/>
      <c r="P332" s="2735"/>
      <c r="Q332" s="2735"/>
      <c r="R332" s="2735"/>
      <c r="S332" s="2735"/>
      <c r="T332" s="2735"/>
      <c r="U332" s="2776">
        <f>U333+U337</f>
        <v>50</v>
      </c>
    </row>
    <row r="333" spans="1:21" x14ac:dyDescent="0.25">
      <c r="A333" s="1245"/>
      <c r="B333" s="2230" t="s">
        <v>1118</v>
      </c>
      <c r="C333" s="1217"/>
      <c r="D333" s="1217" t="s">
        <v>463</v>
      </c>
      <c r="E333" s="1217" t="s">
        <v>495</v>
      </c>
      <c r="F333" s="409" t="s">
        <v>1115</v>
      </c>
      <c r="G333" s="1664"/>
      <c r="H333" s="2772">
        <f>H335</f>
        <v>315.79000000000002</v>
      </c>
      <c r="I333" s="2773">
        <f t="shared" ref="H333:J335" si="73">I334</f>
        <v>3500</v>
      </c>
      <c r="J333" s="2774">
        <f t="shared" si="73"/>
        <v>3500</v>
      </c>
      <c r="K333" s="2735"/>
      <c r="L333" s="2735"/>
      <c r="M333" s="2735"/>
      <c r="N333" s="2775">
        <f>N335</f>
        <v>50</v>
      </c>
      <c r="O333" s="2735"/>
      <c r="P333" s="2735"/>
      <c r="Q333" s="2735"/>
      <c r="R333" s="2735"/>
      <c r="S333" s="2735"/>
      <c r="T333" s="2735"/>
      <c r="U333" s="2772">
        <f>U335</f>
        <v>50</v>
      </c>
    </row>
    <row r="334" spans="1:21" x14ac:dyDescent="0.25">
      <c r="A334" s="842"/>
      <c r="B334" s="753" t="s">
        <v>948</v>
      </c>
      <c r="C334" s="408"/>
      <c r="D334" s="409" t="s">
        <v>463</v>
      </c>
      <c r="E334" s="409" t="s">
        <v>495</v>
      </c>
      <c r="F334" s="409" t="s">
        <v>1115</v>
      </c>
      <c r="G334" s="1664" t="s">
        <v>955</v>
      </c>
      <c r="H334" s="2772">
        <f t="shared" si="73"/>
        <v>315.79000000000002</v>
      </c>
      <c r="I334" s="2773">
        <f t="shared" si="73"/>
        <v>3500</v>
      </c>
      <c r="J334" s="2774">
        <f t="shared" si="73"/>
        <v>3500</v>
      </c>
      <c r="K334" s="2735"/>
      <c r="L334" s="2735"/>
      <c r="M334" s="2735"/>
      <c r="N334" s="2775">
        <f t="shared" ref="N334" si="74">N335</f>
        <v>50</v>
      </c>
      <c r="O334" s="2735"/>
      <c r="P334" s="2735"/>
      <c r="Q334" s="2735"/>
      <c r="R334" s="2735"/>
      <c r="S334" s="2735"/>
      <c r="T334" s="2735"/>
      <c r="U334" s="2772">
        <f t="shared" ref="U334" si="75">U335</f>
        <v>50</v>
      </c>
    </row>
    <row r="335" spans="1:21" ht="21" x14ac:dyDescent="0.25">
      <c r="A335" s="1245"/>
      <c r="B335" s="1182" t="s">
        <v>454</v>
      </c>
      <c r="C335" s="1217"/>
      <c r="D335" s="1217" t="s">
        <v>463</v>
      </c>
      <c r="E335" s="1217" t="s">
        <v>495</v>
      </c>
      <c r="F335" s="409" t="s">
        <v>1115</v>
      </c>
      <c r="G335" s="1662" t="s">
        <v>1</v>
      </c>
      <c r="H335" s="2772">
        <f>333.334-17.544</f>
        <v>315.79000000000002</v>
      </c>
      <c r="I335" s="2773">
        <f t="shared" si="73"/>
        <v>3500</v>
      </c>
      <c r="J335" s="2774">
        <f t="shared" si="73"/>
        <v>3500</v>
      </c>
      <c r="K335" s="2735"/>
      <c r="L335" s="2735"/>
      <c r="M335" s="2735"/>
      <c r="N335" s="2775">
        <v>50</v>
      </c>
      <c r="O335" s="2735"/>
      <c r="P335" s="2735"/>
      <c r="Q335" s="2735"/>
      <c r="R335" s="2735"/>
      <c r="S335" s="2735"/>
      <c r="T335" s="2735"/>
      <c r="U335" s="2772">
        <v>50</v>
      </c>
    </row>
    <row r="336" spans="1:21" ht="21" hidden="1" x14ac:dyDescent="0.25">
      <c r="A336" s="1229"/>
      <c r="B336" s="1182" t="s">
        <v>454</v>
      </c>
      <c r="C336" s="409"/>
      <c r="D336" s="1217" t="s">
        <v>463</v>
      </c>
      <c r="E336" s="1217" t="s">
        <v>495</v>
      </c>
      <c r="F336" s="409" t="s">
        <v>1115</v>
      </c>
      <c r="G336" s="1662" t="s">
        <v>1</v>
      </c>
      <c r="H336" s="2772">
        <v>0</v>
      </c>
      <c r="I336" s="2773">
        <v>3500</v>
      </c>
      <c r="J336" s="2774">
        <v>3500</v>
      </c>
      <c r="K336" s="2735"/>
      <c r="L336" s="2735"/>
      <c r="M336" s="2735"/>
      <c r="N336" s="2775">
        <v>0</v>
      </c>
      <c r="O336" s="2735"/>
      <c r="P336" s="2735"/>
      <c r="Q336" s="2735"/>
      <c r="R336" s="2735"/>
      <c r="S336" s="2735"/>
      <c r="T336" s="2735"/>
      <c r="U336" s="2772">
        <v>0</v>
      </c>
    </row>
    <row r="337" spans="1:21" ht="21" hidden="1" x14ac:dyDescent="0.25">
      <c r="A337" s="1240"/>
      <c r="B337" s="1219" t="s">
        <v>519</v>
      </c>
      <c r="C337" s="1217"/>
      <c r="D337" s="1217" t="s">
        <v>463</v>
      </c>
      <c r="E337" s="1217" t="s">
        <v>495</v>
      </c>
      <c r="F337" s="1217" t="s">
        <v>518</v>
      </c>
      <c r="G337" s="1664"/>
      <c r="H337" s="2772">
        <f>H338+H343</f>
        <v>0</v>
      </c>
      <c r="I337" s="2773">
        <f>I338+I343</f>
        <v>0</v>
      </c>
      <c r="J337" s="2774">
        <f>J338+J343</f>
        <v>0</v>
      </c>
      <c r="K337" s="2735"/>
      <c r="L337" s="2735"/>
      <c r="M337" s="2735"/>
      <c r="N337" s="2775">
        <f>N338+N343</f>
        <v>0</v>
      </c>
      <c r="O337" s="2735"/>
      <c r="P337" s="2735"/>
      <c r="Q337" s="2735"/>
      <c r="R337" s="2735"/>
      <c r="S337" s="2735"/>
      <c r="T337" s="2735"/>
      <c r="U337" s="2772">
        <f>U338+U343</f>
        <v>0</v>
      </c>
    </row>
    <row r="338" spans="1:21" ht="31.5" hidden="1" x14ac:dyDescent="0.25">
      <c r="A338" s="1240"/>
      <c r="B338" s="1219" t="s">
        <v>517</v>
      </c>
      <c r="C338" s="1217"/>
      <c r="D338" s="1217" t="s">
        <v>463</v>
      </c>
      <c r="E338" s="1217" t="s">
        <v>495</v>
      </c>
      <c r="F338" s="1217" t="s">
        <v>516</v>
      </c>
      <c r="G338" s="1664"/>
      <c r="H338" s="2772">
        <f>H339+H341</f>
        <v>0</v>
      </c>
      <c r="I338" s="2773">
        <f>I339+I341</f>
        <v>0</v>
      </c>
      <c r="J338" s="2774">
        <f>J339+J341</f>
        <v>0</v>
      </c>
      <c r="K338" s="2735"/>
      <c r="L338" s="2735"/>
      <c r="M338" s="2735"/>
      <c r="N338" s="2775">
        <f>N339+N341</f>
        <v>0</v>
      </c>
      <c r="O338" s="2735"/>
      <c r="P338" s="2735"/>
      <c r="Q338" s="2735"/>
      <c r="R338" s="2735"/>
      <c r="S338" s="2735"/>
      <c r="T338" s="2735"/>
      <c r="U338" s="2772">
        <f>U339+U341</f>
        <v>0</v>
      </c>
    </row>
    <row r="339" spans="1:21" hidden="1" x14ac:dyDescent="0.25">
      <c r="A339" s="1229"/>
      <c r="B339" s="753" t="s">
        <v>515</v>
      </c>
      <c r="C339" s="1217"/>
      <c r="D339" s="1217" t="s">
        <v>463</v>
      </c>
      <c r="E339" s="1217" t="s">
        <v>495</v>
      </c>
      <c r="F339" s="1217" t="s">
        <v>514</v>
      </c>
      <c r="G339" s="1664"/>
      <c r="H339" s="2772">
        <f>H340</f>
        <v>0</v>
      </c>
      <c r="I339" s="2773">
        <f>I340</f>
        <v>0</v>
      </c>
      <c r="J339" s="2774">
        <f>J340</f>
        <v>0</v>
      </c>
      <c r="K339" s="2735"/>
      <c r="L339" s="2735"/>
      <c r="M339" s="2735"/>
      <c r="N339" s="2775">
        <f>N340</f>
        <v>0</v>
      </c>
      <c r="O339" s="2735"/>
      <c r="P339" s="2735"/>
      <c r="Q339" s="2735"/>
      <c r="R339" s="2735"/>
      <c r="S339" s="2735"/>
      <c r="T339" s="2735"/>
      <c r="U339" s="2772">
        <f>U340</f>
        <v>0</v>
      </c>
    </row>
    <row r="340" spans="1:21" ht="21" hidden="1" x14ac:dyDescent="0.25">
      <c r="A340" s="1229"/>
      <c r="B340" s="1182" t="s">
        <v>454</v>
      </c>
      <c r="C340" s="409"/>
      <c r="D340" s="1217" t="s">
        <v>463</v>
      </c>
      <c r="E340" s="1217" t="s">
        <v>495</v>
      </c>
      <c r="F340" s="1217" t="s">
        <v>514</v>
      </c>
      <c r="G340" s="1662" t="s">
        <v>1</v>
      </c>
      <c r="H340" s="2772"/>
      <c r="I340" s="2773"/>
      <c r="J340" s="2774"/>
      <c r="K340" s="2735"/>
      <c r="L340" s="2735"/>
      <c r="M340" s="2735"/>
      <c r="N340" s="2775"/>
      <c r="O340" s="2735"/>
      <c r="P340" s="2735"/>
      <c r="Q340" s="2735"/>
      <c r="R340" s="2735"/>
      <c r="S340" s="2735"/>
      <c r="T340" s="2735"/>
      <c r="U340" s="2772"/>
    </row>
    <row r="341" spans="1:21" hidden="1" x14ac:dyDescent="0.25">
      <c r="A341" s="1229"/>
      <c r="B341" s="753" t="s">
        <v>513</v>
      </c>
      <c r="C341" s="1217"/>
      <c r="D341" s="1217" t="s">
        <v>463</v>
      </c>
      <c r="E341" s="1217" t="s">
        <v>495</v>
      </c>
      <c r="F341" s="1217" t="s">
        <v>512</v>
      </c>
      <c r="G341" s="1664"/>
      <c r="H341" s="2772">
        <f>H342</f>
        <v>0</v>
      </c>
      <c r="I341" s="2773">
        <f>I342</f>
        <v>0</v>
      </c>
      <c r="J341" s="2774">
        <f>J342</f>
        <v>0</v>
      </c>
      <c r="K341" s="2735"/>
      <c r="L341" s="2735"/>
      <c r="M341" s="2735"/>
      <c r="N341" s="2775">
        <f>N342</f>
        <v>0</v>
      </c>
      <c r="O341" s="2735"/>
      <c r="P341" s="2735"/>
      <c r="Q341" s="2735"/>
      <c r="R341" s="2735"/>
      <c r="S341" s="2735"/>
      <c r="T341" s="2735"/>
      <c r="U341" s="2772">
        <f>U342</f>
        <v>0</v>
      </c>
    </row>
    <row r="342" spans="1:21" ht="21" hidden="1" x14ac:dyDescent="0.25">
      <c r="A342" s="1229"/>
      <c r="B342" s="1182" t="s">
        <v>454</v>
      </c>
      <c r="C342" s="409"/>
      <c r="D342" s="1217" t="s">
        <v>463</v>
      </c>
      <c r="E342" s="1217" t="s">
        <v>495</v>
      </c>
      <c r="F342" s="1217" t="s">
        <v>512</v>
      </c>
      <c r="G342" s="1662" t="s">
        <v>1</v>
      </c>
      <c r="H342" s="2772"/>
      <c r="I342" s="2773"/>
      <c r="J342" s="2774"/>
      <c r="K342" s="2735"/>
      <c r="L342" s="2735"/>
      <c r="M342" s="2735"/>
      <c r="N342" s="2775"/>
      <c r="O342" s="2735"/>
      <c r="P342" s="2735"/>
      <c r="Q342" s="2735"/>
      <c r="R342" s="2735"/>
      <c r="S342" s="2735"/>
      <c r="T342" s="2735"/>
      <c r="U342" s="2772"/>
    </row>
    <row r="343" spans="1:21" ht="21" hidden="1" x14ac:dyDescent="0.25">
      <c r="A343" s="1179"/>
      <c r="B343" s="1247" t="s">
        <v>511</v>
      </c>
      <c r="C343" s="1227"/>
      <c r="D343" s="1248" t="s">
        <v>463</v>
      </c>
      <c r="E343" s="1248" t="s">
        <v>495</v>
      </c>
      <c r="F343" s="1248" t="s">
        <v>510</v>
      </c>
      <c r="G343" s="1666"/>
      <c r="H343" s="2785">
        <f>H344+H348</f>
        <v>0</v>
      </c>
      <c r="I343" s="2787">
        <f>I344+I348</f>
        <v>0</v>
      </c>
      <c r="J343" s="2794">
        <f>J344+J348</f>
        <v>0</v>
      </c>
      <c r="K343" s="2735"/>
      <c r="L343" s="2735"/>
      <c r="M343" s="2735"/>
      <c r="N343" s="2786">
        <f>N344+N348</f>
        <v>0</v>
      </c>
      <c r="O343" s="2735"/>
      <c r="P343" s="2735"/>
      <c r="Q343" s="2735"/>
      <c r="R343" s="2735"/>
      <c r="S343" s="2735"/>
      <c r="T343" s="2735"/>
      <c r="U343" s="2785">
        <f>U344+U348</f>
        <v>0</v>
      </c>
    </row>
    <row r="344" spans="1:21" hidden="1" x14ac:dyDescent="0.25">
      <c r="A344" s="842"/>
      <c r="B344" s="1224" t="s">
        <v>351</v>
      </c>
      <c r="C344" s="1217"/>
      <c r="D344" s="1217" t="s">
        <v>463</v>
      </c>
      <c r="E344" s="1217" t="s">
        <v>495</v>
      </c>
      <c r="F344" s="1217" t="s">
        <v>508</v>
      </c>
      <c r="G344" s="1664"/>
      <c r="H344" s="2772">
        <f>H345+H346+H347</f>
        <v>0</v>
      </c>
      <c r="I344" s="2773">
        <f>I345+I346+I347</f>
        <v>0</v>
      </c>
      <c r="J344" s="2774">
        <f>J345+J346+J347</f>
        <v>0</v>
      </c>
      <c r="K344" s="2735"/>
      <c r="L344" s="2735"/>
      <c r="M344" s="2735"/>
      <c r="N344" s="2775">
        <f>N345+N346+N347</f>
        <v>0</v>
      </c>
      <c r="O344" s="2735"/>
      <c r="P344" s="2735"/>
      <c r="Q344" s="2735"/>
      <c r="R344" s="2735"/>
      <c r="S344" s="2735"/>
      <c r="T344" s="2735"/>
      <c r="U344" s="2772">
        <f>U345+U346+U347</f>
        <v>0</v>
      </c>
    </row>
    <row r="345" spans="1:21" hidden="1" x14ac:dyDescent="0.25">
      <c r="A345" s="1179"/>
      <c r="B345" s="1182" t="s">
        <v>458</v>
      </c>
      <c r="C345" s="409"/>
      <c r="D345" s="1217" t="s">
        <v>463</v>
      </c>
      <c r="E345" s="1217" t="s">
        <v>495</v>
      </c>
      <c r="F345" s="1217" t="s">
        <v>508</v>
      </c>
      <c r="G345" s="1662" t="s">
        <v>255</v>
      </c>
      <c r="H345" s="2772"/>
      <c r="I345" s="2773"/>
      <c r="J345" s="2774"/>
      <c r="K345" s="2735"/>
      <c r="L345" s="2735"/>
      <c r="M345" s="2735"/>
      <c r="N345" s="2775"/>
      <c r="O345" s="2735"/>
      <c r="P345" s="2735"/>
      <c r="Q345" s="2735"/>
      <c r="R345" s="2735"/>
      <c r="S345" s="2735"/>
      <c r="T345" s="2735"/>
      <c r="U345" s="2772"/>
    </row>
    <row r="346" spans="1:21" ht="21" hidden="1" x14ac:dyDescent="0.25">
      <c r="A346" s="1179"/>
      <c r="B346" s="1182" t="s">
        <v>454</v>
      </c>
      <c r="C346" s="409"/>
      <c r="D346" s="1217" t="s">
        <v>463</v>
      </c>
      <c r="E346" s="1217" t="s">
        <v>495</v>
      </c>
      <c r="F346" s="1217" t="s">
        <v>508</v>
      </c>
      <c r="G346" s="1662" t="s">
        <v>1</v>
      </c>
      <c r="H346" s="2772"/>
      <c r="I346" s="2773"/>
      <c r="J346" s="2774"/>
      <c r="K346" s="2735"/>
      <c r="L346" s="2735"/>
      <c r="M346" s="2735"/>
      <c r="N346" s="2775"/>
      <c r="O346" s="2735"/>
      <c r="P346" s="2735"/>
      <c r="Q346" s="2735"/>
      <c r="R346" s="2735"/>
      <c r="S346" s="2735"/>
      <c r="T346" s="2735"/>
      <c r="U346" s="2772"/>
    </row>
    <row r="347" spans="1:21" hidden="1" x14ac:dyDescent="0.25">
      <c r="A347" s="1179"/>
      <c r="B347" s="1182" t="s">
        <v>457</v>
      </c>
      <c r="C347" s="409"/>
      <c r="D347" s="1217" t="s">
        <v>463</v>
      </c>
      <c r="E347" s="1217" t="s">
        <v>495</v>
      </c>
      <c r="F347" s="1217" t="s">
        <v>508</v>
      </c>
      <c r="G347" s="1662" t="s">
        <v>91</v>
      </c>
      <c r="H347" s="2772"/>
      <c r="I347" s="2773"/>
      <c r="J347" s="2774"/>
      <c r="K347" s="2735"/>
      <c r="L347" s="2735"/>
      <c r="M347" s="2735"/>
      <c r="N347" s="2775"/>
      <c r="O347" s="2735"/>
      <c r="P347" s="2735"/>
      <c r="Q347" s="2735"/>
      <c r="R347" s="2735"/>
      <c r="S347" s="2735"/>
      <c r="T347" s="2735"/>
      <c r="U347" s="2772"/>
    </row>
    <row r="348" spans="1:21" ht="15" hidden="1" customHeight="1" x14ac:dyDescent="0.25">
      <c r="A348" s="842"/>
      <c r="B348" s="1180"/>
      <c r="C348" s="1217"/>
      <c r="D348" s="1217" t="s">
        <v>463</v>
      </c>
      <c r="E348" s="1217" t="s">
        <v>495</v>
      </c>
      <c r="F348" s="1217" t="s">
        <v>183</v>
      </c>
      <c r="G348" s="1664"/>
      <c r="H348" s="2772">
        <f>H349</f>
        <v>0</v>
      </c>
      <c r="I348" s="2773">
        <f>I349</f>
        <v>0</v>
      </c>
      <c r="J348" s="2774">
        <f>J349</f>
        <v>0</v>
      </c>
      <c r="K348" s="2735"/>
      <c r="L348" s="2735"/>
      <c r="M348" s="2735"/>
      <c r="N348" s="2775">
        <f>N349</f>
        <v>0</v>
      </c>
      <c r="O348" s="2735"/>
      <c r="P348" s="2735"/>
      <c r="Q348" s="2735"/>
      <c r="R348" s="2735"/>
      <c r="S348" s="2735"/>
      <c r="T348" s="2735"/>
      <c r="U348" s="2772">
        <f>U349</f>
        <v>0</v>
      </c>
    </row>
    <row r="349" spans="1:21" ht="30.75" hidden="1" customHeight="1" x14ac:dyDescent="0.25">
      <c r="A349" s="1179"/>
      <c r="B349" s="1191" t="s">
        <v>916</v>
      </c>
      <c r="C349" s="1193"/>
      <c r="D349" s="1531" t="s">
        <v>463</v>
      </c>
      <c r="E349" s="1531" t="s">
        <v>495</v>
      </c>
      <c r="F349" s="1531" t="s">
        <v>183</v>
      </c>
      <c r="G349" s="1663" t="s">
        <v>521</v>
      </c>
      <c r="H349" s="2772">
        <f>722.93+5324.558+935-6982.488</f>
        <v>0</v>
      </c>
      <c r="I349" s="2773"/>
      <c r="J349" s="2774"/>
      <c r="K349" s="2735"/>
      <c r="L349" s="2735"/>
      <c r="M349" s="2735"/>
      <c r="N349" s="2775">
        <f>722.93+5324.558+935-6982.488</f>
        <v>0</v>
      </c>
      <c r="O349" s="2735"/>
      <c r="P349" s="2735"/>
      <c r="Q349" s="2735"/>
      <c r="R349" s="2735"/>
      <c r="S349" s="2735"/>
      <c r="T349" s="2735"/>
      <c r="U349" s="2772">
        <f>722.93+5324.558+935-6982.488</f>
        <v>0</v>
      </c>
    </row>
    <row r="350" spans="1:21" ht="30.75" hidden="1" customHeight="1" x14ac:dyDescent="0.25">
      <c r="A350" s="732"/>
      <c r="B350" s="1869" t="s">
        <v>1013</v>
      </c>
      <c r="C350" s="1193"/>
      <c r="D350" s="1531" t="s">
        <v>463</v>
      </c>
      <c r="E350" s="1531" t="s">
        <v>495</v>
      </c>
      <c r="F350" s="409" t="s">
        <v>1014</v>
      </c>
      <c r="G350" s="1663"/>
      <c r="H350" s="2772">
        <f>H351</f>
        <v>0</v>
      </c>
      <c r="I350" s="2773"/>
      <c r="J350" s="2774"/>
      <c r="K350" s="2735"/>
      <c r="L350" s="2735"/>
      <c r="M350" s="2735"/>
      <c r="N350" s="2795"/>
      <c r="O350" s="2735"/>
      <c r="P350" s="2735"/>
      <c r="Q350" s="2735"/>
      <c r="R350" s="2735"/>
      <c r="S350" s="2735"/>
      <c r="T350" s="2735"/>
      <c r="U350" s="2772"/>
    </row>
    <row r="351" spans="1:21" ht="30.75" hidden="1" customHeight="1" x14ac:dyDescent="0.25">
      <c r="A351" s="732"/>
      <c r="B351" s="1870" t="s">
        <v>1015</v>
      </c>
      <c r="C351" s="1193"/>
      <c r="D351" s="1531" t="s">
        <v>463</v>
      </c>
      <c r="E351" s="1531" t="s">
        <v>495</v>
      </c>
      <c r="F351" s="1534" t="s">
        <v>1016</v>
      </c>
      <c r="G351" s="1663"/>
      <c r="H351" s="2772">
        <f>H352</f>
        <v>0</v>
      </c>
      <c r="I351" s="2773"/>
      <c r="J351" s="2774"/>
      <c r="K351" s="2735"/>
      <c r="L351" s="2735"/>
      <c r="M351" s="2735"/>
      <c r="N351" s="2795"/>
      <c r="O351" s="2735"/>
      <c r="P351" s="2735"/>
      <c r="Q351" s="2735"/>
      <c r="R351" s="2735"/>
      <c r="S351" s="2735"/>
      <c r="T351" s="2735"/>
      <c r="U351" s="2772"/>
    </row>
    <row r="352" spans="1:21" ht="30.75" hidden="1" customHeight="1" x14ac:dyDescent="0.25">
      <c r="A352" s="732"/>
      <c r="B352" s="1871" t="s">
        <v>1017</v>
      </c>
      <c r="C352" s="1193"/>
      <c r="D352" s="1531" t="s">
        <v>463</v>
      </c>
      <c r="E352" s="1531" t="s">
        <v>495</v>
      </c>
      <c r="F352" s="409" t="s">
        <v>1018</v>
      </c>
      <c r="G352" s="1663"/>
      <c r="H352" s="2772">
        <f>H353</f>
        <v>0</v>
      </c>
      <c r="I352" s="2773"/>
      <c r="J352" s="2774"/>
      <c r="K352" s="2735"/>
      <c r="L352" s="2735"/>
      <c r="M352" s="2735"/>
      <c r="N352" s="2795"/>
      <c r="O352" s="2735"/>
      <c r="P352" s="2735"/>
      <c r="Q352" s="2735"/>
      <c r="R352" s="2735"/>
      <c r="S352" s="2735"/>
      <c r="T352" s="2735"/>
      <c r="U352" s="2772"/>
    </row>
    <row r="353" spans="1:26" ht="30.75" hidden="1" customHeight="1" x14ac:dyDescent="0.25">
      <c r="A353" s="732"/>
      <c r="B353" s="1182" t="s">
        <v>454</v>
      </c>
      <c r="C353" s="1193"/>
      <c r="D353" s="1531" t="s">
        <v>463</v>
      </c>
      <c r="E353" s="1531" t="s">
        <v>495</v>
      </c>
      <c r="F353" s="409" t="s">
        <v>1018</v>
      </c>
      <c r="G353" s="1663" t="s">
        <v>1</v>
      </c>
      <c r="H353" s="2772"/>
      <c r="I353" s="2773"/>
      <c r="J353" s="2774"/>
      <c r="K353" s="2735"/>
      <c r="L353" s="2735"/>
      <c r="M353" s="2735"/>
      <c r="N353" s="2795"/>
      <c r="O353" s="2735"/>
      <c r="P353" s="2735"/>
      <c r="Q353" s="2735"/>
      <c r="R353" s="2735"/>
      <c r="S353" s="2735"/>
      <c r="T353" s="2735"/>
      <c r="U353" s="2772"/>
    </row>
    <row r="354" spans="1:26" ht="30.75" customHeight="1" x14ac:dyDescent="0.25">
      <c r="A354" s="732"/>
      <c r="B354" s="1203" t="s">
        <v>1059</v>
      </c>
      <c r="C354" s="1193"/>
      <c r="D354" s="1217" t="s">
        <v>463</v>
      </c>
      <c r="E354" s="1217" t="s">
        <v>495</v>
      </c>
      <c r="F354" s="409" t="s">
        <v>468</v>
      </c>
      <c r="G354" s="1663"/>
      <c r="H354" s="2772">
        <f>H355</f>
        <v>2354.1120000000001</v>
      </c>
      <c r="I354" s="2773"/>
      <c r="J354" s="2774"/>
      <c r="K354" s="2735"/>
      <c r="L354" s="2735"/>
      <c r="M354" s="2735"/>
      <c r="N354" s="2795">
        <f>N355</f>
        <v>500</v>
      </c>
      <c r="O354" s="2735"/>
      <c r="P354" s="2735"/>
      <c r="Q354" s="2735"/>
      <c r="R354" s="2735"/>
      <c r="S354" s="2735"/>
      <c r="T354" s="2735"/>
      <c r="U354" s="2772">
        <f>U355</f>
        <v>500</v>
      </c>
    </row>
    <row r="355" spans="1:26" ht="30.75" customHeight="1" x14ac:dyDescent="0.25">
      <c r="A355" s="732"/>
      <c r="B355" s="1242" t="s">
        <v>1053</v>
      </c>
      <c r="C355" s="1193"/>
      <c r="D355" s="1217" t="s">
        <v>463</v>
      </c>
      <c r="E355" s="1217" t="s">
        <v>495</v>
      </c>
      <c r="F355" s="409" t="s">
        <v>857</v>
      </c>
      <c r="G355" s="1663"/>
      <c r="H355" s="2772">
        <f>H356</f>
        <v>2354.1120000000001</v>
      </c>
      <c r="I355" s="2773"/>
      <c r="J355" s="2774"/>
      <c r="K355" s="2735"/>
      <c r="L355" s="2735"/>
      <c r="M355" s="2735"/>
      <c r="N355" s="2795">
        <f>N356</f>
        <v>500</v>
      </c>
      <c r="O355" s="2735"/>
      <c r="P355" s="2735"/>
      <c r="Q355" s="2735"/>
      <c r="R355" s="2735"/>
      <c r="S355" s="2735"/>
      <c r="T355" s="2735"/>
      <c r="U355" s="2772">
        <f>U356</f>
        <v>500</v>
      </c>
    </row>
    <row r="356" spans="1:26" ht="30.75" customHeight="1" x14ac:dyDescent="0.25">
      <c r="A356" s="732"/>
      <c r="B356" s="1242" t="s">
        <v>467</v>
      </c>
      <c r="C356" s="409"/>
      <c r="D356" s="1217" t="s">
        <v>463</v>
      </c>
      <c r="E356" s="1217" t="s">
        <v>495</v>
      </c>
      <c r="F356" s="409" t="s">
        <v>858</v>
      </c>
      <c r="G356" s="1663"/>
      <c r="H356" s="2772">
        <f>H357</f>
        <v>2354.1120000000001</v>
      </c>
      <c r="I356" s="2773"/>
      <c r="J356" s="2774"/>
      <c r="K356" s="2735"/>
      <c r="L356" s="2735"/>
      <c r="M356" s="2735"/>
      <c r="N356" s="2795">
        <f>N357</f>
        <v>500</v>
      </c>
      <c r="O356" s="2735"/>
      <c r="P356" s="2735"/>
      <c r="Q356" s="2735"/>
      <c r="R356" s="2735"/>
      <c r="S356" s="2735"/>
      <c r="T356" s="2735"/>
      <c r="U356" s="2772">
        <f>U357</f>
        <v>500</v>
      </c>
    </row>
    <row r="357" spans="1:26" ht="30.75" customHeight="1" x14ac:dyDescent="0.25">
      <c r="A357" s="732"/>
      <c r="B357" s="1242" t="s">
        <v>1054</v>
      </c>
      <c r="C357" s="1193"/>
      <c r="D357" s="1217" t="s">
        <v>463</v>
      </c>
      <c r="E357" s="1217" t="s">
        <v>495</v>
      </c>
      <c r="F357" s="409" t="s">
        <v>1055</v>
      </c>
      <c r="G357" s="1663"/>
      <c r="H357" s="2772">
        <f>H359</f>
        <v>2354.1120000000001</v>
      </c>
      <c r="I357" s="2773"/>
      <c r="J357" s="2774"/>
      <c r="K357" s="2735"/>
      <c r="L357" s="2735"/>
      <c r="M357" s="2735"/>
      <c r="N357" s="2795">
        <f>N359</f>
        <v>500</v>
      </c>
      <c r="O357" s="2735"/>
      <c r="P357" s="2735"/>
      <c r="Q357" s="2735"/>
      <c r="R357" s="2735"/>
      <c r="S357" s="2735"/>
      <c r="T357" s="2735"/>
      <c r="U357" s="2772">
        <f>U359</f>
        <v>500</v>
      </c>
    </row>
    <row r="358" spans="1:26" ht="23.15" customHeight="1" x14ac:dyDescent="0.25">
      <c r="A358" s="732"/>
      <c r="B358" s="1182" t="s">
        <v>1048</v>
      </c>
      <c r="C358" s="1193"/>
      <c r="D358" s="1217" t="s">
        <v>463</v>
      </c>
      <c r="E358" s="1217" t="s">
        <v>495</v>
      </c>
      <c r="F358" s="409" t="s">
        <v>1055</v>
      </c>
      <c r="G358" s="1663" t="s">
        <v>955</v>
      </c>
      <c r="H358" s="2772">
        <v>2354.1120000000001</v>
      </c>
      <c r="I358" s="2773"/>
      <c r="J358" s="2774"/>
      <c r="K358" s="2735"/>
      <c r="L358" s="2735"/>
      <c r="M358" s="2735"/>
      <c r="N358" s="2795">
        <v>500</v>
      </c>
      <c r="O358" s="2735"/>
      <c r="P358" s="2735"/>
      <c r="Q358" s="2735"/>
      <c r="R358" s="2735"/>
      <c r="S358" s="2735"/>
      <c r="T358" s="2735"/>
      <c r="U358" s="2772">
        <v>500</v>
      </c>
    </row>
    <row r="359" spans="1:26" ht="30.75" customHeight="1" x14ac:dyDescent="0.25">
      <c r="A359" s="732"/>
      <c r="B359" s="1182" t="s">
        <v>454</v>
      </c>
      <c r="C359" s="1193"/>
      <c r="D359" s="1217" t="s">
        <v>463</v>
      </c>
      <c r="E359" s="1217" t="s">
        <v>495</v>
      </c>
      <c r="F359" s="409" t="s">
        <v>1055</v>
      </c>
      <c r="G359" s="1663" t="s">
        <v>1</v>
      </c>
      <c r="H359" s="2796">
        <v>2354.1120000000001</v>
      </c>
      <c r="I359" s="2797"/>
      <c r="J359" s="2798"/>
      <c r="K359" s="2799"/>
      <c r="L359" s="2800"/>
      <c r="M359" s="2735"/>
      <c r="N359" s="2772">
        <v>500</v>
      </c>
      <c r="O359" s="2735"/>
      <c r="P359" s="2801">
        <v>500</v>
      </c>
      <c r="Q359" s="2801">
        <v>500</v>
      </c>
      <c r="R359" s="2735"/>
      <c r="S359" s="2735"/>
      <c r="T359" s="2735"/>
      <c r="U359" s="2772">
        <v>500</v>
      </c>
      <c r="Z359" s="1">
        <v>2136.73</v>
      </c>
    </row>
    <row r="360" spans="1:26" ht="30.75" customHeight="1" x14ac:dyDescent="0.25">
      <c r="A360" s="732"/>
      <c r="B360" s="1242" t="s">
        <v>1138</v>
      </c>
      <c r="C360" s="1193"/>
      <c r="D360" s="1217" t="s">
        <v>463</v>
      </c>
      <c r="E360" s="1217" t="s">
        <v>495</v>
      </c>
      <c r="F360" s="409" t="s">
        <v>1139</v>
      </c>
      <c r="G360" s="1663"/>
      <c r="H360" s="2772">
        <f>H361</f>
        <v>0</v>
      </c>
      <c r="I360" s="2797"/>
      <c r="J360" s="2802"/>
      <c r="K360" s="2803"/>
      <c r="L360" s="2803"/>
      <c r="M360" s="2735"/>
      <c r="N360" s="2772">
        <f>N361</f>
        <v>945.56500000000005</v>
      </c>
      <c r="O360" s="2735"/>
      <c r="P360" s="2804"/>
      <c r="Q360" s="2804"/>
      <c r="R360" s="2735"/>
      <c r="S360" s="2735"/>
      <c r="T360" s="2735"/>
      <c r="U360" s="2772">
        <f>U361</f>
        <v>0</v>
      </c>
    </row>
    <row r="361" spans="1:26" ht="33" customHeight="1" x14ac:dyDescent="0.25">
      <c r="A361" s="732"/>
      <c r="B361" s="1242" t="s">
        <v>1141</v>
      </c>
      <c r="C361" s="1193"/>
      <c r="D361" s="1217" t="s">
        <v>463</v>
      </c>
      <c r="E361" s="1217" t="s">
        <v>495</v>
      </c>
      <c r="F361" s="409" t="s">
        <v>1140</v>
      </c>
      <c r="G361" s="1663"/>
      <c r="H361" s="2772">
        <f>H362</f>
        <v>0</v>
      </c>
      <c r="I361" s="2797"/>
      <c r="J361" s="2802"/>
      <c r="K361" s="2803"/>
      <c r="L361" s="2803"/>
      <c r="M361" s="2735"/>
      <c r="N361" s="2772">
        <f>N362</f>
        <v>945.56500000000005</v>
      </c>
      <c r="O361" s="2735"/>
      <c r="P361" s="2804"/>
      <c r="Q361" s="2804"/>
      <c r="R361" s="2735"/>
      <c r="S361" s="2735"/>
      <c r="T361" s="2735"/>
      <c r="U361" s="2772">
        <f>U362</f>
        <v>0</v>
      </c>
    </row>
    <row r="362" spans="1:26" ht="27.75" customHeight="1" x14ac:dyDescent="0.25">
      <c r="A362" s="732"/>
      <c r="B362" s="1242" t="s">
        <v>1147</v>
      </c>
      <c r="C362" s="1193"/>
      <c r="D362" s="1217" t="s">
        <v>463</v>
      </c>
      <c r="E362" s="1217" t="s">
        <v>495</v>
      </c>
      <c r="F362" s="409" t="s">
        <v>1140</v>
      </c>
      <c r="G362" s="1663"/>
      <c r="H362" s="2772">
        <f>H363</f>
        <v>0</v>
      </c>
      <c r="I362" s="2797"/>
      <c r="J362" s="2802"/>
      <c r="K362" s="2803"/>
      <c r="L362" s="2803"/>
      <c r="M362" s="2735"/>
      <c r="N362" s="2772">
        <f>N363</f>
        <v>945.56500000000005</v>
      </c>
      <c r="O362" s="2735"/>
      <c r="P362" s="2804"/>
      <c r="Q362" s="2804"/>
      <c r="R362" s="2735"/>
      <c r="S362" s="2735"/>
      <c r="T362" s="2735"/>
      <c r="U362" s="2772">
        <f>U363</f>
        <v>0</v>
      </c>
    </row>
    <row r="363" spans="1:26" ht="30.75" customHeight="1" x14ac:dyDescent="0.25">
      <c r="A363" s="732"/>
      <c r="B363" s="1182" t="s">
        <v>1048</v>
      </c>
      <c r="C363" s="1193"/>
      <c r="D363" s="1217" t="s">
        <v>463</v>
      </c>
      <c r="E363" s="1217" t="s">
        <v>495</v>
      </c>
      <c r="F363" s="409" t="s">
        <v>1142</v>
      </c>
      <c r="G363" s="1663" t="s">
        <v>955</v>
      </c>
      <c r="H363" s="2772">
        <f>H364</f>
        <v>0</v>
      </c>
      <c r="I363" s="2797"/>
      <c r="J363" s="2802"/>
      <c r="K363" s="2803"/>
      <c r="L363" s="2803"/>
      <c r="M363" s="2735"/>
      <c r="N363" s="2772">
        <f>N364</f>
        <v>945.56500000000005</v>
      </c>
      <c r="O363" s="2735"/>
      <c r="P363" s="2804"/>
      <c r="Q363" s="2804"/>
      <c r="R363" s="2735"/>
      <c r="S363" s="2735"/>
      <c r="T363" s="2735"/>
      <c r="U363" s="2772">
        <f>U364</f>
        <v>0</v>
      </c>
    </row>
    <row r="364" spans="1:26" ht="30.75" customHeight="1" x14ac:dyDescent="0.25">
      <c r="A364" s="732"/>
      <c r="B364" s="1182" t="s">
        <v>454</v>
      </c>
      <c r="C364" s="1193"/>
      <c r="D364" s="1217" t="s">
        <v>463</v>
      </c>
      <c r="E364" s="1217" t="s">
        <v>495</v>
      </c>
      <c r="F364" s="409" t="s">
        <v>1142</v>
      </c>
      <c r="G364" s="1663" t="s">
        <v>1</v>
      </c>
      <c r="H364" s="2772">
        <v>0</v>
      </c>
      <c r="I364" s="2773"/>
      <c r="J364" s="2774"/>
      <c r="K364" s="2735"/>
      <c r="L364" s="2735"/>
      <c r="M364" s="2735"/>
      <c r="N364" s="2795">
        <v>945.56500000000005</v>
      </c>
      <c r="O364" s="2735"/>
      <c r="P364" s="2735"/>
      <c r="Q364" s="2735"/>
      <c r="R364" s="2735"/>
      <c r="S364" s="2735"/>
      <c r="T364" s="2735"/>
      <c r="U364" s="2772">
        <v>0</v>
      </c>
    </row>
    <row r="365" spans="1:26" ht="30.75" customHeight="1" x14ac:dyDescent="0.25">
      <c r="A365" s="732"/>
      <c r="B365" s="1242" t="s">
        <v>1049</v>
      </c>
      <c r="C365" s="1193"/>
      <c r="D365" s="1248" t="s">
        <v>463</v>
      </c>
      <c r="E365" s="1248" t="s">
        <v>495</v>
      </c>
      <c r="F365" s="409" t="s">
        <v>1045</v>
      </c>
      <c r="G365" s="1663"/>
      <c r="H365" s="2772">
        <f>H366</f>
        <v>1444.778</v>
      </c>
      <c r="I365" s="2773"/>
      <c r="J365" s="2774"/>
      <c r="K365" s="2735"/>
      <c r="L365" s="2735"/>
      <c r="M365" s="2735"/>
      <c r="N365" s="2795">
        <f>N366</f>
        <v>1170.1120000000001</v>
      </c>
      <c r="O365" s="2735"/>
      <c r="P365" s="2735"/>
      <c r="Q365" s="2735"/>
      <c r="R365" s="2735"/>
      <c r="S365" s="2735"/>
      <c r="T365" s="2735"/>
      <c r="U365" s="2772">
        <f>U366</f>
        <v>874.66700000000003</v>
      </c>
    </row>
    <row r="366" spans="1:26" ht="30.75" customHeight="1" x14ac:dyDescent="0.25">
      <c r="A366" s="732"/>
      <c r="B366" s="1242" t="s">
        <v>1050</v>
      </c>
      <c r="C366" s="1193"/>
      <c r="D366" s="1217" t="s">
        <v>463</v>
      </c>
      <c r="E366" s="1217" t="s">
        <v>495</v>
      </c>
      <c r="F366" s="409" t="s">
        <v>1046</v>
      </c>
      <c r="G366" s="1663"/>
      <c r="H366" s="2772">
        <f>H367</f>
        <v>1444.778</v>
      </c>
      <c r="I366" s="2773"/>
      <c r="J366" s="2774"/>
      <c r="K366" s="2735"/>
      <c r="L366" s="2735"/>
      <c r="M366" s="2735"/>
      <c r="N366" s="2795">
        <f>N367</f>
        <v>1170.1120000000001</v>
      </c>
      <c r="O366" s="2735"/>
      <c r="P366" s="2735"/>
      <c r="Q366" s="2735"/>
      <c r="R366" s="2735"/>
      <c r="S366" s="2735"/>
      <c r="T366" s="2735"/>
      <c r="U366" s="2772">
        <f>U367</f>
        <v>874.66700000000003</v>
      </c>
    </row>
    <row r="367" spans="1:26" ht="30.75" customHeight="1" x14ac:dyDescent="0.25">
      <c r="A367" s="732"/>
      <c r="B367" s="1242" t="s">
        <v>1051</v>
      </c>
      <c r="C367" s="1193"/>
      <c r="D367" s="1217" t="s">
        <v>463</v>
      </c>
      <c r="E367" s="1217" t="s">
        <v>495</v>
      </c>
      <c r="F367" s="409" t="s">
        <v>1052</v>
      </c>
      <c r="G367" s="1663"/>
      <c r="H367" s="2772">
        <f>H369</f>
        <v>1444.778</v>
      </c>
      <c r="I367" s="2773"/>
      <c r="J367" s="2774"/>
      <c r="K367" s="2735"/>
      <c r="L367" s="2735"/>
      <c r="M367" s="2735"/>
      <c r="N367" s="2795">
        <f>N369</f>
        <v>1170.1120000000001</v>
      </c>
      <c r="O367" s="2735"/>
      <c r="P367" s="2735"/>
      <c r="Q367" s="2735"/>
      <c r="R367" s="2735"/>
      <c r="S367" s="2735"/>
      <c r="T367" s="2735"/>
      <c r="U367" s="2772">
        <f>U369</f>
        <v>874.66700000000003</v>
      </c>
    </row>
    <row r="368" spans="1:26" ht="22" customHeight="1" x14ac:dyDescent="0.25">
      <c r="A368" s="732"/>
      <c r="B368" s="1242" t="s">
        <v>1048</v>
      </c>
      <c r="C368" s="1193"/>
      <c r="D368" s="1217" t="s">
        <v>463</v>
      </c>
      <c r="E368" s="1217" t="s">
        <v>495</v>
      </c>
      <c r="F368" s="409" t="s">
        <v>1052</v>
      </c>
      <c r="G368" s="1663" t="s">
        <v>955</v>
      </c>
      <c r="H368" s="2772">
        <f>H369</f>
        <v>1444.778</v>
      </c>
      <c r="I368" s="2773"/>
      <c r="J368" s="2774"/>
      <c r="K368" s="2735"/>
      <c r="L368" s="2735"/>
      <c r="M368" s="2735"/>
      <c r="N368" s="2795">
        <f>N369</f>
        <v>1170.1120000000001</v>
      </c>
      <c r="O368" s="2735"/>
      <c r="P368" s="2735"/>
      <c r="Q368" s="2735"/>
      <c r="R368" s="2735"/>
      <c r="S368" s="2735"/>
      <c r="T368" s="2735"/>
      <c r="U368" s="2772">
        <f>U369</f>
        <v>874.66700000000003</v>
      </c>
    </row>
    <row r="369" spans="1:26" ht="30.75" customHeight="1" x14ac:dyDescent="0.25">
      <c r="A369" s="732"/>
      <c r="B369" s="1182" t="s">
        <v>4</v>
      </c>
      <c r="C369" s="1193"/>
      <c r="D369" s="1217" t="s">
        <v>463</v>
      </c>
      <c r="E369" s="1217" t="s">
        <v>495</v>
      </c>
      <c r="F369" s="409" t="s">
        <v>1052</v>
      </c>
      <c r="G369" s="1663" t="s">
        <v>1</v>
      </c>
      <c r="H369" s="2772">
        <v>1444.778</v>
      </c>
      <c r="I369" s="2773"/>
      <c r="J369" s="2774"/>
      <c r="K369" s="2735"/>
      <c r="L369" s="2735"/>
      <c r="M369" s="2735"/>
      <c r="N369" s="2795">
        <v>1170.1120000000001</v>
      </c>
      <c r="O369" s="2735"/>
      <c r="P369" s="2735"/>
      <c r="Q369" s="2735"/>
      <c r="R369" s="2735"/>
      <c r="S369" s="2735"/>
      <c r="T369" s="2735"/>
      <c r="U369" s="2772">
        <v>874.66700000000003</v>
      </c>
      <c r="Z369" s="1">
        <v>643.25</v>
      </c>
    </row>
    <row r="370" spans="1:26" ht="37" customHeight="1" x14ac:dyDescent="0.25">
      <c r="A370" s="732"/>
      <c r="B370" s="1872" t="s">
        <v>1095</v>
      </c>
      <c r="C370" s="409"/>
      <c r="D370" s="1248" t="s">
        <v>463</v>
      </c>
      <c r="E370" s="1248" t="s">
        <v>495</v>
      </c>
      <c r="F370" s="409" t="s">
        <v>952</v>
      </c>
      <c r="G370" s="1667"/>
      <c r="H370" s="2772">
        <f>H374+H376</f>
        <v>959.36800000000005</v>
      </c>
      <c r="I370" s="2773"/>
      <c r="J370" s="2774"/>
      <c r="K370" s="2735"/>
      <c r="L370" s="2735"/>
      <c r="M370" s="2735"/>
      <c r="N370" s="2795">
        <f>N374+N376</f>
        <v>0</v>
      </c>
      <c r="O370" s="2735"/>
      <c r="P370" s="2735"/>
      <c r="Q370" s="2735"/>
      <c r="R370" s="2735"/>
      <c r="S370" s="2735"/>
      <c r="T370" s="2735"/>
      <c r="U370" s="2772">
        <v>0</v>
      </c>
    </row>
    <row r="371" spans="1:26" ht="30.75" hidden="1" customHeight="1" x14ac:dyDescent="0.25">
      <c r="A371" s="732"/>
      <c r="B371" s="1873" t="s">
        <v>1128</v>
      </c>
      <c r="C371" s="409"/>
      <c r="D371" s="409" t="s">
        <v>463</v>
      </c>
      <c r="E371" s="409" t="s">
        <v>495</v>
      </c>
      <c r="F371" s="409" t="s">
        <v>953</v>
      </c>
      <c r="G371" s="1668"/>
      <c r="H371" s="2772">
        <f>H372</f>
        <v>0</v>
      </c>
      <c r="I371" s="2773"/>
      <c r="J371" s="2774"/>
      <c r="K371" s="2735"/>
      <c r="L371" s="2735"/>
      <c r="M371" s="2735"/>
      <c r="N371" s="2795">
        <f>N372</f>
        <v>0</v>
      </c>
      <c r="O371" s="2735"/>
      <c r="P371" s="2735"/>
      <c r="Q371" s="2735"/>
      <c r="R371" s="2735"/>
      <c r="S371" s="2735"/>
      <c r="T371" s="2735"/>
      <c r="U371" s="2772">
        <f>U372</f>
        <v>699</v>
      </c>
    </row>
    <row r="372" spans="1:26" ht="30.75" hidden="1" customHeight="1" x14ac:dyDescent="0.25">
      <c r="A372" s="732"/>
      <c r="B372" s="1874" t="s">
        <v>1127</v>
      </c>
      <c r="C372" s="409"/>
      <c r="D372" s="409" t="s">
        <v>463</v>
      </c>
      <c r="E372" s="409" t="s">
        <v>495</v>
      </c>
      <c r="F372" s="409" t="s">
        <v>1126</v>
      </c>
      <c r="G372" s="1875"/>
      <c r="H372" s="2772">
        <f>H373</f>
        <v>0</v>
      </c>
      <c r="I372" s="2773"/>
      <c r="J372" s="2774"/>
      <c r="K372" s="2735"/>
      <c r="L372" s="2735"/>
      <c r="M372" s="2735"/>
      <c r="N372" s="2795">
        <f>N373</f>
        <v>0</v>
      </c>
      <c r="O372" s="2735"/>
      <c r="P372" s="2735"/>
      <c r="Q372" s="2735"/>
      <c r="R372" s="2735"/>
      <c r="S372" s="2735"/>
      <c r="T372" s="2735"/>
      <c r="U372" s="2772">
        <f>U373</f>
        <v>699</v>
      </c>
    </row>
    <row r="373" spans="1:26" ht="30.75" hidden="1" customHeight="1" x14ac:dyDescent="0.25">
      <c r="A373" s="732"/>
      <c r="B373" s="753" t="s">
        <v>948</v>
      </c>
      <c r="C373" s="409"/>
      <c r="D373" s="1217" t="s">
        <v>463</v>
      </c>
      <c r="E373" s="1217" t="s">
        <v>495</v>
      </c>
      <c r="F373" s="409" t="s">
        <v>1126</v>
      </c>
      <c r="G373" s="1876" t="s">
        <v>955</v>
      </c>
      <c r="H373" s="2772">
        <f>H374</f>
        <v>0</v>
      </c>
      <c r="I373" s="2773"/>
      <c r="J373" s="2774"/>
      <c r="K373" s="2735"/>
      <c r="L373" s="2735"/>
      <c r="M373" s="2735"/>
      <c r="N373" s="2795">
        <f>N374</f>
        <v>0</v>
      </c>
      <c r="O373" s="2735"/>
      <c r="P373" s="2735"/>
      <c r="Q373" s="2735"/>
      <c r="R373" s="2735"/>
      <c r="S373" s="2735"/>
      <c r="T373" s="2735"/>
      <c r="U373" s="2772">
        <f>U374</f>
        <v>699</v>
      </c>
    </row>
    <row r="374" spans="1:26" ht="30.75" hidden="1" customHeight="1" x14ac:dyDescent="0.25">
      <c r="A374" s="732"/>
      <c r="B374" s="1182" t="s">
        <v>454</v>
      </c>
      <c r="C374" s="409"/>
      <c r="D374" s="1217" t="s">
        <v>463</v>
      </c>
      <c r="E374" s="1217" t="s">
        <v>495</v>
      </c>
      <c r="F374" s="409" t="s">
        <v>1126</v>
      </c>
      <c r="G374" s="1662" t="s">
        <v>1</v>
      </c>
      <c r="H374" s="2772">
        <f>H375</f>
        <v>0</v>
      </c>
      <c r="I374" s="2773"/>
      <c r="J374" s="2774"/>
      <c r="K374" s="2735">
        <v>450</v>
      </c>
      <c r="L374" s="2735"/>
      <c r="M374" s="2735"/>
      <c r="N374" s="2795">
        <f>N375</f>
        <v>0</v>
      </c>
      <c r="O374" s="2735"/>
      <c r="P374" s="2735"/>
      <c r="Q374" s="2735"/>
      <c r="R374" s="2735"/>
      <c r="S374" s="2735"/>
      <c r="T374" s="2735"/>
      <c r="U374" s="2772">
        <f>U375</f>
        <v>699</v>
      </c>
    </row>
    <row r="375" spans="1:26" ht="30.75" hidden="1" customHeight="1" x14ac:dyDescent="0.25">
      <c r="A375" s="732"/>
      <c r="B375" s="1182" t="s">
        <v>1136</v>
      </c>
      <c r="C375" s="409"/>
      <c r="D375" s="1217" t="s">
        <v>463</v>
      </c>
      <c r="E375" s="1217" t="s">
        <v>495</v>
      </c>
      <c r="F375" s="409" t="s">
        <v>1126</v>
      </c>
      <c r="G375" s="1662" t="s">
        <v>1</v>
      </c>
      <c r="H375" s="2772">
        <v>0</v>
      </c>
      <c r="I375" s="2773"/>
      <c r="J375" s="2774"/>
      <c r="K375" s="2735"/>
      <c r="L375" s="2735"/>
      <c r="M375" s="2735"/>
      <c r="N375" s="2795">
        <v>0</v>
      </c>
      <c r="O375" s="2735"/>
      <c r="P375" s="2735"/>
      <c r="Q375" s="2735"/>
      <c r="R375" s="2735"/>
      <c r="S375" s="2735"/>
      <c r="T375" s="2735"/>
      <c r="U375" s="2772">
        <f>6291+699-6291</f>
        <v>699</v>
      </c>
    </row>
    <row r="376" spans="1:26" ht="30.75" customHeight="1" x14ac:dyDescent="0.25">
      <c r="A376" s="732"/>
      <c r="B376" s="1872" t="s">
        <v>1019</v>
      </c>
      <c r="C376" s="409"/>
      <c r="D376" s="1217" t="s">
        <v>463</v>
      </c>
      <c r="E376" s="1217" t="s">
        <v>495</v>
      </c>
      <c r="F376" s="409" t="s">
        <v>1020</v>
      </c>
      <c r="G376" s="1668"/>
      <c r="H376" s="2772">
        <f>H377</f>
        <v>959.36800000000005</v>
      </c>
      <c r="I376" s="2773"/>
      <c r="J376" s="2774"/>
      <c r="K376" s="2735"/>
      <c r="L376" s="2735"/>
      <c r="M376" s="2735"/>
      <c r="N376" s="2795">
        <f>N377</f>
        <v>0</v>
      </c>
      <c r="O376" s="2735"/>
      <c r="P376" s="2735"/>
      <c r="Q376" s="2735"/>
      <c r="R376" s="2735"/>
      <c r="S376" s="2735"/>
      <c r="T376" s="2735"/>
      <c r="U376" s="2772">
        <f>U377</f>
        <v>0</v>
      </c>
    </row>
    <row r="377" spans="1:26" ht="30.75" customHeight="1" x14ac:dyDescent="0.25">
      <c r="A377" s="732"/>
      <c r="B377" s="753" t="s">
        <v>1021</v>
      </c>
      <c r="C377" s="409"/>
      <c r="D377" s="409" t="s">
        <v>463</v>
      </c>
      <c r="E377" s="409" t="s">
        <v>495</v>
      </c>
      <c r="F377" s="1864" t="s">
        <v>1022</v>
      </c>
      <c r="G377" s="1875"/>
      <c r="H377" s="2772">
        <f>H379</f>
        <v>959.36800000000005</v>
      </c>
      <c r="I377" s="2773"/>
      <c r="J377" s="2774"/>
      <c r="K377" s="2735"/>
      <c r="L377" s="2735"/>
      <c r="M377" s="2735"/>
      <c r="N377" s="2795">
        <f>N379</f>
        <v>0</v>
      </c>
      <c r="O377" s="2735"/>
      <c r="P377" s="2735"/>
      <c r="Q377" s="2735"/>
      <c r="R377" s="2735"/>
      <c r="S377" s="2735"/>
      <c r="T377" s="2735"/>
      <c r="U377" s="2772">
        <f>U379</f>
        <v>0</v>
      </c>
    </row>
    <row r="378" spans="1:26" ht="23.5" customHeight="1" x14ac:dyDescent="0.25">
      <c r="A378" s="732"/>
      <c r="B378" s="753" t="s">
        <v>948</v>
      </c>
      <c r="C378" s="409"/>
      <c r="D378" s="1217" t="s">
        <v>463</v>
      </c>
      <c r="E378" s="1217" t="s">
        <v>495</v>
      </c>
      <c r="F378" s="1864" t="s">
        <v>1022</v>
      </c>
      <c r="G378" s="1876" t="s">
        <v>955</v>
      </c>
      <c r="H378" s="2772">
        <f>H379</f>
        <v>959.36800000000005</v>
      </c>
      <c r="I378" s="2773"/>
      <c r="J378" s="2774"/>
      <c r="K378" s="2735"/>
      <c r="L378" s="2735"/>
      <c r="M378" s="2735"/>
      <c r="N378" s="2795">
        <f>N379</f>
        <v>0</v>
      </c>
      <c r="O378" s="2735"/>
      <c r="P378" s="2735"/>
      <c r="Q378" s="2735"/>
      <c r="R378" s="2735"/>
      <c r="S378" s="2735"/>
      <c r="T378" s="2735"/>
      <c r="U378" s="2772">
        <f>U379</f>
        <v>0</v>
      </c>
    </row>
    <row r="379" spans="1:26" ht="30.75" customHeight="1" x14ac:dyDescent="0.25">
      <c r="A379" s="732"/>
      <c r="B379" s="1182" t="s">
        <v>454</v>
      </c>
      <c r="C379" s="409"/>
      <c r="D379" s="409" t="s">
        <v>463</v>
      </c>
      <c r="E379" s="409" t="s">
        <v>495</v>
      </c>
      <c r="F379" s="1864" t="s">
        <v>1022</v>
      </c>
      <c r="G379" s="1662" t="s">
        <v>1</v>
      </c>
      <c r="H379" s="2772">
        <v>959.36800000000005</v>
      </c>
      <c r="I379" s="2773"/>
      <c r="J379" s="2774"/>
      <c r="K379" s="2735"/>
      <c r="L379" s="2735"/>
      <c r="M379" s="2735"/>
      <c r="N379" s="2795">
        <v>0</v>
      </c>
      <c r="O379" s="2735"/>
      <c r="P379" s="2735"/>
      <c r="Q379" s="2735"/>
      <c r="R379" s="2735"/>
      <c r="S379" s="2735"/>
      <c r="T379" s="2735"/>
      <c r="U379" s="2772">
        <v>0</v>
      </c>
    </row>
    <row r="380" spans="1:26" ht="30.75" customHeight="1" x14ac:dyDescent="0.25">
      <c r="A380" s="732"/>
      <c r="B380" s="1872" t="s">
        <v>1067</v>
      </c>
      <c r="C380" s="1193"/>
      <c r="D380" s="1531" t="s">
        <v>463</v>
      </c>
      <c r="E380" s="1531" t="s">
        <v>495</v>
      </c>
      <c r="F380" s="409" t="s">
        <v>1014</v>
      </c>
      <c r="G380" s="1663"/>
      <c r="H380" s="2772">
        <f>H381</f>
        <v>450.44500000000005</v>
      </c>
      <c r="I380" s="2773"/>
      <c r="J380" s="2774"/>
      <c r="K380" s="2735"/>
      <c r="L380" s="2735"/>
      <c r="M380" s="2735"/>
      <c r="N380" s="2795">
        <f>N381</f>
        <v>426.73700000000002</v>
      </c>
      <c r="O380" s="2735"/>
      <c r="P380" s="2735"/>
      <c r="Q380" s="2735"/>
      <c r="R380" s="2735"/>
      <c r="S380" s="2735"/>
      <c r="T380" s="2735"/>
      <c r="U380" s="2772">
        <f>U381</f>
        <v>150</v>
      </c>
    </row>
    <row r="381" spans="1:26" ht="30.75" customHeight="1" x14ac:dyDescent="0.25">
      <c r="A381" s="732"/>
      <c r="B381" s="1870" t="s">
        <v>1023</v>
      </c>
      <c r="C381" s="1193"/>
      <c r="D381" s="1531" t="s">
        <v>463</v>
      </c>
      <c r="E381" s="1531" t="s">
        <v>495</v>
      </c>
      <c r="F381" s="409" t="s">
        <v>1016</v>
      </c>
      <c r="G381" s="1663"/>
      <c r="H381" s="2772">
        <f>H382</f>
        <v>450.44500000000005</v>
      </c>
      <c r="I381" s="2773"/>
      <c r="J381" s="2774"/>
      <c r="K381" s="2735"/>
      <c r="L381" s="2735"/>
      <c r="M381" s="2735"/>
      <c r="N381" s="2795">
        <f>N382</f>
        <v>426.73700000000002</v>
      </c>
      <c r="O381" s="2735"/>
      <c r="P381" s="2735"/>
      <c r="Q381" s="2735"/>
      <c r="R381" s="2735"/>
      <c r="S381" s="2735"/>
      <c r="T381" s="2735"/>
      <c r="U381" s="2772">
        <f>U382</f>
        <v>150</v>
      </c>
    </row>
    <row r="382" spans="1:26" ht="30.75" customHeight="1" x14ac:dyDescent="0.25">
      <c r="A382" s="732"/>
      <c r="B382" s="1871" t="s">
        <v>1024</v>
      </c>
      <c r="C382" s="1193"/>
      <c r="D382" s="1877" t="s">
        <v>463</v>
      </c>
      <c r="E382" s="1877" t="s">
        <v>495</v>
      </c>
      <c r="F382" s="409" t="s">
        <v>1018</v>
      </c>
      <c r="G382" s="1663"/>
      <c r="H382" s="2772">
        <f>H384</f>
        <v>450.44500000000005</v>
      </c>
      <c r="I382" s="2773"/>
      <c r="J382" s="2774"/>
      <c r="K382" s="2735"/>
      <c r="L382" s="2735"/>
      <c r="M382" s="2735"/>
      <c r="N382" s="2795">
        <f>N384</f>
        <v>426.73700000000002</v>
      </c>
      <c r="O382" s="2735"/>
      <c r="P382" s="2735"/>
      <c r="Q382" s="2735"/>
      <c r="R382" s="2735"/>
      <c r="S382" s="2735"/>
      <c r="T382" s="2735"/>
      <c r="U382" s="2772">
        <f>U384</f>
        <v>150</v>
      </c>
    </row>
    <row r="383" spans="1:26" ht="22" customHeight="1" x14ac:dyDescent="0.25">
      <c r="A383" s="732"/>
      <c r="B383" s="753" t="s">
        <v>948</v>
      </c>
      <c r="C383" s="1193"/>
      <c r="D383" s="1531" t="s">
        <v>463</v>
      </c>
      <c r="E383" s="1531" t="s">
        <v>495</v>
      </c>
      <c r="F383" s="409" t="s">
        <v>1018</v>
      </c>
      <c r="G383" s="1663" t="s">
        <v>955</v>
      </c>
      <c r="H383" s="2772">
        <f t="shared" ref="H383:U383" si="76">H384</f>
        <v>450.44500000000005</v>
      </c>
      <c r="I383" s="2773">
        <f t="shared" si="76"/>
        <v>0</v>
      </c>
      <c r="J383" s="2774">
        <f t="shared" si="76"/>
        <v>0</v>
      </c>
      <c r="K383" s="2735">
        <f t="shared" si="76"/>
        <v>0</v>
      </c>
      <c r="L383" s="2735">
        <f t="shared" si="76"/>
        <v>0</v>
      </c>
      <c r="M383" s="2735">
        <f t="shared" si="76"/>
        <v>0</v>
      </c>
      <c r="N383" s="2795">
        <f t="shared" si="76"/>
        <v>426.73700000000002</v>
      </c>
      <c r="O383" s="2735">
        <f t="shared" si="76"/>
        <v>0</v>
      </c>
      <c r="P383" s="2735">
        <f t="shared" si="76"/>
        <v>0</v>
      </c>
      <c r="Q383" s="2735">
        <f t="shared" si="76"/>
        <v>0</v>
      </c>
      <c r="R383" s="2735">
        <f t="shared" si="76"/>
        <v>0</v>
      </c>
      <c r="S383" s="2735">
        <f t="shared" si="76"/>
        <v>0</v>
      </c>
      <c r="T383" s="2735">
        <f t="shared" si="76"/>
        <v>0</v>
      </c>
      <c r="U383" s="2772">
        <f t="shared" si="76"/>
        <v>150</v>
      </c>
    </row>
    <row r="384" spans="1:26" ht="30.75" customHeight="1" x14ac:dyDescent="0.25">
      <c r="A384" s="732"/>
      <c r="B384" s="1182" t="s">
        <v>454</v>
      </c>
      <c r="C384" s="1193"/>
      <c r="D384" s="1531" t="s">
        <v>463</v>
      </c>
      <c r="E384" s="1531" t="s">
        <v>495</v>
      </c>
      <c r="F384" s="409" t="s">
        <v>1018</v>
      </c>
      <c r="G384" s="1663" t="s">
        <v>1</v>
      </c>
      <c r="H384" s="2772">
        <f>426.737+23.708</f>
        <v>450.44500000000005</v>
      </c>
      <c r="I384" s="2773"/>
      <c r="J384" s="2774"/>
      <c r="K384" s="2735"/>
      <c r="L384" s="2735"/>
      <c r="M384" s="2735"/>
      <c r="N384" s="2795">
        <v>426.73700000000002</v>
      </c>
      <c r="O384" s="2735"/>
      <c r="P384" s="2735"/>
      <c r="Q384" s="2735"/>
      <c r="R384" s="2735"/>
      <c r="S384" s="2735"/>
      <c r="T384" s="2735"/>
      <c r="U384" s="2772">
        <v>150</v>
      </c>
      <c r="Z384" s="1">
        <v>405.4</v>
      </c>
    </row>
    <row r="385" spans="1:21" ht="21" x14ac:dyDescent="0.25">
      <c r="A385" s="732"/>
      <c r="B385" s="1205" t="s">
        <v>1212</v>
      </c>
      <c r="C385" s="1226"/>
      <c r="D385" s="1531" t="s">
        <v>463</v>
      </c>
      <c r="E385" s="1531" t="s">
        <v>495</v>
      </c>
      <c r="F385" s="409" t="s">
        <v>1162</v>
      </c>
      <c r="G385" s="1665"/>
      <c r="H385" s="2772">
        <f>H387</f>
        <v>2960.0099999999998</v>
      </c>
      <c r="I385" s="2773"/>
      <c r="J385" s="2774"/>
      <c r="K385" s="2735"/>
      <c r="L385" s="2735"/>
      <c r="M385" s="2735"/>
      <c r="N385" s="2795">
        <f>N387</f>
        <v>0</v>
      </c>
      <c r="O385" s="2735"/>
      <c r="P385" s="2735"/>
      <c r="Q385" s="2735"/>
      <c r="R385" s="2735"/>
      <c r="S385" s="2735"/>
      <c r="T385" s="2735"/>
      <c r="U385" s="2772">
        <f>U387</f>
        <v>0</v>
      </c>
    </row>
    <row r="386" spans="1:21" ht="21" x14ac:dyDescent="0.25">
      <c r="A386" s="732"/>
      <c r="B386" s="1247" t="s">
        <v>1166</v>
      </c>
      <c r="C386" s="1226"/>
      <c r="D386" s="1531" t="s">
        <v>463</v>
      </c>
      <c r="E386" s="1531" t="s">
        <v>495</v>
      </c>
      <c r="F386" s="409" t="s">
        <v>1163</v>
      </c>
      <c r="G386" s="1665"/>
      <c r="H386" s="2772">
        <f>H387</f>
        <v>2960.0099999999998</v>
      </c>
      <c r="I386" s="2773"/>
      <c r="J386" s="2774"/>
      <c r="K386" s="2735"/>
      <c r="L386" s="2735"/>
      <c r="M386" s="2735"/>
      <c r="N386" s="2795">
        <f>N387</f>
        <v>0</v>
      </c>
      <c r="O386" s="2735"/>
      <c r="P386" s="2735"/>
      <c r="Q386" s="2735"/>
      <c r="R386" s="2735"/>
      <c r="S386" s="2735"/>
      <c r="T386" s="2735"/>
      <c r="U386" s="2772">
        <f>U387</f>
        <v>0</v>
      </c>
    </row>
    <row r="387" spans="1:21" ht="21" x14ac:dyDescent="0.25">
      <c r="A387" s="732"/>
      <c r="B387" s="1247" t="s">
        <v>1167</v>
      </c>
      <c r="C387" s="1226"/>
      <c r="D387" s="1531" t="s">
        <v>463</v>
      </c>
      <c r="E387" s="1531" t="s">
        <v>495</v>
      </c>
      <c r="F387" s="409" t="s">
        <v>1164</v>
      </c>
      <c r="G387" s="1665"/>
      <c r="H387" s="2772">
        <f>H388</f>
        <v>2960.0099999999998</v>
      </c>
      <c r="I387" s="2773"/>
      <c r="J387" s="2774"/>
      <c r="K387" s="2735"/>
      <c r="L387" s="2735"/>
      <c r="M387" s="2735"/>
      <c r="N387" s="2795"/>
      <c r="O387" s="2735"/>
      <c r="P387" s="2735"/>
      <c r="Q387" s="2735"/>
      <c r="R387" s="2735"/>
      <c r="S387" s="2735"/>
      <c r="T387" s="2735"/>
      <c r="U387" s="2772"/>
    </row>
    <row r="388" spans="1:21" x14ac:dyDescent="0.25">
      <c r="A388" s="732"/>
      <c r="B388" s="1247" t="s">
        <v>1168</v>
      </c>
      <c r="C388" s="1226"/>
      <c r="D388" s="1531" t="s">
        <v>463</v>
      </c>
      <c r="E388" s="1531" t="s">
        <v>495</v>
      </c>
      <c r="F388" s="409" t="s">
        <v>1165</v>
      </c>
      <c r="G388" s="1665"/>
      <c r="H388" s="2772">
        <f>H390</f>
        <v>2960.0099999999998</v>
      </c>
      <c r="I388" s="2773"/>
      <c r="J388" s="2774"/>
      <c r="K388" s="2735"/>
      <c r="L388" s="2735"/>
      <c r="M388" s="2735"/>
      <c r="N388" s="2795">
        <f>N390</f>
        <v>0</v>
      </c>
      <c r="O388" s="2735"/>
      <c r="P388" s="2735"/>
      <c r="Q388" s="2735"/>
      <c r="R388" s="2735"/>
      <c r="S388" s="2735"/>
      <c r="T388" s="2735"/>
      <c r="U388" s="2772">
        <f>U390</f>
        <v>0</v>
      </c>
    </row>
    <row r="389" spans="1:21" ht="20.149999999999999" customHeight="1" x14ac:dyDescent="0.25">
      <c r="A389" s="732"/>
      <c r="B389" s="753" t="s">
        <v>948</v>
      </c>
      <c r="C389" s="1226"/>
      <c r="D389" s="1531" t="s">
        <v>463</v>
      </c>
      <c r="E389" s="1531" t="s">
        <v>495</v>
      </c>
      <c r="F389" s="409" t="s">
        <v>1165</v>
      </c>
      <c r="G389" s="1662" t="s">
        <v>955</v>
      </c>
      <c r="H389" s="2772">
        <f t="shared" ref="H389:U389" si="77">H390</f>
        <v>2960.0099999999998</v>
      </c>
      <c r="I389" s="2773">
        <f t="shared" si="77"/>
        <v>0</v>
      </c>
      <c r="J389" s="2774">
        <f t="shared" si="77"/>
        <v>0</v>
      </c>
      <c r="K389" s="2735">
        <f t="shared" si="77"/>
        <v>0</v>
      </c>
      <c r="L389" s="2735">
        <f t="shared" si="77"/>
        <v>0</v>
      </c>
      <c r="M389" s="2735">
        <f t="shared" si="77"/>
        <v>0</v>
      </c>
      <c r="N389" s="2795">
        <f t="shared" si="77"/>
        <v>0</v>
      </c>
      <c r="O389" s="2735">
        <f t="shared" si="77"/>
        <v>0</v>
      </c>
      <c r="P389" s="2735">
        <f t="shared" si="77"/>
        <v>0</v>
      </c>
      <c r="Q389" s="2735">
        <f t="shared" si="77"/>
        <v>0</v>
      </c>
      <c r="R389" s="2735">
        <f t="shared" si="77"/>
        <v>0</v>
      </c>
      <c r="S389" s="2735">
        <f t="shared" si="77"/>
        <v>0</v>
      </c>
      <c r="T389" s="2735">
        <f t="shared" si="77"/>
        <v>0</v>
      </c>
      <c r="U389" s="2772">
        <f t="shared" si="77"/>
        <v>0</v>
      </c>
    </row>
    <row r="390" spans="1:21" ht="30.75" customHeight="1" x14ac:dyDescent="0.25">
      <c r="A390" s="732"/>
      <c r="B390" s="1182" t="s">
        <v>454</v>
      </c>
      <c r="C390" s="1226"/>
      <c r="D390" s="1531" t="s">
        <v>463</v>
      </c>
      <c r="E390" s="1531" t="s">
        <v>495</v>
      </c>
      <c r="F390" s="409" t="s">
        <v>1165</v>
      </c>
      <c r="G390" s="1662" t="s">
        <v>1</v>
      </c>
      <c r="H390" s="2785">
        <f>2615.073-0.0002+344.9372</f>
        <v>2960.0099999999998</v>
      </c>
      <c r="I390" s="2773"/>
      <c r="J390" s="2774"/>
      <c r="K390" s="2735"/>
      <c r="L390" s="2735"/>
      <c r="M390" s="2735"/>
      <c r="N390" s="2795">
        <v>0</v>
      </c>
      <c r="O390" s="2735"/>
      <c r="P390" s="2735"/>
      <c r="Q390" s="2735"/>
      <c r="R390" s="2735"/>
      <c r="S390" s="2735"/>
      <c r="T390" s="2735"/>
      <c r="U390" s="2772">
        <v>0</v>
      </c>
    </row>
    <row r="391" spans="1:21" ht="30.75" customHeight="1" x14ac:dyDescent="0.25">
      <c r="A391" s="732"/>
      <c r="B391" s="1182" t="s">
        <v>499</v>
      </c>
      <c r="C391" s="1880"/>
      <c r="D391" s="1221" t="s">
        <v>463</v>
      </c>
      <c r="E391" s="1221" t="s">
        <v>495</v>
      </c>
      <c r="F391" s="1662" t="s">
        <v>89</v>
      </c>
      <c r="G391" s="1662"/>
      <c r="H391" s="2772">
        <f>H392</f>
        <v>5480</v>
      </c>
      <c r="I391" s="2773"/>
      <c r="J391" s="2774"/>
      <c r="K391" s="2735"/>
      <c r="L391" s="2735"/>
      <c r="M391" s="2735"/>
      <c r="N391" s="2775">
        <f>N392</f>
        <v>3843.7079999999996</v>
      </c>
      <c r="O391" s="2735"/>
      <c r="P391" s="2735"/>
      <c r="Q391" s="2735"/>
      <c r="R391" s="2735"/>
      <c r="S391" s="2735"/>
      <c r="T391" s="2735"/>
      <c r="U391" s="2772">
        <f>U392</f>
        <v>9348.1670000000013</v>
      </c>
    </row>
    <row r="392" spans="1:21" ht="30.75" customHeight="1" x14ac:dyDescent="0.25">
      <c r="A392" s="1179"/>
      <c r="B392" s="1882" t="s">
        <v>109</v>
      </c>
      <c r="C392" s="409"/>
      <c r="D392" s="1217" t="s">
        <v>463</v>
      </c>
      <c r="E392" s="1217" t="s">
        <v>495</v>
      </c>
      <c r="F392" s="409" t="s">
        <v>84</v>
      </c>
      <c r="G392" s="1883"/>
      <c r="H392" s="2772">
        <f>H393</f>
        <v>5480</v>
      </c>
      <c r="I392" s="2773"/>
      <c r="J392" s="2774"/>
      <c r="K392" s="2735"/>
      <c r="L392" s="2735"/>
      <c r="M392" s="2735"/>
      <c r="N392" s="2775">
        <f>N393</f>
        <v>3843.7079999999996</v>
      </c>
      <c r="O392" s="2735"/>
      <c r="P392" s="2735"/>
      <c r="Q392" s="2735"/>
      <c r="R392" s="2735"/>
      <c r="S392" s="2735"/>
      <c r="T392" s="2735"/>
      <c r="U392" s="2772">
        <f>U393</f>
        <v>9348.1670000000013</v>
      </c>
    </row>
    <row r="393" spans="1:21" ht="30.75" customHeight="1" x14ac:dyDescent="0.25">
      <c r="A393" s="1179"/>
      <c r="B393" s="1884" t="s">
        <v>109</v>
      </c>
      <c r="C393" s="409"/>
      <c r="D393" s="1217" t="s">
        <v>463</v>
      </c>
      <c r="E393" s="1217" t="s">
        <v>495</v>
      </c>
      <c r="F393" s="409" t="s">
        <v>82</v>
      </c>
      <c r="G393" s="1885"/>
      <c r="H393" s="2772">
        <f>H405+H404+H396+H399+H402</f>
        <v>5480</v>
      </c>
      <c r="I393" s="2773"/>
      <c r="J393" s="2774"/>
      <c r="K393" s="2735"/>
      <c r="L393" s="2735"/>
      <c r="M393" s="2735"/>
      <c r="N393" s="2775">
        <f>N400</f>
        <v>3843.7079999999996</v>
      </c>
      <c r="O393" s="2735"/>
      <c r="P393" s="2735"/>
      <c r="Q393" s="2735"/>
      <c r="R393" s="2735"/>
      <c r="S393" s="2735"/>
      <c r="T393" s="2735"/>
      <c r="U393" s="2772">
        <f>U400</f>
        <v>9348.1670000000013</v>
      </c>
    </row>
    <row r="394" spans="1:21" ht="30.75" hidden="1" customHeight="1" x14ac:dyDescent="0.25">
      <c r="A394" s="1179"/>
      <c r="B394" s="1884" t="s">
        <v>1175</v>
      </c>
      <c r="C394" s="409"/>
      <c r="D394" s="1217" t="s">
        <v>463</v>
      </c>
      <c r="E394" s="1217" t="s">
        <v>495</v>
      </c>
      <c r="F394" s="409" t="s">
        <v>1174</v>
      </c>
      <c r="G394" s="1885"/>
      <c r="H394" s="1682">
        <f>H395</f>
        <v>0</v>
      </c>
      <c r="I394" s="529"/>
      <c r="J394" s="269"/>
      <c r="K394" s="1858"/>
      <c r="L394" s="1858"/>
      <c r="M394" s="1858"/>
      <c r="N394" s="1200">
        <f t="shared" ref="N394:U394" si="78">N395</f>
        <v>0</v>
      </c>
      <c r="O394" s="1858">
        <f t="shared" si="78"/>
        <v>0</v>
      </c>
      <c r="P394" s="1858">
        <f t="shared" si="78"/>
        <v>0</v>
      </c>
      <c r="Q394" s="1858">
        <f t="shared" si="78"/>
        <v>0</v>
      </c>
      <c r="R394" s="1858">
        <f t="shared" si="78"/>
        <v>0</v>
      </c>
      <c r="S394" s="1858">
        <f t="shared" si="78"/>
        <v>0</v>
      </c>
      <c r="T394" s="1858">
        <f t="shared" si="78"/>
        <v>0</v>
      </c>
      <c r="U394" s="1682">
        <f t="shared" si="78"/>
        <v>0</v>
      </c>
    </row>
    <row r="395" spans="1:21" ht="30.75" hidden="1" customHeight="1" x14ac:dyDescent="0.25">
      <c r="A395" s="1179"/>
      <c r="B395" s="1884" t="s">
        <v>948</v>
      </c>
      <c r="C395" s="409"/>
      <c r="D395" s="1217" t="s">
        <v>463</v>
      </c>
      <c r="E395" s="1217" t="s">
        <v>495</v>
      </c>
      <c r="F395" s="409" t="s">
        <v>1174</v>
      </c>
      <c r="G395" s="1885" t="s">
        <v>955</v>
      </c>
      <c r="H395" s="1682">
        <f>H396</f>
        <v>0</v>
      </c>
      <c r="I395" s="529"/>
      <c r="J395" s="269"/>
      <c r="K395" s="1858"/>
      <c r="L395" s="1858"/>
      <c r="M395" s="1858"/>
      <c r="N395" s="1200">
        <v>0</v>
      </c>
      <c r="O395" s="1858"/>
      <c r="P395" s="1858"/>
      <c r="Q395" s="1858"/>
      <c r="R395" s="1858"/>
      <c r="S395" s="1858"/>
      <c r="T395" s="1858"/>
      <c r="U395" s="1682">
        <v>0</v>
      </c>
    </row>
    <row r="396" spans="1:21" ht="30.75" hidden="1" customHeight="1" x14ac:dyDescent="0.25">
      <c r="A396" s="1179"/>
      <c r="B396" s="1884" t="s">
        <v>454</v>
      </c>
      <c r="C396" s="409"/>
      <c r="D396" s="1217" t="s">
        <v>463</v>
      </c>
      <c r="E396" s="1217" t="s">
        <v>495</v>
      </c>
      <c r="F396" s="409" t="s">
        <v>1174</v>
      </c>
      <c r="G396" s="1885" t="s">
        <v>1</v>
      </c>
      <c r="H396" s="1682">
        <v>0</v>
      </c>
      <c r="I396" s="529"/>
      <c r="J396" s="269"/>
      <c r="K396" s="1858"/>
      <c r="L396" s="1858"/>
      <c r="M396" s="1858"/>
      <c r="N396" s="1200">
        <v>0</v>
      </c>
      <c r="O396" s="1858"/>
      <c r="P396" s="1858"/>
      <c r="Q396" s="1858"/>
      <c r="R396" s="1858"/>
      <c r="S396" s="1858"/>
      <c r="T396" s="1858"/>
      <c r="U396" s="1682">
        <v>0</v>
      </c>
    </row>
    <row r="397" spans="1:21" ht="30.75" hidden="1" customHeight="1" x14ac:dyDescent="0.25">
      <c r="A397" s="1179"/>
      <c r="B397" s="1884" t="s">
        <v>186</v>
      </c>
      <c r="C397" s="409"/>
      <c r="D397" s="1217" t="s">
        <v>463</v>
      </c>
      <c r="E397" s="1217" t="s">
        <v>495</v>
      </c>
      <c r="F397" s="409" t="s">
        <v>36</v>
      </c>
      <c r="G397" s="1885"/>
      <c r="H397" s="1682">
        <f>H398</f>
        <v>0</v>
      </c>
      <c r="I397" s="529"/>
      <c r="J397" s="269"/>
      <c r="K397" s="1858"/>
      <c r="L397" s="1858"/>
      <c r="M397" s="1858"/>
      <c r="N397" s="1200">
        <f>N398</f>
        <v>0</v>
      </c>
      <c r="O397" s="1858"/>
      <c r="P397" s="1858"/>
      <c r="Q397" s="1858"/>
      <c r="R397" s="1858"/>
      <c r="S397" s="1858"/>
      <c r="T397" s="1858"/>
      <c r="U397" s="1200">
        <f>U398</f>
        <v>0</v>
      </c>
    </row>
    <row r="398" spans="1:21" ht="30.75" hidden="1" customHeight="1" x14ac:dyDescent="0.25">
      <c r="A398" s="1179"/>
      <c r="B398" s="2245" t="s">
        <v>948</v>
      </c>
      <c r="C398" s="409"/>
      <c r="D398" s="1217" t="s">
        <v>463</v>
      </c>
      <c r="E398" s="1217" t="s">
        <v>495</v>
      </c>
      <c r="F398" s="409" t="s">
        <v>36</v>
      </c>
      <c r="G398" s="1885" t="s">
        <v>955</v>
      </c>
      <c r="H398" s="1682">
        <f>H399</f>
        <v>0</v>
      </c>
      <c r="I398" s="529"/>
      <c r="J398" s="269"/>
      <c r="K398" s="1858"/>
      <c r="L398" s="1858"/>
      <c r="M398" s="1858"/>
      <c r="N398" s="1200">
        <f>N399</f>
        <v>0</v>
      </c>
      <c r="O398" s="1858"/>
      <c r="P398" s="1858"/>
      <c r="Q398" s="1858"/>
      <c r="R398" s="1858"/>
      <c r="S398" s="1858"/>
      <c r="T398" s="1858"/>
      <c r="U398" s="1200">
        <f>U399</f>
        <v>0</v>
      </c>
    </row>
    <row r="399" spans="1:21" ht="30.75" hidden="1" customHeight="1" x14ac:dyDescent="0.25">
      <c r="A399" s="1179"/>
      <c r="B399" s="2245" t="s">
        <v>454</v>
      </c>
      <c r="C399" s="409"/>
      <c r="D399" s="1217" t="s">
        <v>463</v>
      </c>
      <c r="E399" s="1217" t="s">
        <v>495</v>
      </c>
      <c r="F399" s="409" t="s">
        <v>36</v>
      </c>
      <c r="G399" s="1885" t="s">
        <v>1</v>
      </c>
      <c r="H399" s="1682">
        <v>0</v>
      </c>
      <c r="I399" s="529"/>
      <c r="J399" s="269"/>
      <c r="K399" s="1858"/>
      <c r="L399" s="1858"/>
      <c r="M399" s="1858"/>
      <c r="N399" s="1200">
        <v>0</v>
      </c>
      <c r="O399" s="1858"/>
      <c r="P399" s="1858"/>
      <c r="Q399" s="1858"/>
      <c r="R399" s="1858"/>
      <c r="S399" s="1858"/>
      <c r="T399" s="1858"/>
      <c r="U399" s="1682">
        <v>0</v>
      </c>
    </row>
    <row r="400" spans="1:21" ht="30.75" customHeight="1" x14ac:dyDescent="0.25">
      <c r="A400" s="1179"/>
      <c r="B400" s="1205" t="s">
        <v>184</v>
      </c>
      <c r="C400" s="409"/>
      <c r="D400" s="1217" t="s">
        <v>463</v>
      </c>
      <c r="E400" s="1217" t="s">
        <v>495</v>
      </c>
      <c r="F400" s="409" t="s">
        <v>33</v>
      </c>
      <c r="G400" s="1885"/>
      <c r="H400" s="2772">
        <f>H404+H402</f>
        <v>5480</v>
      </c>
      <c r="I400" s="2773"/>
      <c r="J400" s="2774"/>
      <c r="K400" s="2735"/>
      <c r="L400" s="2735"/>
      <c r="M400" s="2735"/>
      <c r="N400" s="2775">
        <f t="shared" ref="N400:U400" si="79">N404+N402</f>
        <v>3843.7079999999996</v>
      </c>
      <c r="O400" s="2735">
        <f t="shared" si="79"/>
        <v>0</v>
      </c>
      <c r="P400" s="2735">
        <f t="shared" si="79"/>
        <v>0</v>
      </c>
      <c r="Q400" s="2735">
        <f t="shared" si="79"/>
        <v>0</v>
      </c>
      <c r="R400" s="2735">
        <f t="shared" si="79"/>
        <v>0</v>
      </c>
      <c r="S400" s="2735">
        <f t="shared" si="79"/>
        <v>0</v>
      </c>
      <c r="T400" s="2735">
        <f t="shared" si="79"/>
        <v>0</v>
      </c>
      <c r="U400" s="2772">
        <f t="shared" si="79"/>
        <v>9348.1670000000013</v>
      </c>
    </row>
    <row r="401" spans="1:26" ht="30.75" customHeight="1" x14ac:dyDescent="0.25">
      <c r="A401" s="1179"/>
      <c r="B401" s="2245" t="s">
        <v>948</v>
      </c>
      <c r="C401" s="409"/>
      <c r="D401" s="1217" t="s">
        <v>463</v>
      </c>
      <c r="E401" s="1217" t="s">
        <v>495</v>
      </c>
      <c r="F401" s="409" t="s">
        <v>33</v>
      </c>
      <c r="G401" s="1885" t="s">
        <v>955</v>
      </c>
      <c r="H401" s="2772">
        <f>H402</f>
        <v>0</v>
      </c>
      <c r="I401" s="2773"/>
      <c r="J401" s="2774"/>
      <c r="K401" s="2735"/>
      <c r="L401" s="2735"/>
      <c r="M401" s="2735"/>
      <c r="N401" s="2775">
        <f t="shared" ref="N401:U401" si="80">N402</f>
        <v>0</v>
      </c>
      <c r="O401" s="2735">
        <f t="shared" si="80"/>
        <v>0</v>
      </c>
      <c r="P401" s="2735">
        <f t="shared" si="80"/>
        <v>0</v>
      </c>
      <c r="Q401" s="2735">
        <f t="shared" si="80"/>
        <v>0</v>
      </c>
      <c r="R401" s="2735">
        <f t="shared" si="80"/>
        <v>0</v>
      </c>
      <c r="S401" s="2735">
        <f t="shared" si="80"/>
        <v>0</v>
      </c>
      <c r="T401" s="2735">
        <f t="shared" si="80"/>
        <v>0</v>
      </c>
      <c r="U401" s="2772">
        <f t="shared" si="80"/>
        <v>3190.8389999999999</v>
      </c>
    </row>
    <row r="402" spans="1:26" ht="30.75" customHeight="1" x14ac:dyDescent="0.25">
      <c r="A402" s="1179"/>
      <c r="B402" s="2245" t="s">
        <v>454</v>
      </c>
      <c r="C402" s="409"/>
      <c r="D402" s="1217" t="s">
        <v>463</v>
      </c>
      <c r="E402" s="1217" t="s">
        <v>495</v>
      </c>
      <c r="F402" s="409" t="s">
        <v>33</v>
      </c>
      <c r="G402" s="1885" t="s">
        <v>1</v>
      </c>
      <c r="H402" s="2772">
        <v>0</v>
      </c>
      <c r="I402" s="2773"/>
      <c r="J402" s="2774"/>
      <c r="K402" s="2735"/>
      <c r="L402" s="2735"/>
      <c r="M402" s="2735"/>
      <c r="N402" s="2775">
        <v>0</v>
      </c>
      <c r="O402" s="2735"/>
      <c r="P402" s="2735"/>
      <c r="Q402" s="2735"/>
      <c r="R402" s="2735"/>
      <c r="S402" s="2735"/>
      <c r="T402" s="2735"/>
      <c r="U402" s="2772">
        <v>3190.8389999999999</v>
      </c>
    </row>
    <row r="403" spans="1:26" ht="19.5" customHeight="1" x14ac:dyDescent="0.25">
      <c r="A403" s="1179"/>
      <c r="B403" s="1884" t="s">
        <v>1068</v>
      </c>
      <c r="C403" s="409"/>
      <c r="D403" s="1217" t="s">
        <v>463</v>
      </c>
      <c r="E403" s="1217" t="s">
        <v>495</v>
      </c>
      <c r="F403" s="409" t="s">
        <v>33</v>
      </c>
      <c r="G403" s="1885" t="s">
        <v>1064</v>
      </c>
      <c r="H403" s="2772">
        <f t="shared" ref="H403:U403" si="81">H404</f>
        <v>5480</v>
      </c>
      <c r="I403" s="2773">
        <f t="shared" si="81"/>
        <v>0</v>
      </c>
      <c r="J403" s="2774">
        <f t="shared" si="81"/>
        <v>0</v>
      </c>
      <c r="K403" s="2735">
        <f t="shared" si="81"/>
        <v>0</v>
      </c>
      <c r="L403" s="2735">
        <f t="shared" si="81"/>
        <v>0</v>
      </c>
      <c r="M403" s="2735">
        <f t="shared" si="81"/>
        <v>0</v>
      </c>
      <c r="N403" s="2775">
        <f t="shared" si="81"/>
        <v>3843.7079999999996</v>
      </c>
      <c r="O403" s="2735">
        <f t="shared" si="81"/>
        <v>0</v>
      </c>
      <c r="P403" s="2735">
        <f t="shared" si="81"/>
        <v>0</v>
      </c>
      <c r="Q403" s="2735">
        <f t="shared" si="81"/>
        <v>0</v>
      </c>
      <c r="R403" s="2735">
        <f t="shared" si="81"/>
        <v>0</v>
      </c>
      <c r="S403" s="2735">
        <f t="shared" si="81"/>
        <v>0</v>
      </c>
      <c r="T403" s="2735">
        <f t="shared" si="81"/>
        <v>0</v>
      </c>
      <c r="U403" s="2772">
        <f t="shared" si="81"/>
        <v>6157.3280000000004</v>
      </c>
    </row>
    <row r="404" spans="1:26" ht="30.75" customHeight="1" x14ac:dyDescent="0.25">
      <c r="A404" s="1179"/>
      <c r="B404" s="1182" t="s">
        <v>1034</v>
      </c>
      <c r="C404" s="409"/>
      <c r="D404" s="1217" t="s">
        <v>463</v>
      </c>
      <c r="E404" s="1217" t="s">
        <v>495</v>
      </c>
      <c r="F404" s="409" t="s">
        <v>33</v>
      </c>
      <c r="G404" s="1885" t="s">
        <v>521</v>
      </c>
      <c r="H404" s="2772">
        <f>5480-2056.2414+2056.2414</f>
        <v>5480</v>
      </c>
      <c r="I404" s="2773"/>
      <c r="J404" s="2774"/>
      <c r="K404" s="2735"/>
      <c r="L404" s="2735"/>
      <c r="M404" s="2735"/>
      <c r="N404" s="2775">
        <f>5808.8-1328.89-636.202</f>
        <v>3843.7079999999996</v>
      </c>
      <c r="O404" s="2735"/>
      <c r="P404" s="2735"/>
      <c r="Q404" s="2735"/>
      <c r="R404" s="2735"/>
      <c r="S404" s="2735"/>
      <c r="T404" s="2735"/>
      <c r="U404" s="2772">
        <v>6157.3280000000004</v>
      </c>
    </row>
    <row r="405" spans="1:26" ht="30.75" hidden="1" customHeight="1" x14ac:dyDescent="0.25">
      <c r="A405" s="1179"/>
      <c r="B405" s="2230" t="s">
        <v>1107</v>
      </c>
      <c r="C405" s="409"/>
      <c r="D405" s="1217" t="s">
        <v>463</v>
      </c>
      <c r="E405" s="1217" t="s">
        <v>495</v>
      </c>
      <c r="F405" s="409" t="s">
        <v>1106</v>
      </c>
      <c r="G405" s="1885"/>
      <c r="H405" s="2772">
        <f>H406</f>
        <v>0</v>
      </c>
      <c r="I405" s="2773"/>
      <c r="J405" s="2774"/>
      <c r="K405" s="2735"/>
      <c r="L405" s="2735"/>
      <c r="M405" s="2735"/>
      <c r="N405" s="2775">
        <f>N406</f>
        <v>0</v>
      </c>
      <c r="O405" s="2735"/>
      <c r="P405" s="2735"/>
      <c r="Q405" s="2735"/>
      <c r="R405" s="2735"/>
      <c r="S405" s="2735"/>
      <c r="T405" s="2735"/>
      <c r="U405" s="2772">
        <f>U406</f>
        <v>0</v>
      </c>
    </row>
    <row r="406" spans="1:26" ht="30.75" hidden="1" customHeight="1" x14ac:dyDescent="0.25">
      <c r="A406" s="1179"/>
      <c r="B406" s="1884" t="s">
        <v>454</v>
      </c>
      <c r="C406" s="409"/>
      <c r="D406" s="1217" t="s">
        <v>463</v>
      </c>
      <c r="E406" s="1217" t="s">
        <v>495</v>
      </c>
      <c r="F406" s="409" t="s">
        <v>1106</v>
      </c>
      <c r="G406" s="1662" t="s">
        <v>1</v>
      </c>
      <c r="H406" s="2772"/>
      <c r="I406" s="2773"/>
      <c r="J406" s="2774"/>
      <c r="K406" s="2735"/>
      <c r="L406" s="2735"/>
      <c r="M406" s="2735"/>
      <c r="N406" s="2775">
        <v>0</v>
      </c>
      <c r="O406" s="2735"/>
      <c r="P406" s="2735"/>
      <c r="Q406" s="2735"/>
      <c r="R406" s="2735"/>
      <c r="S406" s="2735"/>
      <c r="T406" s="2735"/>
      <c r="U406" s="2772">
        <v>0</v>
      </c>
      <c r="Z406" s="1">
        <v>122</v>
      </c>
    </row>
    <row r="407" spans="1:26" x14ac:dyDescent="0.25">
      <c r="A407" s="1179"/>
      <c r="B407" s="1184" t="s">
        <v>348</v>
      </c>
      <c r="C407" s="1177"/>
      <c r="D407" s="408" t="s">
        <v>506</v>
      </c>
      <c r="E407" s="408" t="s">
        <v>459</v>
      </c>
      <c r="F407" s="408"/>
      <c r="G407" s="1661"/>
      <c r="H407" s="2776">
        <f t="shared" ref="H407:J409" si="82">H408</f>
        <v>7347.1222200000011</v>
      </c>
      <c r="I407" s="2777">
        <f t="shared" si="82"/>
        <v>0</v>
      </c>
      <c r="J407" s="2778">
        <f t="shared" si="82"/>
        <v>0</v>
      </c>
      <c r="K407" s="2735"/>
      <c r="L407" s="2735"/>
      <c r="M407" s="2735"/>
      <c r="N407" s="2780">
        <f t="shared" ref="N407:N409" si="83">N408</f>
        <v>392</v>
      </c>
      <c r="O407" s="2735"/>
      <c r="P407" s="2735"/>
      <c r="Q407" s="2735"/>
      <c r="R407" s="2735"/>
      <c r="S407" s="2735"/>
      <c r="T407" s="2735"/>
      <c r="U407" s="2776">
        <f t="shared" ref="U407:U409" si="84">U408</f>
        <v>402</v>
      </c>
    </row>
    <row r="408" spans="1:26" x14ac:dyDescent="0.25">
      <c r="A408" s="842"/>
      <c r="B408" s="1184" t="s">
        <v>964</v>
      </c>
      <c r="C408" s="1177"/>
      <c r="D408" s="408" t="s">
        <v>506</v>
      </c>
      <c r="E408" s="408" t="s">
        <v>506</v>
      </c>
      <c r="F408" s="408"/>
      <c r="G408" s="1661"/>
      <c r="H408" s="2776">
        <f t="shared" si="82"/>
        <v>7347.1222200000011</v>
      </c>
      <c r="I408" s="2777">
        <f t="shared" si="82"/>
        <v>0</v>
      </c>
      <c r="J408" s="2778">
        <f t="shared" si="82"/>
        <v>0</v>
      </c>
      <c r="K408" s="2735"/>
      <c r="L408" s="2735"/>
      <c r="M408" s="2735"/>
      <c r="N408" s="2780">
        <f t="shared" si="83"/>
        <v>392</v>
      </c>
      <c r="O408" s="2735"/>
      <c r="P408" s="2735"/>
      <c r="Q408" s="2735"/>
      <c r="R408" s="2735"/>
      <c r="S408" s="2735"/>
      <c r="T408" s="2735"/>
      <c r="U408" s="2776">
        <f t="shared" si="84"/>
        <v>402</v>
      </c>
    </row>
    <row r="409" spans="1:26" ht="21" x14ac:dyDescent="0.25">
      <c r="A409" s="1179"/>
      <c r="B409" s="1205" t="s">
        <v>932</v>
      </c>
      <c r="C409" s="1180"/>
      <c r="D409" s="409" t="s">
        <v>506</v>
      </c>
      <c r="E409" s="409" t="s">
        <v>506</v>
      </c>
      <c r="F409" s="409" t="s">
        <v>273</v>
      </c>
      <c r="G409" s="1662"/>
      <c r="H409" s="2772">
        <f t="shared" si="82"/>
        <v>7347.1222200000011</v>
      </c>
      <c r="I409" s="2773">
        <f t="shared" si="82"/>
        <v>0</v>
      </c>
      <c r="J409" s="2774">
        <f t="shared" si="82"/>
        <v>0</v>
      </c>
      <c r="K409" s="2735"/>
      <c r="L409" s="2735"/>
      <c r="M409" s="2735"/>
      <c r="N409" s="2775">
        <f t="shared" si="83"/>
        <v>392</v>
      </c>
      <c r="O409" s="2735"/>
      <c r="P409" s="2735"/>
      <c r="Q409" s="2735"/>
      <c r="R409" s="2735"/>
      <c r="S409" s="2735"/>
      <c r="T409" s="2735"/>
      <c r="U409" s="2772">
        <f t="shared" si="84"/>
        <v>402</v>
      </c>
    </row>
    <row r="410" spans="1:26" ht="21" x14ac:dyDescent="0.25">
      <c r="A410" s="1179"/>
      <c r="B410" s="1205" t="s">
        <v>909</v>
      </c>
      <c r="C410" s="1180"/>
      <c r="D410" s="409" t="s">
        <v>506</v>
      </c>
      <c r="E410" s="409" t="s">
        <v>506</v>
      </c>
      <c r="F410" s="409" t="s">
        <v>271</v>
      </c>
      <c r="G410" s="1662"/>
      <c r="H410" s="2772">
        <f>H414+H421</f>
        <v>7347.1222200000011</v>
      </c>
      <c r="I410" s="2773">
        <f>I411+I414</f>
        <v>0</v>
      </c>
      <c r="J410" s="2774">
        <f>J411+J414</f>
        <v>0</v>
      </c>
      <c r="K410" s="2745">
        <v>348</v>
      </c>
      <c r="L410" s="2735"/>
      <c r="M410" s="2735"/>
      <c r="N410" s="2775">
        <f t="shared" ref="N410:U410" si="85">N414+N421</f>
        <v>392</v>
      </c>
      <c r="O410" s="2735">
        <f t="shared" si="85"/>
        <v>0</v>
      </c>
      <c r="P410" s="2735">
        <f t="shared" si="85"/>
        <v>0</v>
      </c>
      <c r="Q410" s="2735">
        <f t="shared" si="85"/>
        <v>0</v>
      </c>
      <c r="R410" s="2735">
        <f t="shared" si="85"/>
        <v>0</v>
      </c>
      <c r="S410" s="2735">
        <f t="shared" si="85"/>
        <v>0</v>
      </c>
      <c r="T410" s="2735">
        <f t="shared" si="85"/>
        <v>0</v>
      </c>
      <c r="U410" s="2772">
        <f t="shared" si="85"/>
        <v>402</v>
      </c>
    </row>
    <row r="411" spans="1:26" ht="31.5" hidden="1" x14ac:dyDescent="0.25">
      <c r="A411" s="1179"/>
      <c r="B411" s="1205" t="s">
        <v>270</v>
      </c>
      <c r="C411" s="1180"/>
      <c r="D411" s="409" t="s">
        <v>506</v>
      </c>
      <c r="E411" s="409" t="s">
        <v>506</v>
      </c>
      <c r="F411" s="409" t="s">
        <v>267</v>
      </c>
      <c r="G411" s="1662"/>
      <c r="H411" s="2772">
        <f t="shared" ref="H411:J412" si="86">H412</f>
        <v>0</v>
      </c>
      <c r="I411" s="2773">
        <f t="shared" si="86"/>
        <v>0</v>
      </c>
      <c r="J411" s="2774">
        <f t="shared" si="86"/>
        <v>0</v>
      </c>
      <c r="K411" s="2735"/>
      <c r="L411" s="2735"/>
      <c r="M411" s="2735"/>
      <c r="N411" s="2775">
        <f t="shared" ref="N411:N412" si="87">N412</f>
        <v>0</v>
      </c>
      <c r="O411" s="2735"/>
      <c r="P411" s="2735"/>
      <c r="Q411" s="2735"/>
      <c r="R411" s="2735"/>
      <c r="S411" s="2735"/>
      <c r="T411" s="2735"/>
      <c r="U411" s="2772">
        <f t="shared" ref="U411:U412" si="88">U412</f>
        <v>0</v>
      </c>
    </row>
    <row r="412" spans="1:26" hidden="1" x14ac:dyDescent="0.25">
      <c r="A412" s="1233"/>
      <c r="B412" s="1250" t="s">
        <v>4</v>
      </c>
      <c r="C412" s="1180"/>
      <c r="D412" s="409" t="s">
        <v>506</v>
      </c>
      <c r="E412" s="409" t="s">
        <v>506</v>
      </c>
      <c r="F412" s="409" t="s">
        <v>507</v>
      </c>
      <c r="G412" s="1662"/>
      <c r="H412" s="2772">
        <f t="shared" si="86"/>
        <v>0</v>
      </c>
      <c r="I412" s="2773">
        <f t="shared" si="86"/>
        <v>0</v>
      </c>
      <c r="J412" s="2774">
        <f t="shared" si="86"/>
        <v>0</v>
      </c>
      <c r="K412" s="2735"/>
      <c r="L412" s="2735"/>
      <c r="M412" s="2735"/>
      <c r="N412" s="2775">
        <f t="shared" si="87"/>
        <v>0</v>
      </c>
      <c r="O412" s="2735"/>
      <c r="P412" s="2735"/>
      <c r="Q412" s="2735"/>
      <c r="R412" s="2735"/>
      <c r="S412" s="2735"/>
      <c r="T412" s="2735"/>
      <c r="U412" s="2772">
        <f t="shared" si="88"/>
        <v>0</v>
      </c>
    </row>
    <row r="413" spans="1:26" ht="21" hidden="1" x14ac:dyDescent="0.25">
      <c r="A413" s="1233"/>
      <c r="B413" s="1197" t="s">
        <v>268</v>
      </c>
      <c r="C413" s="1183"/>
      <c r="D413" s="409" t="s">
        <v>506</v>
      </c>
      <c r="E413" s="409" t="s">
        <v>506</v>
      </c>
      <c r="F413" s="409" t="s">
        <v>507</v>
      </c>
      <c r="G413" s="1662" t="s">
        <v>1</v>
      </c>
      <c r="H413" s="2772"/>
      <c r="I413" s="2773"/>
      <c r="J413" s="2774"/>
      <c r="K413" s="2735"/>
      <c r="L413" s="2735"/>
      <c r="M413" s="2735"/>
      <c r="N413" s="2775"/>
      <c r="O413" s="2735"/>
      <c r="P413" s="2735"/>
      <c r="Q413" s="2735"/>
      <c r="R413" s="2735"/>
      <c r="S413" s="2735"/>
      <c r="T413" s="2735"/>
      <c r="U413" s="2772"/>
    </row>
    <row r="414" spans="1:26" ht="21" x14ac:dyDescent="0.25">
      <c r="A414" s="1233"/>
      <c r="B414" s="753" t="s">
        <v>268</v>
      </c>
      <c r="C414" s="1183"/>
      <c r="D414" s="409" t="s">
        <v>506</v>
      </c>
      <c r="E414" s="409" t="s">
        <v>506</v>
      </c>
      <c r="F414" s="409" t="s">
        <v>267</v>
      </c>
      <c r="G414" s="1662"/>
      <c r="H414" s="2772">
        <f>H418+H415</f>
        <v>377</v>
      </c>
      <c r="I414" s="2773">
        <f>I418</f>
        <v>0</v>
      </c>
      <c r="J414" s="2774">
        <f>J418</f>
        <v>0</v>
      </c>
      <c r="K414" s="2735"/>
      <c r="L414" s="2735"/>
      <c r="M414" s="2735"/>
      <c r="N414" s="2772">
        <f>N418+N415</f>
        <v>392</v>
      </c>
      <c r="O414" s="2735"/>
      <c r="P414" s="2735"/>
      <c r="Q414" s="2735"/>
      <c r="R414" s="2735"/>
      <c r="S414" s="2735"/>
      <c r="T414" s="2735"/>
      <c r="U414" s="2772">
        <f>U418+U415</f>
        <v>402</v>
      </c>
    </row>
    <row r="415" spans="1:26" x14ac:dyDescent="0.25">
      <c r="A415" s="1233"/>
      <c r="B415" s="762" t="s">
        <v>1037</v>
      </c>
      <c r="C415" s="1183"/>
      <c r="D415" s="409" t="s">
        <v>506</v>
      </c>
      <c r="E415" s="409" t="s">
        <v>506</v>
      </c>
      <c r="F415" s="409" t="s">
        <v>507</v>
      </c>
      <c r="G415" s="1662"/>
      <c r="H415" s="2772">
        <f>H417</f>
        <v>117</v>
      </c>
      <c r="I415" s="2773"/>
      <c r="J415" s="2774"/>
      <c r="K415" s="2735"/>
      <c r="L415" s="2735"/>
      <c r="M415" s="2735"/>
      <c r="N415" s="2775">
        <f>N417</f>
        <v>122</v>
      </c>
      <c r="O415" s="2735"/>
      <c r="P415" s="2735"/>
      <c r="Q415" s="2735"/>
      <c r="R415" s="2735"/>
      <c r="S415" s="2735"/>
      <c r="T415" s="2735"/>
      <c r="U415" s="2772">
        <f>U417</f>
        <v>122</v>
      </c>
    </row>
    <row r="416" spans="1:26" x14ac:dyDescent="0.25">
      <c r="A416" s="1233"/>
      <c r="B416" s="753" t="s">
        <v>948</v>
      </c>
      <c r="C416" s="1183"/>
      <c r="D416" s="409" t="s">
        <v>506</v>
      </c>
      <c r="E416" s="409" t="s">
        <v>506</v>
      </c>
      <c r="F416" s="409" t="s">
        <v>507</v>
      </c>
      <c r="G416" s="1662" t="s">
        <v>955</v>
      </c>
      <c r="H416" s="2772">
        <f>H417</f>
        <v>117</v>
      </c>
      <c r="I416" s="2773"/>
      <c r="J416" s="2774"/>
      <c r="K416" s="2735"/>
      <c r="L416" s="2735"/>
      <c r="M416" s="2735"/>
      <c r="N416" s="2775">
        <f t="shared" ref="N416:U416" si="89">N417</f>
        <v>122</v>
      </c>
      <c r="O416" s="2735">
        <f t="shared" si="89"/>
        <v>0</v>
      </c>
      <c r="P416" s="2735">
        <f t="shared" si="89"/>
        <v>0</v>
      </c>
      <c r="Q416" s="2735">
        <f t="shared" si="89"/>
        <v>0</v>
      </c>
      <c r="R416" s="2735">
        <f t="shared" si="89"/>
        <v>0</v>
      </c>
      <c r="S416" s="2735">
        <f t="shared" si="89"/>
        <v>0</v>
      </c>
      <c r="T416" s="2735">
        <f t="shared" si="89"/>
        <v>0</v>
      </c>
      <c r="U416" s="2772">
        <f t="shared" si="89"/>
        <v>122</v>
      </c>
    </row>
    <row r="417" spans="1:21" ht="21" x14ac:dyDescent="0.25">
      <c r="A417" s="1233"/>
      <c r="B417" s="1191" t="s">
        <v>454</v>
      </c>
      <c r="C417" s="1183"/>
      <c r="D417" s="409" t="s">
        <v>506</v>
      </c>
      <c r="E417" s="409" t="s">
        <v>506</v>
      </c>
      <c r="F417" s="409" t="s">
        <v>507</v>
      </c>
      <c r="G417" s="1662" t="s">
        <v>1</v>
      </c>
      <c r="H417" s="2772">
        <v>117</v>
      </c>
      <c r="I417" s="2773"/>
      <c r="J417" s="2774"/>
      <c r="K417" s="2735"/>
      <c r="L417" s="2735"/>
      <c r="M417" s="2735"/>
      <c r="N417" s="2775">
        <v>122</v>
      </c>
      <c r="O417" s="2735"/>
      <c r="P417" s="2735"/>
      <c r="Q417" s="2735"/>
      <c r="R417" s="2735"/>
      <c r="S417" s="2735"/>
      <c r="T417" s="2735"/>
      <c r="U417" s="2772">
        <v>122</v>
      </c>
    </row>
    <row r="418" spans="1:21" x14ac:dyDescent="0.25">
      <c r="A418" s="1179"/>
      <c r="B418" s="1205" t="s">
        <v>266</v>
      </c>
      <c r="C418" s="1180"/>
      <c r="D418" s="409" t="s">
        <v>506</v>
      </c>
      <c r="E418" s="409" t="s">
        <v>506</v>
      </c>
      <c r="F418" s="409" t="s">
        <v>263</v>
      </c>
      <c r="G418" s="1662"/>
      <c r="H418" s="2772">
        <f t="shared" ref="H418:J418" si="90">H420</f>
        <v>260</v>
      </c>
      <c r="I418" s="2773">
        <f t="shared" si="90"/>
        <v>0</v>
      </c>
      <c r="J418" s="2774">
        <f t="shared" si="90"/>
        <v>0</v>
      </c>
      <c r="K418" s="2735"/>
      <c r="L418" s="2735"/>
      <c r="M418" s="2735"/>
      <c r="N418" s="2775">
        <f t="shared" ref="N418" si="91">N420</f>
        <v>270</v>
      </c>
      <c r="O418" s="2735"/>
      <c r="P418" s="2735"/>
      <c r="Q418" s="2735"/>
      <c r="R418" s="2735"/>
      <c r="S418" s="2735"/>
      <c r="T418" s="2735"/>
      <c r="U418" s="2772">
        <f t="shared" ref="U418" si="92">U420</f>
        <v>280</v>
      </c>
    </row>
    <row r="419" spans="1:21" x14ac:dyDescent="0.25">
      <c r="A419" s="1179"/>
      <c r="B419" s="753" t="s">
        <v>948</v>
      </c>
      <c r="C419" s="1180"/>
      <c r="D419" s="409" t="s">
        <v>506</v>
      </c>
      <c r="E419" s="409" t="s">
        <v>506</v>
      </c>
      <c r="F419" s="409" t="s">
        <v>263</v>
      </c>
      <c r="G419" s="1662" t="s">
        <v>955</v>
      </c>
      <c r="H419" s="2772">
        <f t="shared" ref="H419:U419" si="93">H420</f>
        <v>260</v>
      </c>
      <c r="I419" s="2773">
        <f t="shared" si="93"/>
        <v>0</v>
      </c>
      <c r="J419" s="2774">
        <f t="shared" si="93"/>
        <v>0</v>
      </c>
      <c r="K419" s="2735">
        <f t="shared" si="93"/>
        <v>0</v>
      </c>
      <c r="L419" s="2735">
        <f t="shared" si="93"/>
        <v>0</v>
      </c>
      <c r="M419" s="2735">
        <f t="shared" si="93"/>
        <v>0</v>
      </c>
      <c r="N419" s="2775">
        <f t="shared" si="93"/>
        <v>270</v>
      </c>
      <c r="O419" s="2735">
        <f t="shared" si="93"/>
        <v>0</v>
      </c>
      <c r="P419" s="2735">
        <f t="shared" si="93"/>
        <v>0</v>
      </c>
      <c r="Q419" s="2735">
        <f t="shared" si="93"/>
        <v>0</v>
      </c>
      <c r="R419" s="2735">
        <f t="shared" si="93"/>
        <v>0</v>
      </c>
      <c r="S419" s="2735">
        <f t="shared" si="93"/>
        <v>0</v>
      </c>
      <c r="T419" s="2735">
        <f t="shared" si="93"/>
        <v>0</v>
      </c>
      <c r="U419" s="2772">
        <f t="shared" si="93"/>
        <v>280</v>
      </c>
    </row>
    <row r="420" spans="1:21" ht="21" x14ac:dyDescent="0.25">
      <c r="A420" s="1179"/>
      <c r="B420" s="1191" t="s">
        <v>454</v>
      </c>
      <c r="C420" s="1183"/>
      <c r="D420" s="409" t="s">
        <v>506</v>
      </c>
      <c r="E420" s="409" t="s">
        <v>506</v>
      </c>
      <c r="F420" s="409" t="s">
        <v>263</v>
      </c>
      <c r="G420" s="1662" t="s">
        <v>1</v>
      </c>
      <c r="H420" s="2772">
        <v>260</v>
      </c>
      <c r="I420" s="2773"/>
      <c r="J420" s="2774"/>
      <c r="K420" s="2735"/>
      <c r="L420" s="2735"/>
      <c r="M420" s="2735"/>
      <c r="N420" s="2775">
        <v>270</v>
      </c>
      <c r="O420" s="2735"/>
      <c r="P420" s="2735"/>
      <c r="Q420" s="2735"/>
      <c r="R420" s="2735"/>
      <c r="S420" s="2735"/>
      <c r="T420" s="2735"/>
      <c r="U420" s="2772">
        <v>280</v>
      </c>
    </row>
    <row r="421" spans="1:21" ht="20.149999999999999" customHeight="1" x14ac:dyDescent="0.25">
      <c r="A421" s="1179"/>
      <c r="B421" s="1871" t="s">
        <v>1222</v>
      </c>
      <c r="C421" s="1183"/>
      <c r="D421" s="409" t="s">
        <v>506</v>
      </c>
      <c r="E421" s="409" t="s">
        <v>506</v>
      </c>
      <c r="F421" s="409" t="s">
        <v>1218</v>
      </c>
      <c r="G421" s="1662"/>
      <c r="H421" s="2772">
        <f>H424+H427</f>
        <v>6970.1222200000011</v>
      </c>
      <c r="I421" s="2773"/>
      <c r="J421" s="2774"/>
      <c r="K421" s="2735"/>
      <c r="L421" s="2735"/>
      <c r="M421" s="2735"/>
      <c r="N421" s="2775">
        <f>N424+N427</f>
        <v>0</v>
      </c>
      <c r="O421" s="2735"/>
      <c r="P421" s="2735"/>
      <c r="Q421" s="2735"/>
      <c r="R421" s="2735"/>
      <c r="S421" s="2735"/>
      <c r="T421" s="2735"/>
      <c r="U421" s="2772">
        <f>U424+U427</f>
        <v>0</v>
      </c>
    </row>
    <row r="422" spans="1:21" x14ac:dyDescent="0.25">
      <c r="A422" s="1179"/>
      <c r="B422" s="1393" t="s">
        <v>1219</v>
      </c>
      <c r="C422" s="1183"/>
      <c r="D422" s="409" t="s">
        <v>506</v>
      </c>
      <c r="E422" s="409" t="s">
        <v>506</v>
      </c>
      <c r="F422" s="409" t="s">
        <v>1220</v>
      </c>
      <c r="G422" s="1662"/>
      <c r="H422" s="2772">
        <f>H423</f>
        <v>5126.2222200000006</v>
      </c>
      <c r="I422" s="2773"/>
      <c r="J422" s="2774"/>
      <c r="K422" s="2735"/>
      <c r="L422" s="2735"/>
      <c r="M422" s="2735"/>
      <c r="N422" s="2775">
        <f>N423</f>
        <v>0</v>
      </c>
      <c r="O422" s="2735"/>
      <c r="P422" s="2735"/>
      <c r="Q422" s="2735"/>
      <c r="R422" s="2735"/>
      <c r="S422" s="2735"/>
      <c r="T422" s="2735"/>
      <c r="U422" s="2772">
        <f>U423</f>
        <v>0</v>
      </c>
    </row>
    <row r="423" spans="1:21" x14ac:dyDescent="0.25">
      <c r="A423" s="1179"/>
      <c r="B423" s="753" t="s">
        <v>948</v>
      </c>
      <c r="C423" s="1183"/>
      <c r="D423" s="409" t="s">
        <v>506</v>
      </c>
      <c r="E423" s="409" t="s">
        <v>506</v>
      </c>
      <c r="F423" s="409" t="s">
        <v>1220</v>
      </c>
      <c r="G423" s="1662" t="s">
        <v>955</v>
      </c>
      <c r="H423" s="2772">
        <f>H424</f>
        <v>5126.2222200000006</v>
      </c>
      <c r="I423" s="2773"/>
      <c r="J423" s="2774"/>
      <c r="K423" s="2735"/>
      <c r="L423" s="2735"/>
      <c r="M423" s="2735"/>
      <c r="N423" s="2775">
        <f>N424</f>
        <v>0</v>
      </c>
      <c r="O423" s="2735"/>
      <c r="P423" s="2735"/>
      <c r="Q423" s="2735"/>
      <c r="R423" s="2735"/>
      <c r="S423" s="2735"/>
      <c r="T423" s="2735"/>
      <c r="U423" s="2772">
        <f>U424</f>
        <v>0</v>
      </c>
    </row>
    <row r="424" spans="1:21" ht="21" x14ac:dyDescent="0.25">
      <c r="A424" s="1179"/>
      <c r="B424" s="1191" t="s">
        <v>454</v>
      </c>
      <c r="C424" s="1183"/>
      <c r="D424" s="409" t="s">
        <v>506</v>
      </c>
      <c r="E424" s="409" t="s">
        <v>506</v>
      </c>
      <c r="F424" s="409" t="s">
        <v>1220</v>
      </c>
      <c r="G424" s="1662" t="s">
        <v>1</v>
      </c>
      <c r="H424" s="2772">
        <f>4613.6+500+12.62222</f>
        <v>5126.2222200000006</v>
      </c>
      <c r="I424" s="2773"/>
      <c r="J424" s="2774"/>
      <c r="K424" s="2735"/>
      <c r="L424" s="2735"/>
      <c r="M424" s="2735"/>
      <c r="N424" s="2775">
        <v>0</v>
      </c>
      <c r="O424" s="2735"/>
      <c r="P424" s="2735"/>
      <c r="Q424" s="2735"/>
      <c r="R424" s="2735"/>
      <c r="S424" s="2735"/>
      <c r="T424" s="2735"/>
      <c r="U424" s="2772">
        <v>0</v>
      </c>
    </row>
    <row r="425" spans="1:21" x14ac:dyDescent="0.25">
      <c r="A425" s="1179"/>
      <c r="B425" s="1393" t="s">
        <v>1223</v>
      </c>
      <c r="C425" s="1183"/>
      <c r="D425" s="409" t="s">
        <v>506</v>
      </c>
      <c r="E425" s="409" t="s">
        <v>506</v>
      </c>
      <c r="F425" s="409" t="s">
        <v>1221</v>
      </c>
      <c r="G425" s="1662"/>
      <c r="H425" s="2772">
        <f>H426</f>
        <v>1843.9</v>
      </c>
      <c r="I425" s="2773"/>
      <c r="J425" s="2774"/>
      <c r="K425" s="2735"/>
      <c r="L425" s="2735"/>
      <c r="M425" s="2735"/>
      <c r="N425" s="2775">
        <f>N426</f>
        <v>0</v>
      </c>
      <c r="O425" s="2735"/>
      <c r="P425" s="2735"/>
      <c r="Q425" s="2735"/>
      <c r="R425" s="2735"/>
      <c r="S425" s="2735"/>
      <c r="T425" s="2735"/>
      <c r="U425" s="2772">
        <f>U426</f>
        <v>0</v>
      </c>
    </row>
    <row r="426" spans="1:21" x14ac:dyDescent="0.25">
      <c r="A426" s="1179"/>
      <c r="B426" s="753" t="s">
        <v>948</v>
      </c>
      <c r="C426" s="1183"/>
      <c r="D426" s="409" t="s">
        <v>506</v>
      </c>
      <c r="E426" s="409" t="s">
        <v>506</v>
      </c>
      <c r="F426" s="409" t="s">
        <v>1221</v>
      </c>
      <c r="G426" s="1662" t="s">
        <v>955</v>
      </c>
      <c r="H426" s="2772">
        <f>H427</f>
        <v>1843.9</v>
      </c>
      <c r="I426" s="2773"/>
      <c r="J426" s="2774"/>
      <c r="K426" s="2735"/>
      <c r="L426" s="2735"/>
      <c r="M426" s="2735"/>
      <c r="N426" s="2775">
        <f>N427</f>
        <v>0</v>
      </c>
      <c r="O426" s="2735"/>
      <c r="P426" s="2735"/>
      <c r="Q426" s="2735"/>
      <c r="R426" s="2735"/>
      <c r="S426" s="2735"/>
      <c r="T426" s="2735"/>
      <c r="U426" s="2772">
        <f>U427</f>
        <v>0</v>
      </c>
    </row>
    <row r="427" spans="1:21" ht="21" x14ac:dyDescent="0.25">
      <c r="A427" s="1179"/>
      <c r="B427" s="1191" t="s">
        <v>454</v>
      </c>
      <c r="C427" s="1183"/>
      <c r="D427" s="409" t="s">
        <v>506</v>
      </c>
      <c r="E427" s="409" t="s">
        <v>506</v>
      </c>
      <c r="F427" s="409" t="s">
        <v>1221</v>
      </c>
      <c r="G427" s="1662" t="s">
        <v>1</v>
      </c>
      <c r="H427" s="2772">
        <f>893.9-12.62222+962.62222</f>
        <v>1843.9</v>
      </c>
      <c r="I427" s="2773"/>
      <c r="J427" s="2774"/>
      <c r="K427" s="2735"/>
      <c r="L427" s="2735"/>
      <c r="M427" s="2735"/>
      <c r="N427" s="2775">
        <v>0</v>
      </c>
      <c r="O427" s="2735"/>
      <c r="P427" s="2735"/>
      <c r="Q427" s="2735"/>
      <c r="R427" s="2735"/>
      <c r="S427" s="2735"/>
      <c r="T427" s="2735"/>
      <c r="U427" s="2772">
        <v>0</v>
      </c>
    </row>
    <row r="428" spans="1:21" s="760" customFormat="1" ht="13" x14ac:dyDescent="0.3">
      <c r="A428" s="842"/>
      <c r="B428" s="1251" t="s">
        <v>460</v>
      </c>
      <c r="C428" s="408"/>
      <c r="D428" s="1221" t="s">
        <v>453</v>
      </c>
      <c r="E428" s="1221" t="s">
        <v>459</v>
      </c>
      <c r="F428" s="408"/>
      <c r="G428" s="1661"/>
      <c r="H428" s="2776">
        <f>H429+H448</f>
        <v>18801.287780000002</v>
      </c>
      <c r="I428" s="2777"/>
      <c r="J428" s="2778"/>
      <c r="K428" s="2779"/>
      <c r="L428" s="2779"/>
      <c r="M428" s="2779"/>
      <c r="N428" s="2780">
        <f>N429+N448</f>
        <v>23798.487999999998</v>
      </c>
      <c r="O428" s="2779"/>
      <c r="P428" s="2779"/>
      <c r="Q428" s="2779"/>
      <c r="R428" s="2779"/>
      <c r="S428" s="2779"/>
      <c r="T428" s="2779"/>
      <c r="U428" s="2776">
        <f>U429+U448</f>
        <v>23769.095000000001</v>
      </c>
    </row>
    <row r="429" spans="1:21" x14ac:dyDescent="0.25">
      <c r="A429" s="1179"/>
      <c r="B429" s="1173" t="s">
        <v>87</v>
      </c>
      <c r="C429" s="1177"/>
      <c r="D429" s="408" t="s">
        <v>453</v>
      </c>
      <c r="E429" s="408" t="s">
        <v>456</v>
      </c>
      <c r="F429" s="408"/>
      <c r="G429" s="1661"/>
      <c r="H429" s="2776">
        <f>H430+H440</f>
        <v>15057.726780000001</v>
      </c>
      <c r="I429" s="2777">
        <f>I430+I441</f>
        <v>0</v>
      </c>
      <c r="J429" s="2778">
        <f>J430+J441</f>
        <v>0</v>
      </c>
      <c r="K429" s="2735"/>
      <c r="L429" s="2735"/>
      <c r="M429" s="2735"/>
      <c r="N429" s="2780">
        <f>N430+N440</f>
        <v>16242.807999999999</v>
      </c>
      <c r="O429" s="2735"/>
      <c r="P429" s="2735"/>
      <c r="Q429" s="2735"/>
      <c r="R429" s="2735"/>
      <c r="S429" s="2735"/>
      <c r="T429" s="2735"/>
      <c r="U429" s="2776">
        <f>U430+U440</f>
        <v>16990.495999999999</v>
      </c>
    </row>
    <row r="430" spans="1:21" ht="24.75" customHeight="1" x14ac:dyDescent="0.25">
      <c r="A430" s="1179"/>
      <c r="B430" s="753" t="s">
        <v>932</v>
      </c>
      <c r="C430" s="1177"/>
      <c r="D430" s="409" t="s">
        <v>453</v>
      </c>
      <c r="E430" s="409" t="s">
        <v>456</v>
      </c>
      <c r="F430" s="409" t="s">
        <v>273</v>
      </c>
      <c r="G430" s="1661"/>
      <c r="H430" s="2776">
        <f>H431</f>
        <v>15057.726780000001</v>
      </c>
      <c r="I430" s="2777">
        <f t="shared" ref="I430:J432" si="94">I431</f>
        <v>0</v>
      </c>
      <c r="J430" s="2778">
        <f t="shared" si="94"/>
        <v>0</v>
      </c>
      <c r="K430" s="2745">
        <f>K435+K437+K439+K444+K454+K447</f>
        <v>976.8</v>
      </c>
      <c r="L430" s="2735"/>
      <c r="M430" s="2735"/>
      <c r="N430" s="2780">
        <f>N431</f>
        <v>16242.807999999999</v>
      </c>
      <c r="O430" s="2735"/>
      <c r="P430" s="2735"/>
      <c r="Q430" s="2735"/>
      <c r="R430" s="2735"/>
      <c r="S430" s="2735"/>
      <c r="T430" s="2735"/>
      <c r="U430" s="2776">
        <f>U431</f>
        <v>16990.495999999999</v>
      </c>
    </row>
    <row r="431" spans="1:21" ht="27.75" customHeight="1" x14ac:dyDescent="0.25">
      <c r="A431" s="1179"/>
      <c r="B431" s="1205" t="s">
        <v>911</v>
      </c>
      <c r="C431" s="1180"/>
      <c r="D431" s="409" t="s">
        <v>453</v>
      </c>
      <c r="E431" s="409" t="s">
        <v>456</v>
      </c>
      <c r="F431" s="409" t="s">
        <v>260</v>
      </c>
      <c r="G431" s="1662"/>
      <c r="H431" s="2772">
        <f>H432</f>
        <v>15057.726780000001</v>
      </c>
      <c r="I431" s="2773">
        <f t="shared" si="94"/>
        <v>0</v>
      </c>
      <c r="J431" s="2774">
        <f t="shared" si="94"/>
        <v>0</v>
      </c>
      <c r="K431" s="2735"/>
      <c r="L431" s="2735"/>
      <c r="M431" s="2735"/>
      <c r="N431" s="2775">
        <f>N432</f>
        <v>16242.807999999999</v>
      </c>
      <c r="O431" s="2735"/>
      <c r="P431" s="2735"/>
      <c r="Q431" s="2735"/>
      <c r="R431" s="2735"/>
      <c r="S431" s="2735"/>
      <c r="T431" s="2735"/>
      <c r="U431" s="2772">
        <f>U432</f>
        <v>16990.495999999999</v>
      </c>
    </row>
    <row r="432" spans="1:21" x14ac:dyDescent="0.25">
      <c r="A432" s="842"/>
      <c r="B432" s="1205" t="s">
        <v>259</v>
      </c>
      <c r="C432" s="1180"/>
      <c r="D432" s="409" t="s">
        <v>453</v>
      </c>
      <c r="E432" s="409" t="s">
        <v>456</v>
      </c>
      <c r="F432" s="409" t="s">
        <v>258</v>
      </c>
      <c r="G432" s="1662"/>
      <c r="H432" s="2805">
        <f>H435+H437+H439+H447</f>
        <v>15057.726780000001</v>
      </c>
      <c r="I432" s="2806">
        <f t="shared" si="94"/>
        <v>0</v>
      </c>
      <c r="J432" s="2807">
        <f t="shared" si="94"/>
        <v>0</v>
      </c>
      <c r="K432" s="2808"/>
      <c r="L432" s="2808"/>
      <c r="M432" s="2808"/>
      <c r="N432" s="2809">
        <f>N435+N437+N439+N447</f>
        <v>16242.807999999999</v>
      </c>
      <c r="O432" s="2808"/>
      <c r="P432" s="2808"/>
      <c r="Q432" s="2808"/>
      <c r="R432" s="2808"/>
      <c r="S432" s="2808"/>
      <c r="T432" s="2808"/>
      <c r="U432" s="2805">
        <f>U435+U437+U439+U447</f>
        <v>16990.495999999999</v>
      </c>
    </row>
    <row r="433" spans="1:27" x14ac:dyDescent="0.25">
      <c r="A433" s="842"/>
      <c r="B433" s="1197" t="s">
        <v>351</v>
      </c>
      <c r="C433" s="1180"/>
      <c r="D433" s="409" t="s">
        <v>453</v>
      </c>
      <c r="E433" s="409" t="s">
        <v>456</v>
      </c>
      <c r="F433" s="409" t="s">
        <v>254</v>
      </c>
      <c r="G433" s="1662"/>
      <c r="H433" s="2805">
        <f>H435+H437+H439</f>
        <v>11562.52678</v>
      </c>
      <c r="I433" s="2806">
        <f>I435</f>
        <v>0</v>
      </c>
      <c r="J433" s="2807">
        <f>J435</f>
        <v>0</v>
      </c>
      <c r="K433" s="2808"/>
      <c r="L433" s="2808"/>
      <c r="M433" s="2808"/>
      <c r="N433" s="2809">
        <f>N435+N437+N439</f>
        <v>12607.8</v>
      </c>
      <c r="O433" s="2808"/>
      <c r="P433" s="2808"/>
      <c r="Q433" s="2808"/>
      <c r="R433" s="2808"/>
      <c r="S433" s="2808"/>
      <c r="T433" s="2808"/>
      <c r="U433" s="2805">
        <f>U435+U437+U439</f>
        <v>13210.088</v>
      </c>
    </row>
    <row r="434" spans="1:27" ht="39" x14ac:dyDescent="0.25">
      <c r="A434" s="842"/>
      <c r="B434" s="49" t="s">
        <v>1063</v>
      </c>
      <c r="C434" s="1180"/>
      <c r="D434" s="409" t="s">
        <v>453</v>
      </c>
      <c r="E434" s="409" t="s">
        <v>456</v>
      </c>
      <c r="F434" s="409" t="s">
        <v>254</v>
      </c>
      <c r="G434" s="1662" t="s">
        <v>1062</v>
      </c>
      <c r="H434" s="2805">
        <f t="shared" ref="H434:U434" si="95">H435</f>
        <v>7903.6489999999994</v>
      </c>
      <c r="I434" s="2806">
        <f t="shared" si="95"/>
        <v>0</v>
      </c>
      <c r="J434" s="2807">
        <f t="shared" si="95"/>
        <v>0</v>
      </c>
      <c r="K434" s="2808">
        <f t="shared" si="95"/>
        <v>0</v>
      </c>
      <c r="L434" s="2808">
        <f t="shared" si="95"/>
        <v>0</v>
      </c>
      <c r="M434" s="2808">
        <f t="shared" si="95"/>
        <v>0</v>
      </c>
      <c r="N434" s="2809">
        <f t="shared" si="95"/>
        <v>7709.01</v>
      </c>
      <c r="O434" s="2808">
        <f t="shared" si="95"/>
        <v>0</v>
      </c>
      <c r="P434" s="2808">
        <f t="shared" si="95"/>
        <v>0</v>
      </c>
      <c r="Q434" s="2808">
        <f t="shared" si="95"/>
        <v>0</v>
      </c>
      <c r="R434" s="2808">
        <f t="shared" si="95"/>
        <v>0</v>
      </c>
      <c r="S434" s="2808">
        <f t="shared" si="95"/>
        <v>0</v>
      </c>
      <c r="T434" s="2808">
        <f t="shared" si="95"/>
        <v>0</v>
      </c>
      <c r="U434" s="2805">
        <f t="shared" si="95"/>
        <v>8017.3710000000001</v>
      </c>
    </row>
    <row r="435" spans="1:27" x14ac:dyDescent="0.25">
      <c r="A435" s="842"/>
      <c r="B435" s="753" t="s">
        <v>840</v>
      </c>
      <c r="C435" s="1180"/>
      <c r="D435" s="409" t="s">
        <v>453</v>
      </c>
      <c r="E435" s="409" t="s">
        <v>456</v>
      </c>
      <c r="F435" s="409" t="s">
        <v>254</v>
      </c>
      <c r="G435" s="1662" t="s">
        <v>255</v>
      </c>
      <c r="H435" s="2772">
        <f>7413.11+490.539</f>
        <v>7903.6489999999994</v>
      </c>
      <c r="I435" s="2773"/>
      <c r="J435" s="2774"/>
      <c r="K435" s="2735"/>
      <c r="L435" s="2735"/>
      <c r="M435" s="2735"/>
      <c r="N435" s="2775">
        <v>7709.01</v>
      </c>
      <c r="O435" s="2735"/>
      <c r="P435" s="2735"/>
      <c r="Q435" s="2735"/>
      <c r="R435" s="2735"/>
      <c r="S435" s="2735"/>
      <c r="T435" s="2735"/>
      <c r="U435" s="2772">
        <v>8017.3710000000001</v>
      </c>
    </row>
    <row r="436" spans="1:27" x14ac:dyDescent="0.25">
      <c r="A436" s="842"/>
      <c r="B436" s="753" t="s">
        <v>948</v>
      </c>
      <c r="C436" s="1180"/>
      <c r="D436" s="409" t="s">
        <v>453</v>
      </c>
      <c r="E436" s="409" t="s">
        <v>456</v>
      </c>
      <c r="F436" s="409" t="s">
        <v>254</v>
      </c>
      <c r="G436" s="1662" t="s">
        <v>955</v>
      </c>
      <c r="H436" s="2772">
        <f t="shared" ref="H436:U436" si="96">H437</f>
        <v>3657.8777799999998</v>
      </c>
      <c r="I436" s="2773">
        <f t="shared" si="96"/>
        <v>0</v>
      </c>
      <c r="J436" s="2774">
        <f t="shared" si="96"/>
        <v>0</v>
      </c>
      <c r="K436" s="2735">
        <f t="shared" si="96"/>
        <v>0</v>
      </c>
      <c r="L436" s="2735">
        <f t="shared" si="96"/>
        <v>0</v>
      </c>
      <c r="M436" s="2735">
        <f t="shared" si="96"/>
        <v>0</v>
      </c>
      <c r="N436" s="2775">
        <f t="shared" si="96"/>
        <v>4897.79</v>
      </c>
      <c r="O436" s="2735">
        <f t="shared" si="96"/>
        <v>0</v>
      </c>
      <c r="P436" s="2735">
        <f t="shared" si="96"/>
        <v>0</v>
      </c>
      <c r="Q436" s="2735">
        <f t="shared" si="96"/>
        <v>0</v>
      </c>
      <c r="R436" s="2735">
        <f t="shared" si="96"/>
        <v>0</v>
      </c>
      <c r="S436" s="2735">
        <f t="shared" si="96"/>
        <v>0</v>
      </c>
      <c r="T436" s="2735">
        <f t="shared" si="96"/>
        <v>0</v>
      </c>
      <c r="U436" s="2772">
        <f t="shared" si="96"/>
        <v>5191.7169999999996</v>
      </c>
    </row>
    <row r="437" spans="1:27" ht="21" x14ac:dyDescent="0.25">
      <c r="A437" s="1179"/>
      <c r="B437" s="1182" t="s">
        <v>454</v>
      </c>
      <c r="C437" s="1183"/>
      <c r="D437" s="409" t="s">
        <v>453</v>
      </c>
      <c r="E437" s="409" t="s">
        <v>456</v>
      </c>
      <c r="F437" s="409" t="s">
        <v>254</v>
      </c>
      <c r="G437" s="1662" t="s">
        <v>1</v>
      </c>
      <c r="H437" s="2772">
        <f>4620.5-962.62222</f>
        <v>3657.8777799999998</v>
      </c>
      <c r="I437" s="2773"/>
      <c r="J437" s="2774"/>
      <c r="K437" s="2757"/>
      <c r="L437" s="2735"/>
      <c r="M437" s="2735"/>
      <c r="N437" s="2775">
        <v>4897.79</v>
      </c>
      <c r="O437" s="2735"/>
      <c r="P437" s="2735"/>
      <c r="Q437" s="2735"/>
      <c r="R437" s="2735"/>
      <c r="S437" s="2735"/>
      <c r="T437" s="2735"/>
      <c r="U437" s="2772">
        <v>5191.7169999999996</v>
      </c>
      <c r="Z437" s="1">
        <f>-278.4*2</f>
        <v>-556.79999999999995</v>
      </c>
      <c r="AA437" s="1">
        <v>1333.1</v>
      </c>
    </row>
    <row r="438" spans="1:27" x14ac:dyDescent="0.25">
      <c r="A438" s="1179"/>
      <c r="B438" s="1182" t="s">
        <v>1068</v>
      </c>
      <c r="C438" s="1183"/>
      <c r="D438" s="409" t="s">
        <v>453</v>
      </c>
      <c r="E438" s="409" t="s">
        <v>456</v>
      </c>
      <c r="F438" s="409" t="s">
        <v>254</v>
      </c>
      <c r="G438" s="1662" t="s">
        <v>1064</v>
      </c>
      <c r="H438" s="2772">
        <f t="shared" ref="H438:U438" si="97">H439</f>
        <v>1</v>
      </c>
      <c r="I438" s="2773">
        <f t="shared" si="97"/>
        <v>0</v>
      </c>
      <c r="J438" s="2774">
        <f t="shared" si="97"/>
        <v>0</v>
      </c>
      <c r="K438" s="2757">
        <f t="shared" si="97"/>
        <v>0</v>
      </c>
      <c r="L438" s="2735">
        <f t="shared" si="97"/>
        <v>0</v>
      </c>
      <c r="M438" s="2735">
        <f t="shared" si="97"/>
        <v>0</v>
      </c>
      <c r="N438" s="2775">
        <f t="shared" si="97"/>
        <v>1</v>
      </c>
      <c r="O438" s="2735">
        <f t="shared" si="97"/>
        <v>0</v>
      </c>
      <c r="P438" s="2735">
        <f t="shared" si="97"/>
        <v>0</v>
      </c>
      <c r="Q438" s="2735">
        <f t="shared" si="97"/>
        <v>0</v>
      </c>
      <c r="R438" s="2735">
        <f t="shared" si="97"/>
        <v>0</v>
      </c>
      <c r="S438" s="2735">
        <f t="shared" si="97"/>
        <v>0</v>
      </c>
      <c r="T438" s="2735">
        <f t="shared" si="97"/>
        <v>0</v>
      </c>
      <c r="U438" s="2772">
        <f t="shared" si="97"/>
        <v>1</v>
      </c>
    </row>
    <row r="439" spans="1:27" x14ac:dyDescent="0.25">
      <c r="A439" s="1179"/>
      <c r="B439" s="1182" t="s">
        <v>457</v>
      </c>
      <c r="C439" s="1183"/>
      <c r="D439" s="409" t="s">
        <v>453</v>
      </c>
      <c r="E439" s="409" t="s">
        <v>456</v>
      </c>
      <c r="F439" s="409" t="s">
        <v>254</v>
      </c>
      <c r="G439" s="1662" t="s">
        <v>91</v>
      </c>
      <c r="H439" s="2772">
        <v>1</v>
      </c>
      <c r="I439" s="2773"/>
      <c r="J439" s="2774"/>
      <c r="K439" s="2735"/>
      <c r="L439" s="2735"/>
      <c r="M439" s="2735"/>
      <c r="N439" s="2775">
        <v>1</v>
      </c>
      <c r="O439" s="2735"/>
      <c r="P439" s="2735"/>
      <c r="Q439" s="2735"/>
      <c r="R439" s="2735"/>
      <c r="S439" s="2735"/>
      <c r="T439" s="2735"/>
      <c r="U439" s="2772">
        <v>1</v>
      </c>
    </row>
    <row r="440" spans="1:27" s="760" customFormat="1" ht="21" hidden="1" x14ac:dyDescent="0.3">
      <c r="A440" s="842"/>
      <c r="B440" s="1242" t="s">
        <v>499</v>
      </c>
      <c r="C440" s="1207"/>
      <c r="D440" s="408" t="s">
        <v>453</v>
      </c>
      <c r="E440" s="408" t="s">
        <v>456</v>
      </c>
      <c r="F440" s="408" t="s">
        <v>273</v>
      </c>
      <c r="G440" s="1661"/>
      <c r="H440" s="2776">
        <f>H441</f>
        <v>0</v>
      </c>
      <c r="I440" s="2777"/>
      <c r="J440" s="2778"/>
      <c r="K440" s="2735"/>
      <c r="L440" s="2779"/>
      <c r="M440" s="2779"/>
      <c r="N440" s="2780">
        <f>N441</f>
        <v>0</v>
      </c>
      <c r="O440" s="2779"/>
      <c r="P440" s="2779"/>
      <c r="Q440" s="2779"/>
      <c r="R440" s="2779"/>
      <c r="S440" s="2779"/>
      <c r="T440" s="2779"/>
      <c r="U440" s="2776">
        <f>U441</f>
        <v>0</v>
      </c>
    </row>
    <row r="441" spans="1:27" hidden="1" x14ac:dyDescent="0.25">
      <c r="A441" s="1179"/>
      <c r="B441" s="753" t="s">
        <v>109</v>
      </c>
      <c r="C441" s="1180"/>
      <c r="D441" s="409" t="s">
        <v>453</v>
      </c>
      <c r="E441" s="409" t="s">
        <v>456</v>
      </c>
      <c r="F441" s="409" t="s">
        <v>260</v>
      </c>
      <c r="G441" s="1662"/>
      <c r="H441" s="2772">
        <f>H442</f>
        <v>0</v>
      </c>
      <c r="I441" s="2773">
        <f>I442</f>
        <v>0</v>
      </c>
      <c r="J441" s="2774">
        <f>J442</f>
        <v>0</v>
      </c>
      <c r="K441" s="2735"/>
      <c r="L441" s="2735"/>
      <c r="M441" s="2735"/>
      <c r="N441" s="2775">
        <f>N442</f>
        <v>0</v>
      </c>
      <c r="O441" s="2735"/>
      <c r="P441" s="2735"/>
      <c r="Q441" s="2735"/>
      <c r="R441" s="2735"/>
      <c r="S441" s="2735"/>
      <c r="T441" s="2735"/>
      <c r="U441" s="2772">
        <f>U442</f>
        <v>0</v>
      </c>
    </row>
    <row r="442" spans="1:27" hidden="1" x14ac:dyDescent="0.25">
      <c r="A442" s="1179"/>
      <c r="B442" s="1205" t="s">
        <v>109</v>
      </c>
      <c r="C442" s="1180"/>
      <c r="D442" s="409" t="s">
        <v>453</v>
      </c>
      <c r="E442" s="409" t="s">
        <v>456</v>
      </c>
      <c r="F442" s="409" t="s">
        <v>258</v>
      </c>
      <c r="G442" s="1662"/>
      <c r="H442" s="2772"/>
      <c r="I442" s="2773"/>
      <c r="J442" s="2774"/>
      <c r="K442" s="2735"/>
      <c r="L442" s="2735"/>
      <c r="M442" s="2735"/>
      <c r="N442" s="2775"/>
      <c r="O442" s="2735"/>
      <c r="P442" s="2735"/>
      <c r="Q442" s="2735"/>
      <c r="R442" s="2735"/>
      <c r="S442" s="2735"/>
      <c r="T442" s="2735"/>
      <c r="U442" s="2772"/>
    </row>
    <row r="443" spans="1:27" hidden="1" x14ac:dyDescent="0.25">
      <c r="A443" s="1179"/>
      <c r="B443" s="1205" t="s">
        <v>830</v>
      </c>
      <c r="C443" s="1180"/>
      <c r="D443" s="409" t="s">
        <v>453</v>
      </c>
      <c r="E443" s="409" t="s">
        <v>456</v>
      </c>
      <c r="F443" s="409" t="s">
        <v>831</v>
      </c>
      <c r="G443" s="1662"/>
      <c r="H443" s="2772">
        <f>H444</f>
        <v>0</v>
      </c>
      <c r="I443" s="2773">
        <f>I444+I450</f>
        <v>0</v>
      </c>
      <c r="J443" s="2774">
        <f>J444+J450</f>
        <v>0</v>
      </c>
      <c r="K443" s="2735"/>
      <c r="L443" s="2735"/>
      <c r="M443" s="2735"/>
      <c r="N443" s="2775">
        <f>N444</f>
        <v>0</v>
      </c>
      <c r="O443" s="2735"/>
      <c r="P443" s="2735"/>
      <c r="Q443" s="2735"/>
      <c r="R443" s="2735"/>
      <c r="S443" s="2735"/>
      <c r="T443" s="2735"/>
      <c r="U443" s="2772">
        <f>U444</f>
        <v>0</v>
      </c>
    </row>
    <row r="444" spans="1:27" hidden="1" x14ac:dyDescent="0.25">
      <c r="A444" s="1179"/>
      <c r="B444" s="1197" t="s">
        <v>841</v>
      </c>
      <c r="C444" s="1180"/>
      <c r="D444" s="409" t="s">
        <v>453</v>
      </c>
      <c r="E444" s="409" t="s">
        <v>456</v>
      </c>
      <c r="F444" s="409" t="s">
        <v>831</v>
      </c>
      <c r="G444" s="1662" t="s">
        <v>255</v>
      </c>
      <c r="H444" s="2772"/>
      <c r="I444" s="2773">
        <f>I448</f>
        <v>0</v>
      </c>
      <c r="J444" s="2774">
        <f>J448</f>
        <v>0</v>
      </c>
      <c r="K444" s="2735">
        <v>976.8</v>
      </c>
      <c r="L444" s="2735"/>
      <c r="M444" s="2735"/>
      <c r="N444" s="2775"/>
      <c r="O444" s="2735"/>
      <c r="P444" s="2735"/>
      <c r="Q444" s="2735"/>
      <c r="R444" s="2735"/>
      <c r="S444" s="2735"/>
      <c r="T444" s="2735"/>
      <c r="U444" s="2772"/>
    </row>
    <row r="445" spans="1:27" ht="31.5" x14ac:dyDescent="0.25">
      <c r="A445" s="1179"/>
      <c r="B445" s="1205" t="s">
        <v>1206</v>
      </c>
      <c r="C445" s="1180"/>
      <c r="D445" s="409" t="s">
        <v>453</v>
      </c>
      <c r="E445" s="409" t="s">
        <v>456</v>
      </c>
      <c r="F445" s="409" t="s">
        <v>970</v>
      </c>
      <c r="G445" s="1662"/>
      <c r="H445" s="2772">
        <f>H447</f>
        <v>3495.2</v>
      </c>
      <c r="I445" s="2773"/>
      <c r="J445" s="2774"/>
      <c r="K445" s="2735"/>
      <c r="L445" s="2735"/>
      <c r="M445" s="2735"/>
      <c r="N445" s="2775">
        <f>N447</f>
        <v>3635.0079999999998</v>
      </c>
      <c r="O445" s="2735"/>
      <c r="P445" s="2735"/>
      <c r="Q445" s="2735"/>
      <c r="R445" s="2735"/>
      <c r="S445" s="2735"/>
      <c r="T445" s="2735"/>
      <c r="U445" s="2772">
        <f>U447</f>
        <v>3780.4079999999999</v>
      </c>
      <c r="V445" s="1861">
        <v>2666.2</v>
      </c>
      <c r="W445" s="1861">
        <v>2666.2</v>
      </c>
      <c r="X445" s="1861">
        <v>2666.2</v>
      </c>
      <c r="Y445" s="2248" t="s">
        <v>444</v>
      </c>
    </row>
    <row r="446" spans="1:27" ht="39" x14ac:dyDescent="0.25">
      <c r="A446" s="1179"/>
      <c r="B446" s="49" t="s">
        <v>1063</v>
      </c>
      <c r="C446" s="1180"/>
      <c r="D446" s="409" t="s">
        <v>453</v>
      </c>
      <c r="E446" s="409" t="s">
        <v>456</v>
      </c>
      <c r="F446" s="409" t="s">
        <v>970</v>
      </c>
      <c r="G446" s="1662" t="s">
        <v>1062</v>
      </c>
      <c r="H446" s="2772">
        <f t="shared" ref="H446:U446" si="98">H447</f>
        <v>3495.2</v>
      </c>
      <c r="I446" s="2773">
        <f t="shared" si="98"/>
        <v>0</v>
      </c>
      <c r="J446" s="2774">
        <f t="shared" si="98"/>
        <v>0</v>
      </c>
      <c r="K446" s="2735">
        <f t="shared" si="98"/>
        <v>0</v>
      </c>
      <c r="L446" s="2735">
        <f t="shared" si="98"/>
        <v>0</v>
      </c>
      <c r="M446" s="2735">
        <f t="shared" si="98"/>
        <v>0</v>
      </c>
      <c r="N446" s="2795">
        <f t="shared" si="98"/>
        <v>3635.0079999999998</v>
      </c>
      <c r="O446" s="2735">
        <f t="shared" si="98"/>
        <v>0</v>
      </c>
      <c r="P446" s="2735">
        <f t="shared" si="98"/>
        <v>0</v>
      </c>
      <c r="Q446" s="2735">
        <f t="shared" si="98"/>
        <v>0</v>
      </c>
      <c r="R446" s="2735">
        <f t="shared" si="98"/>
        <v>0</v>
      </c>
      <c r="S446" s="2735">
        <f t="shared" si="98"/>
        <v>0</v>
      </c>
      <c r="T446" s="2735">
        <f t="shared" si="98"/>
        <v>0</v>
      </c>
      <c r="U446" s="2772">
        <f t="shared" si="98"/>
        <v>3780.4079999999999</v>
      </c>
      <c r="V446" s="1861"/>
      <c r="W446" s="1861"/>
      <c r="X446" s="1861"/>
      <c r="Y446" s="2248"/>
    </row>
    <row r="447" spans="1:27" x14ac:dyDescent="0.25">
      <c r="A447" s="1179"/>
      <c r="B447" s="1197" t="s">
        <v>841</v>
      </c>
      <c r="C447" s="1180"/>
      <c r="D447" s="409" t="s">
        <v>453</v>
      </c>
      <c r="E447" s="409" t="s">
        <v>456</v>
      </c>
      <c r="F447" s="409" t="s">
        <v>970</v>
      </c>
      <c r="G447" s="1662" t="s">
        <v>255</v>
      </c>
      <c r="H447" s="2772">
        <v>3495.2</v>
      </c>
      <c r="I447" s="2773"/>
      <c r="J447" s="2774"/>
      <c r="K447" s="2735"/>
      <c r="L447" s="2735"/>
      <c r="M447" s="2735"/>
      <c r="N447" s="2772">
        <v>3635.0079999999998</v>
      </c>
      <c r="O447" s="2735"/>
      <c r="P447" s="2735"/>
      <c r="Q447" s="2735"/>
      <c r="R447" s="2735"/>
      <c r="S447" s="2735"/>
      <c r="T447" s="2735"/>
      <c r="U447" s="2772">
        <v>3780.4079999999999</v>
      </c>
      <c r="V447" s="1861">
        <v>2666.2</v>
      </c>
      <c r="W447" s="1861">
        <v>2666.2</v>
      </c>
      <c r="X447" s="1861">
        <v>2666.2</v>
      </c>
      <c r="Z447" s="1">
        <f>278.4*2</f>
        <v>556.79999999999995</v>
      </c>
      <c r="AA447" s="1">
        <v>-2666.2</v>
      </c>
    </row>
    <row r="448" spans="1:27" s="760" customFormat="1" ht="13" x14ac:dyDescent="0.3">
      <c r="A448" s="842"/>
      <c r="B448" s="1252" t="s">
        <v>244</v>
      </c>
      <c r="C448" s="1177"/>
      <c r="D448" s="408" t="s">
        <v>453</v>
      </c>
      <c r="E448" s="408" t="s">
        <v>452</v>
      </c>
      <c r="F448" s="408"/>
      <c r="G448" s="1661"/>
      <c r="H448" s="2776">
        <f>H449</f>
        <v>3743.5610000000006</v>
      </c>
      <c r="I448" s="2777">
        <f>I449</f>
        <v>0</v>
      </c>
      <c r="J448" s="2778">
        <f>J449</f>
        <v>0</v>
      </c>
      <c r="K448" s="2779"/>
      <c r="L448" s="2779"/>
      <c r="M448" s="2779"/>
      <c r="N448" s="2780">
        <f>N449</f>
        <v>7555.68</v>
      </c>
      <c r="O448" s="2779"/>
      <c r="P448" s="2779"/>
      <c r="Q448" s="2779"/>
      <c r="R448" s="2779"/>
      <c r="S448" s="2779"/>
      <c r="T448" s="2779"/>
      <c r="U448" s="2776">
        <f>U449</f>
        <v>6778.5990000000002</v>
      </c>
    </row>
    <row r="449" spans="1:21" ht="21" x14ac:dyDescent="0.25">
      <c r="A449" s="1179"/>
      <c r="B449" s="1242" t="s">
        <v>933</v>
      </c>
      <c r="C449" s="1183"/>
      <c r="D449" s="409" t="s">
        <v>453</v>
      </c>
      <c r="E449" s="409" t="s">
        <v>452</v>
      </c>
      <c r="F449" s="409" t="s">
        <v>273</v>
      </c>
      <c r="G449" s="1662"/>
      <c r="H449" s="2772">
        <f>H450</f>
        <v>3743.5610000000006</v>
      </c>
      <c r="I449" s="2773"/>
      <c r="J449" s="2774"/>
      <c r="K449" s="2735"/>
      <c r="L449" s="2735"/>
      <c r="M449" s="2735"/>
      <c r="N449" s="2775">
        <f>N450</f>
        <v>7555.68</v>
      </c>
      <c r="O449" s="2735"/>
      <c r="P449" s="2735"/>
      <c r="Q449" s="2735"/>
      <c r="R449" s="2735"/>
      <c r="S449" s="2735"/>
      <c r="T449" s="2735"/>
      <c r="U449" s="2772">
        <f>U450</f>
        <v>6778.5990000000002</v>
      </c>
    </row>
    <row r="450" spans="1:21" x14ac:dyDescent="0.25">
      <c r="A450" s="1179"/>
      <c r="B450" s="753" t="s">
        <v>836</v>
      </c>
      <c r="C450" s="1183"/>
      <c r="D450" s="409" t="s">
        <v>453</v>
      </c>
      <c r="E450" s="409" t="s">
        <v>452</v>
      </c>
      <c r="F450" s="409" t="s">
        <v>251</v>
      </c>
      <c r="G450" s="1662"/>
      <c r="H450" s="2772">
        <f>H451</f>
        <v>3743.5610000000006</v>
      </c>
      <c r="I450" s="2773">
        <f>I451+I454</f>
        <v>0</v>
      </c>
      <c r="J450" s="2774">
        <f>J451+J454</f>
        <v>0</v>
      </c>
      <c r="K450" s="2735"/>
      <c r="L450" s="2735"/>
      <c r="M450" s="2735"/>
      <c r="N450" s="2775">
        <f>N451</f>
        <v>7555.68</v>
      </c>
      <c r="O450" s="2735"/>
      <c r="P450" s="2735"/>
      <c r="Q450" s="2735"/>
      <c r="R450" s="2735"/>
      <c r="S450" s="2735"/>
      <c r="T450" s="2735"/>
      <c r="U450" s="2772">
        <f>U451</f>
        <v>6778.5990000000002</v>
      </c>
    </row>
    <row r="451" spans="1:21" x14ac:dyDescent="0.25">
      <c r="A451" s="1179"/>
      <c r="B451" s="753" t="s">
        <v>250</v>
      </c>
      <c r="C451" s="1180"/>
      <c r="D451" s="409" t="s">
        <v>453</v>
      </c>
      <c r="E451" s="409" t="s">
        <v>452</v>
      </c>
      <c r="F451" s="409" t="s">
        <v>249</v>
      </c>
      <c r="G451" s="1662"/>
      <c r="H451" s="2772">
        <f>H452</f>
        <v>3743.5610000000006</v>
      </c>
      <c r="I451" s="2773">
        <f>I452</f>
        <v>0</v>
      </c>
      <c r="J451" s="2774">
        <f>J452</f>
        <v>0</v>
      </c>
      <c r="K451" s="2735"/>
      <c r="L451" s="2735"/>
      <c r="M451" s="2735"/>
      <c r="N451" s="2775">
        <f>N452</f>
        <v>7555.68</v>
      </c>
      <c r="O451" s="2735"/>
      <c r="P451" s="2735"/>
      <c r="Q451" s="2735"/>
      <c r="R451" s="2735"/>
      <c r="S451" s="2735"/>
      <c r="T451" s="2735"/>
      <c r="U451" s="2772">
        <f>U452</f>
        <v>6778.5990000000002</v>
      </c>
    </row>
    <row r="452" spans="1:21" x14ac:dyDescent="0.25">
      <c r="A452" s="1179"/>
      <c r="B452" s="1242" t="s">
        <v>248</v>
      </c>
      <c r="C452" s="1183"/>
      <c r="D452" s="409" t="s">
        <v>453</v>
      </c>
      <c r="E452" s="409" t="s">
        <v>452</v>
      </c>
      <c r="F452" s="409" t="s">
        <v>243</v>
      </c>
      <c r="G452" s="1662"/>
      <c r="H452" s="2772">
        <f>H454</f>
        <v>3743.5610000000006</v>
      </c>
      <c r="I452" s="2773">
        <v>0</v>
      </c>
      <c r="J452" s="2774">
        <v>0</v>
      </c>
      <c r="K452" s="2735"/>
      <c r="L452" s="2735"/>
      <c r="M452" s="2735"/>
      <c r="N452" s="2775">
        <f>N454</f>
        <v>7555.68</v>
      </c>
      <c r="O452" s="2735"/>
      <c r="P452" s="2735"/>
      <c r="Q452" s="2735"/>
      <c r="R452" s="2735"/>
      <c r="S452" s="2735"/>
      <c r="T452" s="2735"/>
      <c r="U452" s="2772">
        <f>U454</f>
        <v>6778.5990000000002</v>
      </c>
    </row>
    <row r="453" spans="1:21" x14ac:dyDescent="0.25">
      <c r="A453" s="1179"/>
      <c r="B453" s="753" t="s">
        <v>948</v>
      </c>
      <c r="C453" s="1183"/>
      <c r="D453" s="409" t="s">
        <v>453</v>
      </c>
      <c r="E453" s="409" t="s">
        <v>452</v>
      </c>
      <c r="F453" s="409" t="s">
        <v>243</v>
      </c>
      <c r="G453" s="1662" t="s">
        <v>955</v>
      </c>
      <c r="H453" s="2772">
        <f t="shared" ref="H453:U453" si="99">H454</f>
        <v>3743.5610000000006</v>
      </c>
      <c r="I453" s="2773">
        <f t="shared" si="99"/>
        <v>0</v>
      </c>
      <c r="J453" s="2774">
        <f t="shared" si="99"/>
        <v>0</v>
      </c>
      <c r="K453" s="2735">
        <f t="shared" si="99"/>
        <v>0</v>
      </c>
      <c r="L453" s="2735">
        <f t="shared" si="99"/>
        <v>0</v>
      </c>
      <c r="M453" s="2735">
        <f t="shared" si="99"/>
        <v>0</v>
      </c>
      <c r="N453" s="2775">
        <f t="shared" si="99"/>
        <v>7555.68</v>
      </c>
      <c r="O453" s="2735">
        <f t="shared" si="99"/>
        <v>0</v>
      </c>
      <c r="P453" s="2735">
        <f t="shared" si="99"/>
        <v>0</v>
      </c>
      <c r="Q453" s="2735">
        <f t="shared" si="99"/>
        <v>0</v>
      </c>
      <c r="R453" s="2735">
        <f t="shared" si="99"/>
        <v>0</v>
      </c>
      <c r="S453" s="2735">
        <f t="shared" si="99"/>
        <v>0</v>
      </c>
      <c r="T453" s="2735">
        <f t="shared" si="99"/>
        <v>0</v>
      </c>
      <c r="U453" s="2772">
        <f t="shared" si="99"/>
        <v>6778.5990000000002</v>
      </c>
    </row>
    <row r="454" spans="1:21" ht="21" customHeight="1" x14ac:dyDescent="0.25">
      <c r="A454" s="1179"/>
      <c r="B454" s="753" t="s">
        <v>454</v>
      </c>
      <c r="C454" s="1180"/>
      <c r="D454" s="409" t="s">
        <v>453</v>
      </c>
      <c r="E454" s="409" t="s">
        <v>452</v>
      </c>
      <c r="F454" s="409" t="s">
        <v>243</v>
      </c>
      <c r="G454" s="1662" t="s">
        <v>1</v>
      </c>
      <c r="H454" s="2772">
        <f>7128-500-893.9-490.539-1500</f>
        <v>3743.5610000000006</v>
      </c>
      <c r="I454" s="2773"/>
      <c r="J454" s="2774"/>
      <c r="K454" s="2735"/>
      <c r="L454" s="2735"/>
      <c r="M454" s="2735"/>
      <c r="N454" s="2775">
        <v>7555.68</v>
      </c>
      <c r="O454" s="2735"/>
      <c r="P454" s="2735"/>
      <c r="Q454" s="2735"/>
      <c r="R454" s="2735"/>
      <c r="S454" s="2735"/>
      <c r="T454" s="2735"/>
      <c r="U454" s="2772">
        <v>6778.5990000000002</v>
      </c>
    </row>
    <row r="455" spans="1:21" ht="21" hidden="1" x14ac:dyDescent="0.25">
      <c r="A455" s="1179"/>
      <c r="B455" s="1182" t="s">
        <v>454</v>
      </c>
      <c r="C455" s="1183"/>
      <c r="D455" s="409" t="s">
        <v>453</v>
      </c>
      <c r="E455" s="409" t="s">
        <v>452</v>
      </c>
      <c r="F455" s="409" t="s">
        <v>500</v>
      </c>
      <c r="G455" s="1662" t="s">
        <v>26</v>
      </c>
      <c r="H455" s="2772"/>
      <c r="I455" s="2773"/>
      <c r="J455" s="2774"/>
      <c r="K455" s="2735"/>
      <c r="L455" s="2735"/>
      <c r="M455" s="2735"/>
      <c r="N455" s="2775"/>
      <c r="O455" s="2735"/>
      <c r="P455" s="2735"/>
      <c r="Q455" s="2735"/>
      <c r="R455" s="2735"/>
      <c r="S455" s="2735"/>
      <c r="T455" s="2735"/>
      <c r="U455" s="2772"/>
    </row>
    <row r="456" spans="1:21" x14ac:dyDescent="0.25">
      <c r="A456" s="1179"/>
      <c r="B456" s="1184" t="s">
        <v>334</v>
      </c>
      <c r="C456" s="1177"/>
      <c r="D456" s="408" t="s">
        <v>496</v>
      </c>
      <c r="E456" s="408" t="s">
        <v>459</v>
      </c>
      <c r="F456" s="408"/>
      <c r="G456" s="1661"/>
      <c r="H456" s="2776">
        <f>H457+H464</f>
        <v>690.87300000000005</v>
      </c>
      <c r="I456" s="2777">
        <f>I457+I464</f>
        <v>585.81999999999994</v>
      </c>
      <c r="J456" s="2810">
        <f>J457+J464</f>
        <v>610.88699999999994</v>
      </c>
      <c r="K456" s="2735"/>
      <c r="L456" s="2735"/>
      <c r="M456" s="2735"/>
      <c r="N456" s="2780">
        <f>N457+N464</f>
        <v>718.50800000000004</v>
      </c>
      <c r="O456" s="2735"/>
      <c r="P456" s="2735"/>
      <c r="Q456" s="2735"/>
      <c r="R456" s="2735"/>
      <c r="S456" s="2735"/>
      <c r="T456" s="2735"/>
      <c r="U456" s="2776">
        <f>U457+U464</f>
        <v>747.24800000000005</v>
      </c>
    </row>
    <row r="457" spans="1:21" x14ac:dyDescent="0.25">
      <c r="A457" s="1179"/>
      <c r="B457" s="1184" t="s">
        <v>79</v>
      </c>
      <c r="C457" s="1177"/>
      <c r="D457" s="408" t="s">
        <v>496</v>
      </c>
      <c r="E457" s="408" t="s">
        <v>456</v>
      </c>
      <c r="F457" s="408"/>
      <c r="G457" s="1661"/>
      <c r="H457" s="2776">
        <f t="shared" ref="H457:J460" si="100">H458</f>
        <v>690.87300000000005</v>
      </c>
      <c r="I457" s="2777">
        <f t="shared" si="100"/>
        <v>0</v>
      </c>
      <c r="J457" s="2810">
        <f t="shared" si="100"/>
        <v>0</v>
      </c>
      <c r="K457" s="2745">
        <v>615.01599999999996</v>
      </c>
      <c r="L457" s="2735"/>
      <c r="M457" s="2735"/>
      <c r="N457" s="2780">
        <f t="shared" ref="N457:N460" si="101">N458</f>
        <v>718.50800000000004</v>
      </c>
      <c r="O457" s="2735"/>
      <c r="P457" s="2735"/>
      <c r="Q457" s="2735"/>
      <c r="R457" s="2735"/>
      <c r="S457" s="2735"/>
      <c r="T457" s="2735"/>
      <c r="U457" s="2776">
        <f t="shared" ref="U457:U460" si="102">U458</f>
        <v>747.24800000000005</v>
      </c>
    </row>
    <row r="458" spans="1:21" ht="21" x14ac:dyDescent="0.25">
      <c r="A458" s="1179"/>
      <c r="B458" s="753" t="s">
        <v>499</v>
      </c>
      <c r="C458" s="1177"/>
      <c r="D458" s="409" t="s">
        <v>496</v>
      </c>
      <c r="E458" s="409" t="s">
        <v>456</v>
      </c>
      <c r="F458" s="409" t="s">
        <v>89</v>
      </c>
      <c r="G458" s="1661"/>
      <c r="H458" s="2776">
        <f t="shared" si="100"/>
        <v>690.87300000000005</v>
      </c>
      <c r="I458" s="2777">
        <f t="shared" si="100"/>
        <v>0</v>
      </c>
      <c r="J458" s="2810">
        <f t="shared" si="100"/>
        <v>0</v>
      </c>
      <c r="K458" s="2735"/>
      <c r="L458" s="2735"/>
      <c r="M458" s="2735"/>
      <c r="N458" s="2780">
        <f t="shared" si="101"/>
        <v>718.50800000000004</v>
      </c>
      <c r="O458" s="2735"/>
      <c r="P458" s="2735"/>
      <c r="Q458" s="2735"/>
      <c r="R458" s="2735"/>
      <c r="S458" s="2735"/>
      <c r="T458" s="2735"/>
      <c r="U458" s="2776">
        <f t="shared" si="102"/>
        <v>747.24800000000005</v>
      </c>
    </row>
    <row r="459" spans="1:21" x14ac:dyDescent="0.25">
      <c r="A459" s="1179"/>
      <c r="B459" s="753" t="s">
        <v>109</v>
      </c>
      <c r="C459" s="1180"/>
      <c r="D459" s="409" t="s">
        <v>496</v>
      </c>
      <c r="E459" s="409" t="s">
        <v>456</v>
      </c>
      <c r="F459" s="409" t="s">
        <v>84</v>
      </c>
      <c r="G459" s="1662"/>
      <c r="H459" s="2772">
        <f t="shared" si="100"/>
        <v>690.87300000000005</v>
      </c>
      <c r="I459" s="2773">
        <f t="shared" si="100"/>
        <v>0</v>
      </c>
      <c r="J459" s="2789">
        <f t="shared" si="100"/>
        <v>0</v>
      </c>
      <c r="K459" s="2735"/>
      <c r="L459" s="2735"/>
      <c r="M459" s="2735"/>
      <c r="N459" s="2775">
        <f t="shared" si="101"/>
        <v>718.50800000000004</v>
      </c>
      <c r="O459" s="2735"/>
      <c r="P459" s="2735"/>
      <c r="Q459" s="2735"/>
      <c r="R459" s="2735"/>
      <c r="S459" s="2735"/>
      <c r="T459" s="2735"/>
      <c r="U459" s="2772">
        <f t="shared" si="102"/>
        <v>747.24800000000005</v>
      </c>
    </row>
    <row r="460" spans="1:21" x14ac:dyDescent="0.25">
      <c r="A460" s="1179"/>
      <c r="B460" s="753" t="s">
        <v>109</v>
      </c>
      <c r="C460" s="1180"/>
      <c r="D460" s="409" t="s">
        <v>496</v>
      </c>
      <c r="E460" s="409" t="s">
        <v>456</v>
      </c>
      <c r="F460" s="409" t="s">
        <v>82</v>
      </c>
      <c r="G460" s="1662"/>
      <c r="H460" s="2772">
        <f t="shared" si="100"/>
        <v>690.87300000000005</v>
      </c>
      <c r="I460" s="2773">
        <f t="shared" si="100"/>
        <v>0</v>
      </c>
      <c r="J460" s="2789">
        <f t="shared" si="100"/>
        <v>0</v>
      </c>
      <c r="K460" s="2735"/>
      <c r="L460" s="2735"/>
      <c r="M460" s="2735"/>
      <c r="N460" s="2775">
        <f t="shared" si="101"/>
        <v>718.50800000000004</v>
      </c>
      <c r="O460" s="2735"/>
      <c r="P460" s="2735"/>
      <c r="Q460" s="2735"/>
      <c r="R460" s="2735"/>
      <c r="S460" s="2735"/>
      <c r="T460" s="2735"/>
      <c r="U460" s="2772">
        <f t="shared" si="102"/>
        <v>747.24800000000005</v>
      </c>
    </row>
    <row r="461" spans="1:21" x14ac:dyDescent="0.25">
      <c r="A461" s="1179"/>
      <c r="B461" s="753" t="s">
        <v>81</v>
      </c>
      <c r="C461" s="1180"/>
      <c r="D461" s="409" t="s">
        <v>496</v>
      </c>
      <c r="E461" s="409" t="s">
        <v>456</v>
      </c>
      <c r="F461" s="409" t="s">
        <v>78</v>
      </c>
      <c r="G461" s="1662"/>
      <c r="H461" s="2772">
        <f>H463</f>
        <v>690.87300000000005</v>
      </c>
      <c r="I461" s="2773">
        <f>I463</f>
        <v>0</v>
      </c>
      <c r="J461" s="2789">
        <f>J463</f>
        <v>0</v>
      </c>
      <c r="K461" s="2735"/>
      <c r="L461" s="2735"/>
      <c r="M461" s="2735"/>
      <c r="N461" s="2775">
        <f>N463</f>
        <v>718.50800000000004</v>
      </c>
      <c r="O461" s="2735"/>
      <c r="P461" s="2735"/>
      <c r="Q461" s="2735"/>
      <c r="R461" s="2735"/>
      <c r="S461" s="2735"/>
      <c r="T461" s="2735"/>
      <c r="U461" s="2772">
        <f>U463</f>
        <v>747.24800000000005</v>
      </c>
    </row>
    <row r="462" spans="1:21" x14ac:dyDescent="0.25">
      <c r="A462" s="1179"/>
      <c r="B462" s="753" t="s">
        <v>852</v>
      </c>
      <c r="C462" s="1180"/>
      <c r="D462" s="409" t="s">
        <v>496</v>
      </c>
      <c r="E462" s="409" t="s">
        <v>456</v>
      </c>
      <c r="F462" s="409" t="s">
        <v>78</v>
      </c>
      <c r="G462" s="1662" t="s">
        <v>860</v>
      </c>
      <c r="H462" s="2772">
        <f t="shared" ref="H462:U462" si="103">H463</f>
        <v>690.87300000000005</v>
      </c>
      <c r="I462" s="2773">
        <f t="shared" si="103"/>
        <v>0</v>
      </c>
      <c r="J462" s="2790">
        <f t="shared" si="103"/>
        <v>0</v>
      </c>
      <c r="K462" s="2735">
        <f t="shared" si="103"/>
        <v>0</v>
      </c>
      <c r="L462" s="2735">
        <f t="shared" si="103"/>
        <v>0</v>
      </c>
      <c r="M462" s="2735">
        <f t="shared" si="103"/>
        <v>0</v>
      </c>
      <c r="N462" s="2775">
        <f t="shared" si="103"/>
        <v>718.50800000000004</v>
      </c>
      <c r="O462" s="2735">
        <f t="shared" si="103"/>
        <v>0</v>
      </c>
      <c r="P462" s="2735">
        <f t="shared" si="103"/>
        <v>0</v>
      </c>
      <c r="Q462" s="2735">
        <f t="shared" si="103"/>
        <v>0</v>
      </c>
      <c r="R462" s="2735">
        <f t="shared" si="103"/>
        <v>0</v>
      </c>
      <c r="S462" s="2735">
        <f t="shared" si="103"/>
        <v>0</v>
      </c>
      <c r="T462" s="2735">
        <f t="shared" si="103"/>
        <v>0</v>
      </c>
      <c r="U462" s="2772">
        <f t="shared" si="103"/>
        <v>747.24800000000005</v>
      </c>
    </row>
    <row r="463" spans="1:21" x14ac:dyDescent="0.25">
      <c r="A463" s="1179"/>
      <c r="B463" s="1236" t="s">
        <v>497</v>
      </c>
      <c r="C463" s="1183"/>
      <c r="D463" s="409" t="s">
        <v>496</v>
      </c>
      <c r="E463" s="409" t="s">
        <v>456</v>
      </c>
      <c r="F463" s="409" t="s">
        <v>78</v>
      </c>
      <c r="G463" s="1662" t="s">
        <v>77</v>
      </c>
      <c r="H463" s="2772">
        <v>690.87300000000005</v>
      </c>
      <c r="I463" s="2773"/>
      <c r="J463" s="2774"/>
      <c r="K463" s="2735"/>
      <c r="L463" s="2735"/>
      <c r="M463" s="2735"/>
      <c r="N463" s="2775">
        <v>718.50800000000004</v>
      </c>
      <c r="O463" s="2735"/>
      <c r="P463" s="2735"/>
      <c r="Q463" s="2735"/>
      <c r="R463" s="2735"/>
      <c r="S463" s="2735"/>
      <c r="T463" s="2735"/>
      <c r="U463" s="2772">
        <v>747.24800000000005</v>
      </c>
    </row>
    <row r="464" spans="1:21" hidden="1" x14ac:dyDescent="0.25">
      <c r="A464" s="1179"/>
      <c r="B464" s="1184" t="s">
        <v>45</v>
      </c>
      <c r="C464" s="1177"/>
      <c r="D464" s="408" t="s">
        <v>496</v>
      </c>
      <c r="E464" s="408" t="s">
        <v>495</v>
      </c>
      <c r="F464" s="408"/>
      <c r="G464" s="1661"/>
      <c r="H464" s="2776">
        <f t="shared" ref="H464:J467" si="104">H465</f>
        <v>0</v>
      </c>
      <c r="I464" s="2777">
        <f t="shared" si="104"/>
        <v>585.81999999999994</v>
      </c>
      <c r="J464" s="2810">
        <f t="shared" si="104"/>
        <v>610.88699999999994</v>
      </c>
      <c r="K464" s="2735"/>
      <c r="L464" s="2735"/>
      <c r="M464" s="2735"/>
      <c r="N464" s="2780">
        <f t="shared" ref="N464:N467" si="105">N465</f>
        <v>0</v>
      </c>
      <c r="O464" s="2735"/>
      <c r="P464" s="2735"/>
      <c r="Q464" s="2735"/>
      <c r="R464" s="2735"/>
      <c r="S464" s="2735"/>
      <c r="T464" s="2735"/>
      <c r="U464" s="2776">
        <f t="shared" ref="U464:U467" si="106">U465</f>
        <v>0</v>
      </c>
    </row>
    <row r="465" spans="1:21" ht="31.5" hidden="1" x14ac:dyDescent="0.25">
      <c r="A465" s="1179"/>
      <c r="B465" s="1203" t="s">
        <v>861</v>
      </c>
      <c r="C465" s="1177"/>
      <c r="D465" s="408" t="s">
        <v>496</v>
      </c>
      <c r="E465" s="408" t="s">
        <v>495</v>
      </c>
      <c r="F465" s="408" t="s">
        <v>468</v>
      </c>
      <c r="G465" s="1661"/>
      <c r="H465" s="2776">
        <f>H466+H470</f>
        <v>0</v>
      </c>
      <c r="I465" s="2777">
        <f t="shared" si="104"/>
        <v>585.81999999999994</v>
      </c>
      <c r="J465" s="2810">
        <f t="shared" si="104"/>
        <v>610.88699999999994</v>
      </c>
      <c r="K465" s="2735"/>
      <c r="L465" s="2735"/>
      <c r="M465" s="2735"/>
      <c r="N465" s="2780">
        <f>N466+N470</f>
        <v>0</v>
      </c>
      <c r="O465" s="2735"/>
      <c r="P465" s="2735"/>
      <c r="Q465" s="2735"/>
      <c r="R465" s="2735"/>
      <c r="S465" s="2735"/>
      <c r="T465" s="2735"/>
      <c r="U465" s="2776">
        <f>U466+U470</f>
        <v>0</v>
      </c>
    </row>
    <row r="466" spans="1:21" hidden="1" x14ac:dyDescent="0.25">
      <c r="A466" s="1179"/>
      <c r="B466" s="1203" t="s">
        <v>849</v>
      </c>
      <c r="C466" s="1180"/>
      <c r="D466" s="409" t="s">
        <v>496</v>
      </c>
      <c r="E466" s="409" t="s">
        <v>495</v>
      </c>
      <c r="F466" s="409" t="s">
        <v>854</v>
      </c>
      <c r="G466" s="1662"/>
      <c r="H466" s="2772">
        <f t="shared" si="104"/>
        <v>0</v>
      </c>
      <c r="I466" s="2773">
        <f t="shared" si="104"/>
        <v>585.81999999999994</v>
      </c>
      <c r="J466" s="2789">
        <f t="shared" si="104"/>
        <v>610.88699999999994</v>
      </c>
      <c r="K466" s="2735"/>
      <c r="L466" s="2735"/>
      <c r="M466" s="2735"/>
      <c r="N466" s="2775">
        <f t="shared" si="105"/>
        <v>0</v>
      </c>
      <c r="O466" s="2735"/>
      <c r="P466" s="2735"/>
      <c r="Q466" s="2735"/>
      <c r="R466" s="2735"/>
      <c r="S466" s="2735"/>
      <c r="T466" s="2735"/>
      <c r="U466" s="2772">
        <f t="shared" si="106"/>
        <v>0</v>
      </c>
    </row>
    <row r="467" spans="1:21" hidden="1" x14ac:dyDescent="0.25">
      <c r="A467" s="1179"/>
      <c r="B467" s="1203" t="s">
        <v>850</v>
      </c>
      <c r="C467" s="1180"/>
      <c r="D467" s="409" t="s">
        <v>496</v>
      </c>
      <c r="E467" s="409" t="s">
        <v>495</v>
      </c>
      <c r="F467" s="409" t="s">
        <v>855</v>
      </c>
      <c r="G467" s="1662"/>
      <c r="H467" s="2772">
        <f t="shared" si="104"/>
        <v>0</v>
      </c>
      <c r="I467" s="2773">
        <f t="shared" si="104"/>
        <v>585.81999999999994</v>
      </c>
      <c r="J467" s="2789">
        <f t="shared" si="104"/>
        <v>610.88699999999994</v>
      </c>
      <c r="K467" s="2735"/>
      <c r="L467" s="2735"/>
      <c r="M467" s="2735"/>
      <c r="N467" s="2775">
        <f t="shared" si="105"/>
        <v>0</v>
      </c>
      <c r="O467" s="2735"/>
      <c r="P467" s="2735"/>
      <c r="Q467" s="2735"/>
      <c r="R467" s="2735"/>
      <c r="S467" s="2735"/>
      <c r="T467" s="2735"/>
      <c r="U467" s="2772">
        <f t="shared" si="106"/>
        <v>0</v>
      </c>
    </row>
    <row r="468" spans="1:21" ht="35.25" hidden="1" customHeight="1" x14ac:dyDescent="0.25">
      <c r="A468" s="1179"/>
      <c r="B468" s="1232" t="s">
        <v>851</v>
      </c>
      <c r="C468" s="1180"/>
      <c r="D468" s="409" t="s">
        <v>496</v>
      </c>
      <c r="E468" s="409" t="s">
        <v>495</v>
      </c>
      <c r="F468" s="1864" t="s">
        <v>856</v>
      </c>
      <c r="G468" s="1662"/>
      <c r="H468" s="2772">
        <f>H469</f>
        <v>0</v>
      </c>
      <c r="I468" s="2773">
        <f>I469+I473+I474</f>
        <v>585.81999999999994</v>
      </c>
      <c r="J468" s="2789">
        <f>J469+J473+J474</f>
        <v>610.88699999999994</v>
      </c>
      <c r="K468" s="2735"/>
      <c r="L468" s="2735"/>
      <c r="M468" s="2735"/>
      <c r="N468" s="2775">
        <f>N469</f>
        <v>0</v>
      </c>
      <c r="O468" s="2735"/>
      <c r="P468" s="2735"/>
      <c r="Q468" s="2735"/>
      <c r="R468" s="2735"/>
      <c r="S468" s="2735"/>
      <c r="T468" s="2735"/>
      <c r="U468" s="2772">
        <f>U469</f>
        <v>0</v>
      </c>
    </row>
    <row r="469" spans="1:21" hidden="1" x14ac:dyDescent="0.25">
      <c r="A469" s="1179"/>
      <c r="B469" s="1236" t="s">
        <v>497</v>
      </c>
      <c r="C469" s="1183"/>
      <c r="D469" s="409" t="s">
        <v>496</v>
      </c>
      <c r="E469" s="409" t="s">
        <v>495</v>
      </c>
      <c r="F469" s="1864" t="s">
        <v>856</v>
      </c>
      <c r="G469" s="1662" t="s">
        <v>77</v>
      </c>
      <c r="H469" s="2791"/>
      <c r="I469" s="2773">
        <v>31.3</v>
      </c>
      <c r="J469" s="2774">
        <v>34.43</v>
      </c>
      <c r="K469" s="2735"/>
      <c r="L469" s="2735"/>
      <c r="M469" s="2735"/>
      <c r="N469" s="2792">
        <v>0</v>
      </c>
      <c r="O469" s="2735"/>
      <c r="P469" s="2735"/>
      <c r="Q469" s="2735"/>
      <c r="R469" s="2735"/>
      <c r="S469" s="2735"/>
      <c r="T469" s="2735"/>
      <c r="U469" s="2791">
        <v>0</v>
      </c>
    </row>
    <row r="470" spans="1:21" ht="21" hidden="1" x14ac:dyDescent="0.25">
      <c r="A470" s="1179"/>
      <c r="B470" s="1203" t="s">
        <v>853</v>
      </c>
      <c r="C470" s="1183"/>
      <c r="D470" s="409" t="s">
        <v>496</v>
      </c>
      <c r="E470" s="409" t="s">
        <v>495</v>
      </c>
      <c r="F470" s="1864" t="s">
        <v>857</v>
      </c>
      <c r="G470" s="1662"/>
      <c r="H470" s="2791">
        <f>H471</f>
        <v>0</v>
      </c>
      <c r="I470" s="2773"/>
      <c r="J470" s="2774"/>
      <c r="K470" s="2735"/>
      <c r="L470" s="2735"/>
      <c r="M470" s="2735"/>
      <c r="N470" s="2792">
        <f>N471</f>
        <v>0</v>
      </c>
      <c r="O470" s="2735"/>
      <c r="P470" s="2735"/>
      <c r="Q470" s="2735"/>
      <c r="R470" s="2735"/>
      <c r="S470" s="2735"/>
      <c r="T470" s="2735"/>
      <c r="U470" s="2791">
        <f>U471</f>
        <v>0</v>
      </c>
    </row>
    <row r="471" spans="1:21" hidden="1" x14ac:dyDescent="0.25">
      <c r="A471" s="1179"/>
      <c r="B471" s="1203" t="s">
        <v>850</v>
      </c>
      <c r="C471" s="1183"/>
      <c r="D471" s="409" t="s">
        <v>496</v>
      </c>
      <c r="E471" s="409" t="s">
        <v>495</v>
      </c>
      <c r="F471" s="409" t="s">
        <v>858</v>
      </c>
      <c r="G471" s="1662"/>
      <c r="H471" s="2791">
        <f>H472</f>
        <v>0</v>
      </c>
      <c r="I471" s="2773"/>
      <c r="J471" s="2774"/>
      <c r="K471" s="2735"/>
      <c r="L471" s="2735"/>
      <c r="M471" s="2735"/>
      <c r="N471" s="2792">
        <f>N472</f>
        <v>0</v>
      </c>
      <c r="O471" s="2735"/>
      <c r="P471" s="2735"/>
      <c r="Q471" s="2735"/>
      <c r="R471" s="2735"/>
      <c r="S471" s="2735"/>
      <c r="T471" s="2735"/>
      <c r="U471" s="2791">
        <f>U472</f>
        <v>0</v>
      </c>
    </row>
    <row r="472" spans="1:21" ht="31.5" hidden="1" x14ac:dyDescent="0.25">
      <c r="A472" s="1179"/>
      <c r="B472" s="1203" t="s">
        <v>851</v>
      </c>
      <c r="C472" s="1183"/>
      <c r="D472" s="409" t="s">
        <v>496</v>
      </c>
      <c r="E472" s="409" t="s">
        <v>495</v>
      </c>
      <c r="F472" s="1864" t="s">
        <v>859</v>
      </c>
      <c r="G472" s="1662"/>
      <c r="H472" s="2791">
        <f>H473</f>
        <v>0</v>
      </c>
      <c r="I472" s="2773"/>
      <c r="J472" s="2774"/>
      <c r="K472" s="2735"/>
      <c r="L472" s="2735"/>
      <c r="M472" s="2735"/>
      <c r="N472" s="2792">
        <f>N473</f>
        <v>0</v>
      </c>
      <c r="O472" s="2735"/>
      <c r="P472" s="2735"/>
      <c r="Q472" s="2735"/>
      <c r="R472" s="2735"/>
      <c r="S472" s="2735"/>
      <c r="T472" s="2735"/>
      <c r="U472" s="2791">
        <f>U473</f>
        <v>0</v>
      </c>
    </row>
    <row r="473" spans="1:21" hidden="1" x14ac:dyDescent="0.25">
      <c r="A473" s="1179"/>
      <c r="B473" s="1236" t="s">
        <v>497</v>
      </c>
      <c r="C473" s="1183"/>
      <c r="D473" s="409" t="s">
        <v>496</v>
      </c>
      <c r="E473" s="409" t="s">
        <v>495</v>
      </c>
      <c r="F473" s="1864" t="s">
        <v>859</v>
      </c>
      <c r="G473" s="1662" t="s">
        <v>77</v>
      </c>
      <c r="H473" s="2791"/>
      <c r="I473" s="2773">
        <v>554.52</v>
      </c>
      <c r="J473" s="2774">
        <v>576.45699999999999</v>
      </c>
      <c r="K473" s="2735"/>
      <c r="L473" s="2735"/>
      <c r="M473" s="2735"/>
      <c r="N473" s="2792">
        <v>0</v>
      </c>
      <c r="O473" s="2735"/>
      <c r="P473" s="2735"/>
      <c r="Q473" s="2735"/>
      <c r="R473" s="2735"/>
      <c r="S473" s="2735"/>
      <c r="T473" s="2735"/>
      <c r="U473" s="2791">
        <v>0</v>
      </c>
    </row>
    <row r="474" spans="1:21" hidden="1" x14ac:dyDescent="0.25">
      <c r="A474" s="1179"/>
      <c r="B474" s="1182" t="s">
        <v>497</v>
      </c>
      <c r="C474" s="1183"/>
      <c r="D474" s="409" t="s">
        <v>496</v>
      </c>
      <c r="E474" s="409" t="s">
        <v>495</v>
      </c>
      <c r="F474" s="409" t="s">
        <v>43</v>
      </c>
      <c r="G474" s="1662" t="s">
        <v>77</v>
      </c>
      <c r="H474" s="2772"/>
      <c r="I474" s="2773"/>
      <c r="J474" s="2774"/>
      <c r="K474" s="2735"/>
      <c r="L474" s="2735"/>
      <c r="M474" s="2735"/>
      <c r="N474" s="2775"/>
      <c r="O474" s="2735"/>
      <c r="P474" s="2735"/>
      <c r="Q474" s="2735"/>
      <c r="R474" s="2735"/>
      <c r="S474" s="2735"/>
      <c r="T474" s="2735"/>
      <c r="U474" s="2772"/>
    </row>
    <row r="475" spans="1:21" x14ac:dyDescent="0.25">
      <c r="A475" s="1179"/>
      <c r="B475" s="1184" t="s">
        <v>331</v>
      </c>
      <c r="C475" s="1177"/>
      <c r="D475" s="408" t="s">
        <v>464</v>
      </c>
      <c r="E475" s="408" t="s">
        <v>459</v>
      </c>
      <c r="F475" s="408"/>
      <c r="G475" s="1661"/>
      <c r="H475" s="2776">
        <f>H476+H484</f>
        <v>700</v>
      </c>
      <c r="I475" s="2777">
        <f>I476+I484</f>
        <v>0</v>
      </c>
      <c r="J475" s="2810">
        <f>J476+J484</f>
        <v>0</v>
      </c>
      <c r="K475" s="2745">
        <v>600</v>
      </c>
      <c r="L475" s="2735"/>
      <c r="M475" s="2735"/>
      <c r="N475" s="2780">
        <f>N476+N484</f>
        <v>750</v>
      </c>
      <c r="O475" s="2735"/>
      <c r="P475" s="2735"/>
      <c r="Q475" s="2735"/>
      <c r="R475" s="2735"/>
      <c r="S475" s="2735"/>
      <c r="T475" s="2735"/>
      <c r="U475" s="2776">
        <f>U476+U484</f>
        <v>800</v>
      </c>
    </row>
    <row r="476" spans="1:21" hidden="1" x14ac:dyDescent="0.25">
      <c r="A476" s="1179"/>
      <c r="B476" s="1184" t="s">
        <v>494</v>
      </c>
      <c r="C476" s="1177"/>
      <c r="D476" s="408" t="s">
        <v>464</v>
      </c>
      <c r="E476" s="408" t="s">
        <v>488</v>
      </c>
      <c r="F476" s="408" t="s">
        <v>106</v>
      </c>
      <c r="G476" s="1661" t="s">
        <v>106</v>
      </c>
      <c r="H476" s="2776">
        <f t="shared" ref="H476:J479" si="107">H477</f>
        <v>0</v>
      </c>
      <c r="I476" s="2777">
        <f t="shared" si="107"/>
        <v>0</v>
      </c>
      <c r="J476" s="2810">
        <f t="shared" si="107"/>
        <v>0</v>
      </c>
      <c r="K476" s="2735"/>
      <c r="L476" s="2735"/>
      <c r="M476" s="2735"/>
      <c r="N476" s="2780">
        <f t="shared" ref="N476:N479" si="108">N477</f>
        <v>0</v>
      </c>
      <c r="O476" s="2735"/>
      <c r="P476" s="2735"/>
      <c r="Q476" s="2735"/>
      <c r="R476" s="2735"/>
      <c r="S476" s="2735"/>
      <c r="T476" s="2735"/>
      <c r="U476" s="2776">
        <f t="shared" ref="U476:U479" si="109">U477</f>
        <v>0</v>
      </c>
    </row>
    <row r="477" spans="1:21" ht="34.5" hidden="1" x14ac:dyDescent="0.25">
      <c r="A477" s="1179"/>
      <c r="B477" s="1184" t="s">
        <v>493</v>
      </c>
      <c r="C477" s="1177"/>
      <c r="D477" s="408" t="s">
        <v>464</v>
      </c>
      <c r="E477" s="408" t="s">
        <v>488</v>
      </c>
      <c r="F477" s="408" t="s">
        <v>311</v>
      </c>
      <c r="G477" s="1661"/>
      <c r="H477" s="2776">
        <f t="shared" si="107"/>
        <v>0</v>
      </c>
      <c r="I477" s="2777">
        <f t="shared" si="107"/>
        <v>0</v>
      </c>
      <c r="J477" s="2810">
        <f t="shared" si="107"/>
        <v>0</v>
      </c>
      <c r="K477" s="2735"/>
      <c r="L477" s="2735"/>
      <c r="M477" s="2735"/>
      <c r="N477" s="2780">
        <f t="shared" si="108"/>
        <v>0</v>
      </c>
      <c r="O477" s="2735"/>
      <c r="P477" s="2735"/>
      <c r="Q477" s="2735"/>
      <c r="R477" s="2735"/>
      <c r="S477" s="2735"/>
      <c r="T477" s="2735"/>
      <c r="U477" s="2776">
        <f t="shared" si="109"/>
        <v>0</v>
      </c>
    </row>
    <row r="478" spans="1:21" ht="34.5" hidden="1" x14ac:dyDescent="0.25">
      <c r="A478" s="1233"/>
      <c r="B478" s="1253" t="s">
        <v>492</v>
      </c>
      <c r="C478" s="1180"/>
      <c r="D478" s="409" t="s">
        <v>464</v>
      </c>
      <c r="E478" s="409" t="s">
        <v>488</v>
      </c>
      <c r="F478" s="409" t="s">
        <v>491</v>
      </c>
      <c r="G478" s="1662"/>
      <c r="H478" s="2772">
        <f t="shared" si="107"/>
        <v>0</v>
      </c>
      <c r="I478" s="2773">
        <f t="shared" si="107"/>
        <v>0</v>
      </c>
      <c r="J478" s="2789">
        <f t="shared" si="107"/>
        <v>0</v>
      </c>
      <c r="K478" s="2735"/>
      <c r="L478" s="2735"/>
      <c r="M478" s="2735"/>
      <c r="N478" s="2775">
        <f t="shared" si="108"/>
        <v>0</v>
      </c>
      <c r="O478" s="2735"/>
      <c r="P478" s="2735"/>
      <c r="Q478" s="2735"/>
      <c r="R478" s="2735"/>
      <c r="S478" s="2735"/>
      <c r="T478" s="2735"/>
      <c r="U478" s="2772">
        <f t="shared" si="109"/>
        <v>0</v>
      </c>
    </row>
    <row r="479" spans="1:21" hidden="1" x14ac:dyDescent="0.25">
      <c r="A479" s="1233"/>
      <c r="B479" s="1253" t="s">
        <v>490</v>
      </c>
      <c r="C479" s="1180"/>
      <c r="D479" s="409" t="s">
        <v>464</v>
      </c>
      <c r="E479" s="409" t="s">
        <v>488</v>
      </c>
      <c r="F479" s="409" t="s">
        <v>489</v>
      </c>
      <c r="G479" s="1662"/>
      <c r="H479" s="2772">
        <f t="shared" si="107"/>
        <v>0</v>
      </c>
      <c r="I479" s="2773">
        <f t="shared" si="107"/>
        <v>0</v>
      </c>
      <c r="J479" s="2789">
        <f t="shared" si="107"/>
        <v>0</v>
      </c>
      <c r="K479" s="2735"/>
      <c r="L479" s="2735"/>
      <c r="M479" s="2735"/>
      <c r="N479" s="2775">
        <f t="shared" si="108"/>
        <v>0</v>
      </c>
      <c r="O479" s="2735"/>
      <c r="P479" s="2735"/>
      <c r="Q479" s="2735"/>
      <c r="R479" s="2735"/>
      <c r="S479" s="2735"/>
      <c r="T479" s="2735"/>
      <c r="U479" s="2772">
        <f t="shared" si="109"/>
        <v>0</v>
      </c>
    </row>
    <row r="480" spans="1:21" hidden="1" x14ac:dyDescent="0.25">
      <c r="A480" s="1233"/>
      <c r="B480" s="1253" t="s">
        <v>351</v>
      </c>
      <c r="C480" s="1180"/>
      <c r="D480" s="409" t="s">
        <v>464</v>
      </c>
      <c r="E480" s="409" t="s">
        <v>488</v>
      </c>
      <c r="F480" s="409" t="s">
        <v>487</v>
      </c>
      <c r="G480" s="1662"/>
      <c r="H480" s="2772">
        <f>H481+H482+H483</f>
        <v>0</v>
      </c>
      <c r="I480" s="2773">
        <f>I481+I482+I483</f>
        <v>0</v>
      </c>
      <c r="J480" s="2789">
        <f>J481+J482+J483</f>
        <v>0</v>
      </c>
      <c r="K480" s="2735"/>
      <c r="L480" s="2735"/>
      <c r="M480" s="2735"/>
      <c r="N480" s="2775">
        <f>N481+N482+N483</f>
        <v>0</v>
      </c>
      <c r="O480" s="2735"/>
      <c r="P480" s="2735"/>
      <c r="Q480" s="2735"/>
      <c r="R480" s="2735"/>
      <c r="S480" s="2735"/>
      <c r="T480" s="2735"/>
      <c r="U480" s="2772">
        <f>U481+U482+U483</f>
        <v>0</v>
      </c>
    </row>
    <row r="481" spans="1:21" hidden="1" x14ac:dyDescent="0.25">
      <c r="A481" s="1179"/>
      <c r="B481" s="1254" t="s">
        <v>458</v>
      </c>
      <c r="C481" s="1183"/>
      <c r="D481" s="409" t="s">
        <v>464</v>
      </c>
      <c r="E481" s="409" t="s">
        <v>488</v>
      </c>
      <c r="F481" s="409" t="s">
        <v>487</v>
      </c>
      <c r="G481" s="1662" t="s">
        <v>255</v>
      </c>
      <c r="H481" s="2772"/>
      <c r="I481" s="2773"/>
      <c r="J481" s="2789"/>
      <c r="K481" s="2735"/>
      <c r="L481" s="2735"/>
      <c r="M481" s="2735"/>
      <c r="N481" s="2775"/>
      <c r="O481" s="2735"/>
      <c r="P481" s="2735"/>
      <c r="Q481" s="2735"/>
      <c r="R481" s="2735"/>
      <c r="S481" s="2735"/>
      <c r="T481" s="2735"/>
      <c r="U481" s="2772"/>
    </row>
    <row r="482" spans="1:21" ht="23" hidden="1" x14ac:dyDescent="0.25">
      <c r="A482" s="1179"/>
      <c r="B482" s="1254" t="s">
        <v>454</v>
      </c>
      <c r="C482" s="1183"/>
      <c r="D482" s="409" t="s">
        <v>464</v>
      </c>
      <c r="E482" s="409" t="s">
        <v>488</v>
      </c>
      <c r="F482" s="409" t="s">
        <v>487</v>
      </c>
      <c r="G482" s="1662" t="s">
        <v>1</v>
      </c>
      <c r="H482" s="2772"/>
      <c r="I482" s="2773"/>
      <c r="J482" s="2789"/>
      <c r="K482" s="2735"/>
      <c r="L482" s="2735"/>
      <c r="M482" s="2735"/>
      <c r="N482" s="2775"/>
      <c r="O482" s="2735"/>
      <c r="P482" s="2735"/>
      <c r="Q482" s="2735"/>
      <c r="R482" s="2735"/>
      <c r="S482" s="2735"/>
      <c r="T482" s="2735"/>
      <c r="U482" s="2772"/>
    </row>
    <row r="483" spans="1:21" hidden="1" x14ac:dyDescent="0.25">
      <c r="A483" s="1179"/>
      <c r="B483" s="1254" t="s">
        <v>457</v>
      </c>
      <c r="C483" s="1183"/>
      <c r="D483" s="409" t="s">
        <v>464</v>
      </c>
      <c r="E483" s="409" t="s">
        <v>488</v>
      </c>
      <c r="F483" s="409" t="s">
        <v>487</v>
      </c>
      <c r="G483" s="1662" t="s">
        <v>91</v>
      </c>
      <c r="H483" s="2772"/>
      <c r="I483" s="2773"/>
      <c r="J483" s="2789"/>
      <c r="K483" s="2735"/>
      <c r="L483" s="2735"/>
      <c r="M483" s="2735"/>
      <c r="N483" s="2775"/>
      <c r="O483" s="2735"/>
      <c r="P483" s="2735"/>
      <c r="Q483" s="2735"/>
      <c r="R483" s="2735"/>
      <c r="S483" s="2735"/>
      <c r="T483" s="2735"/>
      <c r="U483" s="2772"/>
    </row>
    <row r="484" spans="1:21" x14ac:dyDescent="0.25">
      <c r="A484" s="1179"/>
      <c r="B484" s="1184" t="s">
        <v>64</v>
      </c>
      <c r="C484" s="1177"/>
      <c r="D484" s="408" t="s">
        <v>464</v>
      </c>
      <c r="E484" s="408" t="s">
        <v>463</v>
      </c>
      <c r="F484" s="408" t="s">
        <v>106</v>
      </c>
      <c r="G484" s="1661" t="s">
        <v>106</v>
      </c>
      <c r="H484" s="2776">
        <f>H485+H512</f>
        <v>700</v>
      </c>
      <c r="I484" s="2777">
        <f>I485+I512</f>
        <v>0</v>
      </c>
      <c r="J484" s="2810">
        <f>J485+J512</f>
        <v>0</v>
      </c>
      <c r="K484" s="2735"/>
      <c r="L484" s="2735"/>
      <c r="M484" s="2735"/>
      <c r="N484" s="2780">
        <f>N485+N512</f>
        <v>750</v>
      </c>
      <c r="O484" s="2735"/>
      <c r="P484" s="2735"/>
      <c r="Q484" s="2735"/>
      <c r="R484" s="2735"/>
      <c r="S484" s="2735"/>
      <c r="T484" s="2735"/>
      <c r="U484" s="2776">
        <f>U485+U512</f>
        <v>800</v>
      </c>
    </row>
    <row r="485" spans="1:21" ht="30" customHeight="1" x14ac:dyDescent="0.25">
      <c r="A485" s="1179"/>
      <c r="B485" s="1205" t="s">
        <v>906</v>
      </c>
      <c r="C485" s="1177"/>
      <c r="D485" s="409" t="s">
        <v>464</v>
      </c>
      <c r="E485" s="409" t="s">
        <v>463</v>
      </c>
      <c r="F485" s="409" t="s">
        <v>311</v>
      </c>
      <c r="G485" s="1661"/>
      <c r="H485" s="2776">
        <f>H486+H495</f>
        <v>700</v>
      </c>
      <c r="I485" s="2777">
        <f>I486+I495</f>
        <v>0</v>
      </c>
      <c r="J485" s="2810">
        <f>J486+J495</f>
        <v>0</v>
      </c>
      <c r="K485" s="2735"/>
      <c r="L485" s="2735"/>
      <c r="M485" s="2735"/>
      <c r="N485" s="2780">
        <f>N486+N495</f>
        <v>750</v>
      </c>
      <c r="O485" s="2735"/>
      <c r="P485" s="2735"/>
      <c r="Q485" s="2735"/>
      <c r="R485" s="2735"/>
      <c r="S485" s="2735"/>
      <c r="T485" s="2735"/>
      <c r="U485" s="2776">
        <f>U486+U495</f>
        <v>800</v>
      </c>
    </row>
    <row r="486" spans="1:21" ht="21" hidden="1" x14ac:dyDescent="0.25">
      <c r="A486" s="1179"/>
      <c r="B486" s="753" t="s">
        <v>486</v>
      </c>
      <c r="C486" s="1180"/>
      <c r="D486" s="409" t="s">
        <v>464</v>
      </c>
      <c r="E486" s="409" t="s">
        <v>463</v>
      </c>
      <c r="F486" s="409" t="s">
        <v>485</v>
      </c>
      <c r="G486" s="1661"/>
      <c r="H486" s="2772">
        <f>H487+H490</f>
        <v>0</v>
      </c>
      <c r="I486" s="2773">
        <f>I487+I490</f>
        <v>0</v>
      </c>
      <c r="J486" s="2789">
        <f>J487+J490</f>
        <v>0</v>
      </c>
      <c r="K486" s="2735"/>
      <c r="L486" s="2735"/>
      <c r="M486" s="2735"/>
      <c r="N486" s="2775">
        <f>N487+N490</f>
        <v>0</v>
      </c>
      <c r="O486" s="2735"/>
      <c r="P486" s="2735"/>
      <c r="Q486" s="2735"/>
      <c r="R486" s="2735"/>
      <c r="S486" s="2735"/>
      <c r="T486" s="2735"/>
      <c r="U486" s="2772">
        <f>U487+U490</f>
        <v>0</v>
      </c>
    </row>
    <row r="487" spans="1:21" ht="21" hidden="1" x14ac:dyDescent="0.25">
      <c r="A487" s="1179"/>
      <c r="B487" s="753" t="s">
        <v>484</v>
      </c>
      <c r="C487" s="1180"/>
      <c r="D487" s="409" t="s">
        <v>464</v>
      </c>
      <c r="E487" s="409" t="s">
        <v>463</v>
      </c>
      <c r="F487" s="409" t="s">
        <v>483</v>
      </c>
      <c r="G487" s="1661"/>
      <c r="H487" s="2772">
        <f t="shared" ref="H487:J488" si="110">H488</f>
        <v>0</v>
      </c>
      <c r="I487" s="2773">
        <f t="shared" si="110"/>
        <v>0</v>
      </c>
      <c r="J487" s="2789">
        <f t="shared" si="110"/>
        <v>0</v>
      </c>
      <c r="K487" s="2735"/>
      <c r="L487" s="2735"/>
      <c r="M487" s="2735"/>
      <c r="N487" s="2775">
        <f t="shared" ref="N487:N488" si="111">N488</f>
        <v>0</v>
      </c>
      <c r="O487" s="2735"/>
      <c r="P487" s="2735"/>
      <c r="Q487" s="2735"/>
      <c r="R487" s="2735"/>
      <c r="S487" s="2735"/>
      <c r="T487" s="2735"/>
      <c r="U487" s="2772">
        <f t="shared" ref="U487:U488" si="112">U488</f>
        <v>0</v>
      </c>
    </row>
    <row r="488" spans="1:21" ht="21" hidden="1" x14ac:dyDescent="0.25">
      <c r="A488" s="1179"/>
      <c r="B488" s="753" t="s">
        <v>482</v>
      </c>
      <c r="C488" s="1180"/>
      <c r="D488" s="409" t="s">
        <v>464</v>
      </c>
      <c r="E488" s="409" t="s">
        <v>463</v>
      </c>
      <c r="F488" s="409" t="s">
        <v>480</v>
      </c>
      <c r="G488" s="1662"/>
      <c r="H488" s="2772">
        <f t="shared" si="110"/>
        <v>0</v>
      </c>
      <c r="I488" s="2773">
        <f t="shared" si="110"/>
        <v>0</v>
      </c>
      <c r="J488" s="2789">
        <f t="shared" si="110"/>
        <v>0</v>
      </c>
      <c r="K488" s="2735"/>
      <c r="L488" s="2735"/>
      <c r="M488" s="2735"/>
      <c r="N488" s="2775">
        <f t="shared" si="111"/>
        <v>0</v>
      </c>
      <c r="O488" s="2735"/>
      <c r="P488" s="2735"/>
      <c r="Q488" s="2735"/>
      <c r="R488" s="2735"/>
      <c r="S488" s="2735"/>
      <c r="T488" s="2735"/>
      <c r="U488" s="2772">
        <f t="shared" si="112"/>
        <v>0</v>
      </c>
    </row>
    <row r="489" spans="1:21" hidden="1" x14ac:dyDescent="0.25">
      <c r="A489" s="1179"/>
      <c r="B489" s="1182" t="s">
        <v>481</v>
      </c>
      <c r="C489" s="1183"/>
      <c r="D489" s="409" t="s">
        <v>464</v>
      </c>
      <c r="E489" s="409" t="s">
        <v>463</v>
      </c>
      <c r="F489" s="409" t="s">
        <v>480</v>
      </c>
      <c r="G489" s="1662" t="s">
        <v>26</v>
      </c>
      <c r="H489" s="2772">
        <v>0</v>
      </c>
      <c r="I489" s="2773">
        <v>0</v>
      </c>
      <c r="J489" s="2789">
        <v>0</v>
      </c>
      <c r="K489" s="2735"/>
      <c r="L489" s="2735"/>
      <c r="M489" s="2735"/>
      <c r="N489" s="2775">
        <v>0</v>
      </c>
      <c r="O489" s="2735"/>
      <c r="P489" s="2735"/>
      <c r="Q489" s="2735"/>
      <c r="R489" s="2735"/>
      <c r="S489" s="2735"/>
      <c r="T489" s="2735"/>
      <c r="U489" s="2772">
        <v>0</v>
      </c>
    </row>
    <row r="490" spans="1:21" hidden="1" x14ac:dyDescent="0.25">
      <c r="A490" s="1179"/>
      <c r="B490" s="753" t="s">
        <v>479</v>
      </c>
      <c r="C490" s="1180"/>
      <c r="D490" s="409" t="s">
        <v>464</v>
      </c>
      <c r="E490" s="409" t="s">
        <v>463</v>
      </c>
      <c r="F490" s="409" t="s">
        <v>478</v>
      </c>
      <c r="G490" s="1661"/>
      <c r="H490" s="2772">
        <f>H491+H493</f>
        <v>0</v>
      </c>
      <c r="I490" s="2773">
        <f>I491+I493</f>
        <v>0</v>
      </c>
      <c r="J490" s="2789">
        <f>J491+J493</f>
        <v>0</v>
      </c>
      <c r="K490" s="2735"/>
      <c r="L490" s="2735"/>
      <c r="M490" s="2735"/>
      <c r="N490" s="2775">
        <f>N491+N493</f>
        <v>0</v>
      </c>
      <c r="O490" s="2735"/>
      <c r="P490" s="2735"/>
      <c r="Q490" s="2735"/>
      <c r="R490" s="2735"/>
      <c r="S490" s="2735"/>
      <c r="T490" s="2735"/>
      <c r="U490" s="2772">
        <f>U491+U493</f>
        <v>0</v>
      </c>
    </row>
    <row r="491" spans="1:21" hidden="1" x14ac:dyDescent="0.25">
      <c r="A491" s="1179"/>
      <c r="B491" s="753" t="s">
        <v>477</v>
      </c>
      <c r="C491" s="1180"/>
      <c r="D491" s="409" t="s">
        <v>464</v>
      </c>
      <c r="E491" s="409" t="s">
        <v>463</v>
      </c>
      <c r="F491" s="409" t="s">
        <v>476</v>
      </c>
      <c r="G491" s="1662"/>
      <c r="H491" s="2772">
        <f>H492</f>
        <v>0</v>
      </c>
      <c r="I491" s="2773">
        <f>I492</f>
        <v>0</v>
      </c>
      <c r="J491" s="2789">
        <f>J492</f>
        <v>0</v>
      </c>
      <c r="K491" s="2735"/>
      <c r="L491" s="2735"/>
      <c r="M491" s="2735"/>
      <c r="N491" s="2775">
        <f>N492</f>
        <v>0</v>
      </c>
      <c r="O491" s="2735"/>
      <c r="P491" s="2735"/>
      <c r="Q491" s="2735"/>
      <c r="R491" s="2735"/>
      <c r="S491" s="2735"/>
      <c r="T491" s="2735"/>
      <c r="U491" s="2772">
        <f>U492</f>
        <v>0</v>
      </c>
    </row>
    <row r="492" spans="1:21" ht="21" hidden="1" x14ac:dyDescent="0.25">
      <c r="A492" s="1179"/>
      <c r="B492" s="1182" t="s">
        <v>454</v>
      </c>
      <c r="C492" s="1183"/>
      <c r="D492" s="409" t="s">
        <v>464</v>
      </c>
      <c r="E492" s="409" t="s">
        <v>463</v>
      </c>
      <c r="F492" s="409" t="s">
        <v>476</v>
      </c>
      <c r="G492" s="1662" t="s">
        <v>1</v>
      </c>
      <c r="H492" s="2772"/>
      <c r="I492" s="2773"/>
      <c r="J492" s="2789"/>
      <c r="K492" s="2735"/>
      <c r="L492" s="2735"/>
      <c r="M492" s="2735"/>
      <c r="N492" s="2775"/>
      <c r="O492" s="2735"/>
      <c r="P492" s="2735"/>
      <c r="Q492" s="2735"/>
      <c r="R492" s="2735"/>
      <c r="S492" s="2735"/>
      <c r="T492" s="2735"/>
      <c r="U492" s="2772"/>
    </row>
    <row r="493" spans="1:21" hidden="1" x14ac:dyDescent="0.25">
      <c r="A493" s="1179"/>
      <c r="B493" s="753" t="s">
        <v>475</v>
      </c>
      <c r="C493" s="1180"/>
      <c r="D493" s="409" t="s">
        <v>464</v>
      </c>
      <c r="E493" s="409" t="s">
        <v>463</v>
      </c>
      <c r="F493" s="409" t="s">
        <v>474</v>
      </c>
      <c r="G493" s="1662"/>
      <c r="H493" s="2772">
        <f>H494</f>
        <v>0</v>
      </c>
      <c r="I493" s="2773">
        <f>I494</f>
        <v>0</v>
      </c>
      <c r="J493" s="2789">
        <f>J494</f>
        <v>0</v>
      </c>
      <c r="K493" s="2735"/>
      <c r="L493" s="2735"/>
      <c r="M493" s="2735"/>
      <c r="N493" s="2775">
        <f>N494</f>
        <v>0</v>
      </c>
      <c r="O493" s="2735"/>
      <c r="P493" s="2735"/>
      <c r="Q493" s="2735"/>
      <c r="R493" s="2735"/>
      <c r="S493" s="2735"/>
      <c r="T493" s="2735"/>
      <c r="U493" s="2772">
        <f>U494</f>
        <v>0</v>
      </c>
    </row>
    <row r="494" spans="1:21" ht="21" hidden="1" x14ac:dyDescent="0.25">
      <c r="A494" s="1179"/>
      <c r="B494" s="1182" t="s">
        <v>454</v>
      </c>
      <c r="C494" s="1183"/>
      <c r="D494" s="409" t="s">
        <v>464</v>
      </c>
      <c r="E494" s="409" t="s">
        <v>463</v>
      </c>
      <c r="F494" s="409" t="s">
        <v>474</v>
      </c>
      <c r="G494" s="1662" t="s">
        <v>1</v>
      </c>
      <c r="H494" s="2772">
        <v>0</v>
      </c>
      <c r="I494" s="2773">
        <v>0</v>
      </c>
      <c r="J494" s="2789">
        <v>0</v>
      </c>
      <c r="K494" s="2735"/>
      <c r="L494" s="2735"/>
      <c r="M494" s="2735"/>
      <c r="N494" s="2775">
        <v>0</v>
      </c>
      <c r="O494" s="2735"/>
      <c r="P494" s="2735"/>
      <c r="Q494" s="2735"/>
      <c r="R494" s="2735"/>
      <c r="S494" s="2735"/>
      <c r="T494" s="2735"/>
      <c r="U494" s="2772">
        <v>0</v>
      </c>
    </row>
    <row r="495" spans="1:21" ht="30" customHeight="1" x14ac:dyDescent="0.25">
      <c r="A495" s="1179"/>
      <c r="B495" s="1205" t="s">
        <v>300</v>
      </c>
      <c r="C495" s="1180"/>
      <c r="D495" s="409" t="s">
        <v>464</v>
      </c>
      <c r="E495" s="409" t="s">
        <v>463</v>
      </c>
      <c r="F495" s="409" t="s">
        <v>299</v>
      </c>
      <c r="G495" s="1662"/>
      <c r="H495" s="2772">
        <f>H496+H503</f>
        <v>700</v>
      </c>
      <c r="I495" s="2773">
        <f>I496+I508</f>
        <v>0</v>
      </c>
      <c r="J495" s="2789">
        <f>J496+J508</f>
        <v>0</v>
      </c>
      <c r="K495" s="2735"/>
      <c r="L495" s="2735"/>
      <c r="M495" s="2735"/>
      <c r="N495" s="2775">
        <f>N496+N503</f>
        <v>750</v>
      </c>
      <c r="O495" s="2735"/>
      <c r="P495" s="2735"/>
      <c r="Q495" s="2735"/>
      <c r="R495" s="2735"/>
      <c r="S495" s="2735"/>
      <c r="T495" s="2735"/>
      <c r="U495" s="2772">
        <f>U496+U503</f>
        <v>800</v>
      </c>
    </row>
    <row r="496" spans="1:21" ht="21" x14ac:dyDescent="0.25">
      <c r="A496" s="1179"/>
      <c r="B496" s="1203" t="s">
        <v>298</v>
      </c>
      <c r="C496" s="1180"/>
      <c r="D496" s="409" t="s">
        <v>464</v>
      </c>
      <c r="E496" s="409" t="s">
        <v>463</v>
      </c>
      <c r="F496" s="409" t="s">
        <v>297</v>
      </c>
      <c r="G496" s="1662"/>
      <c r="H496" s="2772">
        <f t="shared" ref="H496:J496" si="113">H497</f>
        <v>700</v>
      </c>
      <c r="I496" s="2773">
        <f t="shared" si="113"/>
        <v>0</v>
      </c>
      <c r="J496" s="2789">
        <f t="shared" si="113"/>
        <v>0</v>
      </c>
      <c r="K496" s="2735"/>
      <c r="L496" s="2735"/>
      <c r="M496" s="2735"/>
      <c r="N496" s="2775">
        <f t="shared" ref="N496" si="114">N497</f>
        <v>750</v>
      </c>
      <c r="O496" s="2735"/>
      <c r="P496" s="2735"/>
      <c r="Q496" s="2735"/>
      <c r="R496" s="2735"/>
      <c r="S496" s="2735"/>
      <c r="T496" s="2735"/>
      <c r="U496" s="2772">
        <f t="shared" ref="U496" si="115">U497</f>
        <v>800</v>
      </c>
    </row>
    <row r="497" spans="1:21" ht="21" customHeight="1" x14ac:dyDescent="0.25">
      <c r="A497" s="1233"/>
      <c r="B497" s="1205" t="s">
        <v>296</v>
      </c>
      <c r="C497" s="1180"/>
      <c r="D497" s="409" t="s">
        <v>464</v>
      </c>
      <c r="E497" s="409" t="s">
        <v>463</v>
      </c>
      <c r="F497" s="409" t="s">
        <v>294</v>
      </c>
      <c r="G497" s="1662"/>
      <c r="H497" s="2772">
        <f>H499</f>
        <v>700</v>
      </c>
      <c r="I497" s="2773">
        <f>I499</f>
        <v>0</v>
      </c>
      <c r="J497" s="2789">
        <f>J499</f>
        <v>0</v>
      </c>
      <c r="K497" s="2735"/>
      <c r="L497" s="2735"/>
      <c r="M497" s="2735"/>
      <c r="N497" s="2775">
        <f>N499</f>
        <v>750</v>
      </c>
      <c r="O497" s="2735"/>
      <c r="P497" s="2735"/>
      <c r="Q497" s="2735"/>
      <c r="R497" s="2735"/>
      <c r="S497" s="2735"/>
      <c r="T497" s="2735"/>
      <c r="U497" s="2772">
        <f>U499</f>
        <v>800</v>
      </c>
    </row>
    <row r="498" spans="1:21" x14ac:dyDescent="0.25">
      <c r="A498" s="1233"/>
      <c r="B498" s="753" t="s">
        <v>948</v>
      </c>
      <c r="C498" s="1180"/>
      <c r="D498" s="409" t="s">
        <v>464</v>
      </c>
      <c r="E498" s="409" t="s">
        <v>463</v>
      </c>
      <c r="F498" s="409" t="s">
        <v>294</v>
      </c>
      <c r="G498" s="1662" t="s">
        <v>955</v>
      </c>
      <c r="H498" s="2772">
        <f t="shared" ref="H498:U498" si="116">H499</f>
        <v>700</v>
      </c>
      <c r="I498" s="2773">
        <f t="shared" si="116"/>
        <v>0</v>
      </c>
      <c r="J498" s="2790">
        <f t="shared" si="116"/>
        <v>0</v>
      </c>
      <c r="K498" s="2735">
        <f t="shared" si="116"/>
        <v>0</v>
      </c>
      <c r="L498" s="2735">
        <f t="shared" si="116"/>
        <v>0</v>
      </c>
      <c r="M498" s="2735">
        <f t="shared" si="116"/>
        <v>0</v>
      </c>
      <c r="N498" s="2775">
        <f t="shared" si="116"/>
        <v>750</v>
      </c>
      <c r="O498" s="2735">
        <f t="shared" si="116"/>
        <v>0</v>
      </c>
      <c r="P498" s="2735">
        <f t="shared" si="116"/>
        <v>0</v>
      </c>
      <c r="Q498" s="2735">
        <f t="shared" si="116"/>
        <v>0</v>
      </c>
      <c r="R498" s="2735">
        <f t="shared" si="116"/>
        <v>0</v>
      </c>
      <c r="S498" s="2735">
        <f t="shared" si="116"/>
        <v>0</v>
      </c>
      <c r="T498" s="2735">
        <f t="shared" si="116"/>
        <v>0</v>
      </c>
      <c r="U498" s="2772">
        <f t="shared" si="116"/>
        <v>800</v>
      </c>
    </row>
    <row r="499" spans="1:21" ht="21" x14ac:dyDescent="0.25">
      <c r="A499" s="1233"/>
      <c r="B499" s="1182" t="s">
        <v>454</v>
      </c>
      <c r="C499" s="1183"/>
      <c r="D499" s="409" t="s">
        <v>464</v>
      </c>
      <c r="E499" s="409" t="s">
        <v>463</v>
      </c>
      <c r="F499" s="409" t="s">
        <v>294</v>
      </c>
      <c r="G499" s="1662" t="s">
        <v>1</v>
      </c>
      <c r="H499" s="2772">
        <v>700</v>
      </c>
      <c r="I499" s="2773"/>
      <c r="J499" s="2774"/>
      <c r="K499" s="2735"/>
      <c r="L499" s="2735"/>
      <c r="M499" s="2735"/>
      <c r="N499" s="2775">
        <v>750</v>
      </c>
      <c r="O499" s="2735"/>
      <c r="P499" s="2735"/>
      <c r="Q499" s="2735"/>
      <c r="R499" s="2735"/>
      <c r="S499" s="2735"/>
      <c r="T499" s="2735"/>
      <c r="U499" s="2772">
        <v>800</v>
      </c>
    </row>
    <row r="500" spans="1:21" ht="21" hidden="1" x14ac:dyDescent="0.25">
      <c r="A500" s="1233"/>
      <c r="B500" s="1393" t="s">
        <v>1057</v>
      </c>
      <c r="C500" s="1183"/>
      <c r="D500" s="409" t="s">
        <v>464</v>
      </c>
      <c r="E500" s="409" t="s">
        <v>463</v>
      </c>
      <c r="F500" s="409" t="s">
        <v>472</v>
      </c>
      <c r="G500" s="1662"/>
      <c r="H500" s="2772">
        <f>H501</f>
        <v>0</v>
      </c>
      <c r="I500" s="2773"/>
      <c r="J500" s="2774"/>
      <c r="K500" s="2735"/>
      <c r="L500" s="2735"/>
      <c r="M500" s="2735"/>
      <c r="N500" s="2775">
        <f>N501</f>
        <v>0</v>
      </c>
      <c r="O500" s="2735"/>
      <c r="P500" s="2735"/>
      <c r="Q500" s="2735"/>
      <c r="R500" s="2735"/>
      <c r="S500" s="2735"/>
      <c r="T500" s="2735"/>
      <c r="U500" s="2772">
        <f>U501</f>
        <v>0</v>
      </c>
    </row>
    <row r="501" spans="1:21" hidden="1" x14ac:dyDescent="0.25">
      <c r="A501" s="1233"/>
      <c r="B501" s="1393" t="s">
        <v>1058</v>
      </c>
      <c r="C501" s="1183"/>
      <c r="D501" s="409" t="s">
        <v>464</v>
      </c>
      <c r="E501" s="409" t="s">
        <v>463</v>
      </c>
      <c r="F501" s="409" t="s">
        <v>1056</v>
      </c>
      <c r="G501" s="1662"/>
      <c r="H501" s="2772">
        <f>H503</f>
        <v>0</v>
      </c>
      <c r="I501" s="2773"/>
      <c r="J501" s="2774"/>
      <c r="K501" s="2735"/>
      <c r="L501" s="2735"/>
      <c r="M501" s="2735"/>
      <c r="N501" s="2775">
        <f>N503</f>
        <v>0</v>
      </c>
      <c r="O501" s="2735"/>
      <c r="P501" s="2735"/>
      <c r="Q501" s="2735"/>
      <c r="R501" s="2735"/>
      <c r="S501" s="2735"/>
      <c r="T501" s="2735"/>
      <c r="U501" s="2772">
        <f>U503</f>
        <v>0</v>
      </c>
    </row>
    <row r="502" spans="1:21" hidden="1" x14ac:dyDescent="0.25">
      <c r="A502" s="1233"/>
      <c r="B502" s="1393" t="s">
        <v>1061</v>
      </c>
      <c r="C502" s="1183"/>
      <c r="D502" s="409" t="s">
        <v>464</v>
      </c>
      <c r="E502" s="409" t="s">
        <v>463</v>
      </c>
      <c r="F502" s="409" t="s">
        <v>1056</v>
      </c>
      <c r="G502" s="1662" t="s">
        <v>1060</v>
      </c>
      <c r="H502" s="2772">
        <f t="shared" ref="H502:U502" si="117">H503</f>
        <v>0</v>
      </c>
      <c r="I502" s="2773">
        <f t="shared" si="117"/>
        <v>0</v>
      </c>
      <c r="J502" s="2774">
        <f t="shared" si="117"/>
        <v>0</v>
      </c>
      <c r="K502" s="2735">
        <f t="shared" si="117"/>
        <v>0</v>
      </c>
      <c r="L502" s="2735">
        <f t="shared" si="117"/>
        <v>0</v>
      </c>
      <c r="M502" s="2735">
        <f t="shared" si="117"/>
        <v>0</v>
      </c>
      <c r="N502" s="2775">
        <f t="shared" si="117"/>
        <v>0</v>
      </c>
      <c r="O502" s="2735">
        <f t="shared" si="117"/>
        <v>0</v>
      </c>
      <c r="P502" s="2735">
        <f t="shared" si="117"/>
        <v>0</v>
      </c>
      <c r="Q502" s="2735">
        <f t="shared" si="117"/>
        <v>0</v>
      </c>
      <c r="R502" s="2735">
        <f t="shared" si="117"/>
        <v>0</v>
      </c>
      <c r="S502" s="2735">
        <f t="shared" si="117"/>
        <v>0</v>
      </c>
      <c r="T502" s="2735">
        <f t="shared" si="117"/>
        <v>0</v>
      </c>
      <c r="U502" s="2772">
        <f t="shared" si="117"/>
        <v>0</v>
      </c>
    </row>
    <row r="503" spans="1:21" hidden="1" x14ac:dyDescent="0.25">
      <c r="A503" s="1233"/>
      <c r="B503" s="1408" t="s">
        <v>28</v>
      </c>
      <c r="C503" s="1183"/>
      <c r="D503" s="409" t="s">
        <v>464</v>
      </c>
      <c r="E503" s="409" t="s">
        <v>463</v>
      </c>
      <c r="F503" s="409" t="s">
        <v>1056</v>
      </c>
      <c r="G503" s="1662" t="s">
        <v>26</v>
      </c>
      <c r="H503" s="2772">
        <f>1000-295-705</f>
        <v>0</v>
      </c>
      <c r="I503" s="2773"/>
      <c r="J503" s="2774"/>
      <c r="K503" s="2735"/>
      <c r="L503" s="2735"/>
      <c r="M503" s="2735"/>
      <c r="N503" s="2775">
        <f>1000-307-693</f>
        <v>0</v>
      </c>
      <c r="O503" s="2735"/>
      <c r="P503" s="2735"/>
      <c r="Q503" s="2735"/>
      <c r="R503" s="2735"/>
      <c r="S503" s="2735"/>
      <c r="T503" s="2735"/>
      <c r="U503" s="2772">
        <f>1000-320-680</f>
        <v>0</v>
      </c>
    </row>
    <row r="504" spans="1:21" hidden="1" x14ac:dyDescent="0.25">
      <c r="A504" s="1233"/>
      <c r="B504" s="1393" t="s">
        <v>64</v>
      </c>
      <c r="C504" s="1183"/>
      <c r="D504" s="409" t="s">
        <v>464</v>
      </c>
      <c r="E504" s="409" t="s">
        <v>463</v>
      </c>
      <c r="F504" s="409" t="s">
        <v>1056</v>
      </c>
      <c r="G504" s="1662"/>
      <c r="H504" s="2772"/>
      <c r="I504" s="2773"/>
      <c r="J504" s="2774"/>
      <c r="K504" s="2735"/>
      <c r="L504" s="2735"/>
      <c r="M504" s="2735"/>
      <c r="N504" s="2775"/>
      <c r="O504" s="2735"/>
      <c r="P504" s="2735"/>
      <c r="Q504" s="2735"/>
      <c r="R504" s="2735"/>
      <c r="S504" s="2735"/>
      <c r="T504" s="2735"/>
      <c r="U504" s="2772"/>
    </row>
    <row r="505" spans="1:21" x14ac:dyDescent="0.25">
      <c r="A505" s="1233"/>
      <c r="B505" s="1255" t="s">
        <v>934</v>
      </c>
      <c r="C505" s="1183"/>
      <c r="D505" s="408" t="s">
        <v>534</v>
      </c>
      <c r="E505" s="409"/>
      <c r="F505" s="409"/>
      <c r="G505" s="1662"/>
      <c r="H505" s="2776">
        <f>H506</f>
        <v>900</v>
      </c>
      <c r="I505" s="2773"/>
      <c r="J505" s="2774"/>
      <c r="K505" s="2745">
        <v>1200</v>
      </c>
      <c r="L505" s="2735"/>
      <c r="M505" s="2735"/>
      <c r="N505" s="2780">
        <f>N506</f>
        <v>963</v>
      </c>
      <c r="O505" s="2735"/>
      <c r="P505" s="2735"/>
      <c r="Q505" s="2735"/>
      <c r="R505" s="2735"/>
      <c r="S505" s="2735"/>
      <c r="T505" s="2735"/>
      <c r="U505" s="2776">
        <f>U506</f>
        <v>1030.4100000000001</v>
      </c>
    </row>
    <row r="506" spans="1:21" x14ac:dyDescent="0.25">
      <c r="A506" s="1233"/>
      <c r="B506" s="752" t="s">
        <v>920</v>
      </c>
      <c r="C506" s="1183"/>
      <c r="D506" s="408" t="s">
        <v>534</v>
      </c>
      <c r="E506" s="408" t="s">
        <v>488</v>
      </c>
      <c r="F506" s="408"/>
      <c r="G506" s="1662"/>
      <c r="H506" s="2776">
        <f>H507</f>
        <v>900</v>
      </c>
      <c r="I506" s="2773"/>
      <c r="J506" s="2774"/>
      <c r="K506" s="2735"/>
      <c r="L506" s="2735"/>
      <c r="M506" s="2735"/>
      <c r="N506" s="2780">
        <f>N507</f>
        <v>963</v>
      </c>
      <c r="O506" s="2735"/>
      <c r="P506" s="2735"/>
      <c r="Q506" s="2735"/>
      <c r="R506" s="2735"/>
      <c r="S506" s="2735"/>
      <c r="T506" s="2735"/>
      <c r="U506" s="2776">
        <f>U507</f>
        <v>1030.4100000000001</v>
      </c>
    </row>
    <row r="507" spans="1:21" x14ac:dyDescent="0.25">
      <c r="A507" s="305"/>
      <c r="B507" s="753" t="s">
        <v>109</v>
      </c>
      <c r="C507" s="1183"/>
      <c r="D507" s="409" t="s">
        <v>534</v>
      </c>
      <c r="E507" s="409" t="s">
        <v>488</v>
      </c>
      <c r="F507" s="409" t="s">
        <v>84</v>
      </c>
      <c r="G507" s="1662"/>
      <c r="H507" s="2772">
        <f>H508</f>
        <v>900</v>
      </c>
      <c r="I507" s="2773"/>
      <c r="J507" s="2774"/>
      <c r="K507" s="2735"/>
      <c r="L507" s="2735"/>
      <c r="M507" s="2735"/>
      <c r="N507" s="2775">
        <f>N508</f>
        <v>963</v>
      </c>
      <c r="O507" s="2735"/>
      <c r="P507" s="2735"/>
      <c r="Q507" s="2735"/>
      <c r="R507" s="2735"/>
      <c r="S507" s="2735"/>
      <c r="T507" s="2735"/>
      <c r="U507" s="2772">
        <f>U508</f>
        <v>1030.4100000000001</v>
      </c>
    </row>
    <row r="508" spans="1:21" x14ac:dyDescent="0.25">
      <c r="A508" s="273"/>
      <c r="B508" s="753" t="s">
        <v>109</v>
      </c>
      <c r="C508" s="1180"/>
      <c r="D508" s="409" t="s">
        <v>534</v>
      </c>
      <c r="E508" s="409" t="s">
        <v>488</v>
      </c>
      <c r="F508" s="409" t="s">
        <v>82</v>
      </c>
      <c r="G508" s="1662"/>
      <c r="H508" s="2772">
        <f>H509</f>
        <v>900</v>
      </c>
      <c r="I508" s="2773">
        <f>I509</f>
        <v>0</v>
      </c>
      <c r="J508" s="2774">
        <f>J509</f>
        <v>0</v>
      </c>
      <c r="K508" s="2735"/>
      <c r="L508" s="2735"/>
      <c r="M508" s="2735"/>
      <c r="N508" s="2775">
        <f>N509</f>
        <v>963</v>
      </c>
      <c r="O508" s="2735"/>
      <c r="P508" s="2735"/>
      <c r="Q508" s="2735"/>
      <c r="R508" s="2735"/>
      <c r="S508" s="2735"/>
      <c r="T508" s="2735"/>
      <c r="U508" s="2772">
        <f>U509</f>
        <v>1030.4100000000001</v>
      </c>
    </row>
    <row r="509" spans="1:21" ht="21" x14ac:dyDescent="0.25">
      <c r="A509" s="305"/>
      <c r="B509" s="1205" t="s">
        <v>918</v>
      </c>
      <c r="C509" s="1180"/>
      <c r="D509" s="409" t="s">
        <v>534</v>
      </c>
      <c r="E509" s="409" t="s">
        <v>488</v>
      </c>
      <c r="F509" s="409" t="s">
        <v>919</v>
      </c>
      <c r="G509" s="1662"/>
      <c r="H509" s="2772">
        <f>H511</f>
        <v>900</v>
      </c>
      <c r="I509" s="2773">
        <f>I511</f>
        <v>0</v>
      </c>
      <c r="J509" s="2774">
        <f>J511</f>
        <v>0</v>
      </c>
      <c r="K509" s="2735"/>
      <c r="L509" s="2735"/>
      <c r="M509" s="2735"/>
      <c r="N509" s="2775">
        <f>N511</f>
        <v>963</v>
      </c>
      <c r="O509" s="2735"/>
      <c r="P509" s="2735"/>
      <c r="Q509" s="2735"/>
      <c r="R509" s="2735"/>
      <c r="S509" s="2735"/>
      <c r="T509" s="2735"/>
      <c r="U509" s="2772">
        <f>U511</f>
        <v>1030.4100000000001</v>
      </c>
    </row>
    <row r="510" spans="1:21" x14ac:dyDescent="0.25">
      <c r="A510" s="304"/>
      <c r="B510" s="1256" t="s">
        <v>921</v>
      </c>
      <c r="C510" s="1257"/>
      <c r="D510" s="409" t="s">
        <v>534</v>
      </c>
      <c r="E510" s="409" t="s">
        <v>488</v>
      </c>
      <c r="F510" s="409" t="s">
        <v>919</v>
      </c>
      <c r="G510" s="1663" t="s">
        <v>955</v>
      </c>
      <c r="H510" s="2811">
        <f>H511</f>
        <v>900</v>
      </c>
      <c r="I510" s="2773"/>
      <c r="J510" s="2774"/>
      <c r="K510" s="2735"/>
      <c r="L510" s="2735"/>
      <c r="M510" s="2735"/>
      <c r="N510" s="2812">
        <f>N511</f>
        <v>963</v>
      </c>
      <c r="O510" s="2735"/>
      <c r="P510" s="2735"/>
      <c r="Q510" s="2735"/>
      <c r="R510" s="2735"/>
      <c r="S510" s="2735"/>
      <c r="T510" s="2735"/>
      <c r="U510" s="2811">
        <f>U511</f>
        <v>1030.4100000000001</v>
      </c>
    </row>
    <row r="511" spans="1:21" ht="21.5" thickBot="1" x14ac:dyDescent="0.3">
      <c r="A511" s="778"/>
      <c r="B511" s="1259" t="s">
        <v>454</v>
      </c>
      <c r="C511" s="1260"/>
      <c r="D511" s="2154" t="s">
        <v>534</v>
      </c>
      <c r="E511" s="2154" t="s">
        <v>488</v>
      </c>
      <c r="F511" s="2154" t="s">
        <v>919</v>
      </c>
      <c r="G511" s="1672" t="s">
        <v>1</v>
      </c>
      <c r="H511" s="2813">
        <v>900</v>
      </c>
      <c r="I511" s="2773"/>
      <c r="J511" s="2774"/>
      <c r="K511" s="2735"/>
      <c r="L511" s="2735"/>
      <c r="M511" s="2735"/>
      <c r="N511" s="2814">
        <v>963</v>
      </c>
      <c r="O511" s="2735"/>
      <c r="P511" s="2735"/>
      <c r="Q511" s="2735"/>
      <c r="R511" s="2735"/>
      <c r="S511" s="2735"/>
      <c r="T511" s="2735"/>
      <c r="U511" s="2813">
        <v>1030.4100000000001</v>
      </c>
    </row>
    <row r="512" spans="1:21" ht="34.5" hidden="1" customHeight="1" x14ac:dyDescent="0.25">
      <c r="A512" s="291"/>
      <c r="B512" s="290" t="s">
        <v>469</v>
      </c>
      <c r="C512" s="289"/>
      <c r="D512" s="288" t="s">
        <v>464</v>
      </c>
      <c r="E512" s="288" t="s">
        <v>463</v>
      </c>
      <c r="F512" s="288" t="s">
        <v>468</v>
      </c>
      <c r="G512" s="2158"/>
      <c r="H512" s="2815">
        <f t="shared" ref="H512:J514" si="118">H513</f>
        <v>0</v>
      </c>
      <c r="I512" s="2777">
        <f t="shared" si="118"/>
        <v>0</v>
      </c>
      <c r="J512" s="2778">
        <f t="shared" si="118"/>
        <v>0</v>
      </c>
      <c r="K512" s="2735"/>
      <c r="L512" s="2735"/>
      <c r="M512" s="2735"/>
      <c r="N512" s="2816">
        <f t="shared" ref="N512:N514" si="119">N513</f>
        <v>0</v>
      </c>
      <c r="O512" s="2735"/>
      <c r="P512" s="2735"/>
      <c r="Q512" s="2735"/>
      <c r="R512" s="2735"/>
      <c r="S512" s="2735"/>
      <c r="T512" s="2735"/>
      <c r="U512" s="2815">
        <f t="shared" ref="U512:U514" si="120">U513</f>
        <v>0</v>
      </c>
    </row>
    <row r="513" spans="1:21" ht="13" hidden="1" thickBot="1" x14ac:dyDescent="0.3">
      <c r="A513" s="273"/>
      <c r="B513" s="285" t="s">
        <v>467</v>
      </c>
      <c r="C513" s="272"/>
      <c r="D513" s="271" t="s">
        <v>464</v>
      </c>
      <c r="E513" s="271" t="s">
        <v>463</v>
      </c>
      <c r="F513" s="271" t="s">
        <v>466</v>
      </c>
      <c r="G513" s="2159"/>
      <c r="H513" s="2817">
        <f t="shared" si="118"/>
        <v>0</v>
      </c>
      <c r="I513" s="2773">
        <f t="shared" si="118"/>
        <v>0</v>
      </c>
      <c r="J513" s="2774">
        <f t="shared" si="118"/>
        <v>0</v>
      </c>
      <c r="K513" s="2735"/>
      <c r="L513" s="2735"/>
      <c r="M513" s="2735"/>
      <c r="N513" s="2818">
        <f t="shared" si="119"/>
        <v>0</v>
      </c>
      <c r="O513" s="2735"/>
      <c r="P513" s="2735"/>
      <c r="Q513" s="2735"/>
      <c r="R513" s="2735"/>
      <c r="S513" s="2735"/>
      <c r="T513" s="2735"/>
      <c r="U513" s="2817">
        <f t="shared" si="120"/>
        <v>0</v>
      </c>
    </row>
    <row r="514" spans="1:21" ht="13" hidden="1" thickBot="1" x14ac:dyDescent="0.3">
      <c r="A514" s="305"/>
      <c r="B514" s="285" t="s">
        <v>465</v>
      </c>
      <c r="C514" s="272"/>
      <c r="D514" s="271" t="s">
        <v>464</v>
      </c>
      <c r="E514" s="271" t="s">
        <v>463</v>
      </c>
      <c r="F514" s="271" t="s">
        <v>462</v>
      </c>
      <c r="G514" s="2159"/>
      <c r="H514" s="2817">
        <f t="shared" si="118"/>
        <v>0</v>
      </c>
      <c r="I514" s="2773">
        <f t="shared" si="118"/>
        <v>0</v>
      </c>
      <c r="J514" s="2774">
        <f t="shared" si="118"/>
        <v>0</v>
      </c>
      <c r="K514" s="2735"/>
      <c r="L514" s="2735"/>
      <c r="M514" s="2735"/>
      <c r="N514" s="2818">
        <f t="shared" si="119"/>
        <v>0</v>
      </c>
      <c r="O514" s="2735"/>
      <c r="P514" s="2735"/>
      <c r="Q514" s="2735"/>
      <c r="R514" s="2735"/>
      <c r="S514" s="2735"/>
      <c r="T514" s="2735"/>
      <c r="U514" s="2817">
        <f t="shared" si="120"/>
        <v>0</v>
      </c>
    </row>
    <row r="515" spans="1:21" ht="20.5" hidden="1" thickBot="1" x14ac:dyDescent="0.3">
      <c r="A515" s="304"/>
      <c r="B515" s="303" t="s">
        <v>454</v>
      </c>
      <c r="C515" s="302"/>
      <c r="D515" s="301" t="s">
        <v>464</v>
      </c>
      <c r="E515" s="301" t="s">
        <v>463</v>
      </c>
      <c r="F515" s="301" t="s">
        <v>462</v>
      </c>
      <c r="G515" s="2160" t="s">
        <v>1</v>
      </c>
      <c r="H515" s="2819"/>
      <c r="I515" s="2820"/>
      <c r="J515" s="2821"/>
      <c r="K515" s="2735"/>
      <c r="L515" s="2735"/>
      <c r="M515" s="2735"/>
      <c r="N515" s="2822"/>
      <c r="O515" s="2735"/>
      <c r="P515" s="2735"/>
      <c r="Q515" s="2735"/>
      <c r="R515" s="2735"/>
      <c r="S515" s="2735"/>
      <c r="T515" s="2735"/>
      <c r="U515" s="2819"/>
    </row>
    <row r="516" spans="1:21" ht="13" hidden="1" thickBot="1" x14ac:dyDescent="0.3">
      <c r="A516" s="437"/>
      <c r="B516" s="438"/>
      <c r="C516" s="439"/>
      <c r="D516" s="440"/>
      <c r="E516" s="440"/>
      <c r="F516" s="440"/>
      <c r="G516" s="2161"/>
      <c r="H516" s="2823"/>
      <c r="I516" s="2824"/>
      <c r="J516" s="2825"/>
      <c r="K516" s="2735"/>
      <c r="L516" s="2735"/>
      <c r="M516" s="2735"/>
      <c r="N516" s="2826"/>
      <c r="O516" s="2735"/>
      <c r="P516" s="2735"/>
      <c r="Q516" s="2735"/>
      <c r="R516" s="2735"/>
      <c r="S516" s="2735"/>
      <c r="T516" s="2735"/>
      <c r="U516" s="2823"/>
    </row>
    <row r="517" spans="1:21" ht="13" hidden="1" thickBot="1" x14ac:dyDescent="0.3">
      <c r="A517" s="298">
        <v>3</v>
      </c>
      <c r="B517" s="297" t="s">
        <v>461</v>
      </c>
      <c r="C517" s="296" t="s">
        <v>430</v>
      </c>
      <c r="D517" s="295"/>
      <c r="E517" s="295"/>
      <c r="F517" s="295"/>
      <c r="G517" s="2162"/>
      <c r="H517" s="2827">
        <f>H518</f>
        <v>13072.523999999999</v>
      </c>
      <c r="I517" s="2738">
        <f>I518</f>
        <v>8212.5999999999985</v>
      </c>
      <c r="J517" s="2739">
        <f>J518</f>
        <v>8263</v>
      </c>
      <c r="K517" s="2735"/>
      <c r="L517" s="2735"/>
      <c r="M517" s="2735"/>
      <c r="N517" s="2828">
        <f>N518</f>
        <v>13491.318000000001</v>
      </c>
      <c r="O517" s="2735"/>
      <c r="P517" s="2735"/>
      <c r="Q517" s="2735"/>
      <c r="R517" s="2735"/>
      <c r="S517" s="2735"/>
      <c r="T517" s="2735"/>
      <c r="U517" s="2827">
        <f>U518</f>
        <v>13668.074000000001</v>
      </c>
    </row>
    <row r="518" spans="1:21" ht="13" hidden="1" thickBot="1" x14ac:dyDescent="0.3">
      <c r="A518" s="291"/>
      <c r="B518" s="290" t="s">
        <v>460</v>
      </c>
      <c r="C518" s="289"/>
      <c r="D518" s="288" t="s">
        <v>453</v>
      </c>
      <c r="E518" s="288" t="s">
        <v>459</v>
      </c>
      <c r="F518" s="288"/>
      <c r="G518" s="2158"/>
      <c r="H518" s="2815">
        <f>H519+H532+H527</f>
        <v>13072.523999999999</v>
      </c>
      <c r="I518" s="2743">
        <f>I519+I532</f>
        <v>8212.5999999999985</v>
      </c>
      <c r="J518" s="2829">
        <f>J519+J532</f>
        <v>8263</v>
      </c>
      <c r="K518" s="2735"/>
      <c r="L518" s="2735"/>
      <c r="M518" s="2735"/>
      <c r="N518" s="2816">
        <f>N519+N532+N527</f>
        <v>13491.318000000001</v>
      </c>
      <c r="O518" s="2735"/>
      <c r="P518" s="2735"/>
      <c r="Q518" s="2735"/>
      <c r="R518" s="2735"/>
      <c r="S518" s="2735"/>
      <c r="T518" s="2735"/>
      <c r="U518" s="2815">
        <f>U519+U532+U527</f>
        <v>13668.074000000001</v>
      </c>
    </row>
    <row r="519" spans="1:21" ht="13" hidden="1" thickBot="1" x14ac:dyDescent="0.3">
      <c r="A519" s="273"/>
      <c r="B519" s="282" t="s">
        <v>87</v>
      </c>
      <c r="C519" s="279"/>
      <c r="D519" s="278" t="s">
        <v>453</v>
      </c>
      <c r="E519" s="278" t="s">
        <v>456</v>
      </c>
      <c r="F519" s="278"/>
      <c r="G519" s="2163"/>
      <c r="H519" s="2830">
        <f t="shared" ref="H519:J522" si="121">H520</f>
        <v>7296.08</v>
      </c>
      <c r="I519" s="2777">
        <f t="shared" si="121"/>
        <v>6962.0999999999995</v>
      </c>
      <c r="J519" s="2778">
        <f t="shared" si="121"/>
        <v>6915</v>
      </c>
      <c r="K519" s="2735"/>
      <c r="L519" s="2735"/>
      <c r="M519" s="2735"/>
      <c r="N519" s="2831">
        <f t="shared" ref="N519:N522" si="122">N520</f>
        <v>7296.08</v>
      </c>
      <c r="O519" s="2735"/>
      <c r="P519" s="2735"/>
      <c r="Q519" s="2735"/>
      <c r="R519" s="2735"/>
      <c r="S519" s="2735"/>
      <c r="T519" s="2735"/>
      <c r="U519" s="2830">
        <f t="shared" ref="U519:U522" si="123">U520</f>
        <v>7296.08</v>
      </c>
    </row>
    <row r="520" spans="1:21" ht="32" hidden="1" thickBot="1" x14ac:dyDescent="0.3">
      <c r="A520" s="281"/>
      <c r="B520" s="307" t="s">
        <v>621</v>
      </c>
      <c r="C520" s="279"/>
      <c r="D520" s="278" t="s">
        <v>453</v>
      </c>
      <c r="E520" s="278" t="s">
        <v>456</v>
      </c>
      <c r="F520" s="278" t="s">
        <v>273</v>
      </c>
      <c r="G520" s="2163"/>
      <c r="H520" s="2830">
        <f t="shared" si="121"/>
        <v>7296.08</v>
      </c>
      <c r="I520" s="2777">
        <f t="shared" si="121"/>
        <v>6962.0999999999995</v>
      </c>
      <c r="J520" s="2778">
        <f t="shared" si="121"/>
        <v>6915</v>
      </c>
      <c r="K520" s="2735"/>
      <c r="L520" s="2735"/>
      <c r="M520" s="2735"/>
      <c r="N520" s="2831">
        <f t="shared" si="122"/>
        <v>7296.08</v>
      </c>
      <c r="O520" s="2735"/>
      <c r="P520" s="2735"/>
      <c r="Q520" s="2735"/>
      <c r="R520" s="2735"/>
      <c r="S520" s="2735"/>
      <c r="T520" s="2735"/>
      <c r="U520" s="2830">
        <f t="shared" si="123"/>
        <v>7296.08</v>
      </c>
    </row>
    <row r="521" spans="1:21" ht="30.5" hidden="1" thickBot="1" x14ac:dyDescent="0.3">
      <c r="A521" s="281"/>
      <c r="B521" s="310" t="s">
        <v>261</v>
      </c>
      <c r="C521" s="272"/>
      <c r="D521" s="271" t="s">
        <v>453</v>
      </c>
      <c r="E521" s="271" t="s">
        <v>456</v>
      </c>
      <c r="F521" s="271" t="s">
        <v>260</v>
      </c>
      <c r="G521" s="2159"/>
      <c r="H521" s="2817">
        <f t="shared" si="121"/>
        <v>7296.08</v>
      </c>
      <c r="I521" s="2773">
        <f t="shared" si="121"/>
        <v>6962.0999999999995</v>
      </c>
      <c r="J521" s="2774">
        <f t="shared" si="121"/>
        <v>6915</v>
      </c>
      <c r="K521" s="2735"/>
      <c r="L521" s="2735"/>
      <c r="M521" s="2735"/>
      <c r="N521" s="2818">
        <f t="shared" si="122"/>
        <v>7296.08</v>
      </c>
      <c r="O521" s="2735"/>
      <c r="P521" s="2735"/>
      <c r="Q521" s="2735"/>
      <c r="R521" s="2735"/>
      <c r="S521" s="2735"/>
      <c r="T521" s="2735"/>
      <c r="U521" s="2817">
        <f t="shared" si="123"/>
        <v>7296.08</v>
      </c>
    </row>
    <row r="522" spans="1:21" ht="13" hidden="1" thickBot="1" x14ac:dyDescent="0.3">
      <c r="A522" s="281"/>
      <c r="B522" s="274" t="s">
        <v>259</v>
      </c>
      <c r="C522" s="272"/>
      <c r="D522" s="271" t="s">
        <v>453</v>
      </c>
      <c r="E522" s="271" t="s">
        <v>456</v>
      </c>
      <c r="F522" s="271" t="s">
        <v>258</v>
      </c>
      <c r="G522" s="2159"/>
      <c r="H522" s="2817">
        <f t="shared" si="121"/>
        <v>7296.08</v>
      </c>
      <c r="I522" s="2773">
        <f t="shared" si="121"/>
        <v>6962.0999999999995</v>
      </c>
      <c r="J522" s="2774">
        <f t="shared" si="121"/>
        <v>6915</v>
      </c>
      <c r="K522" s="2735"/>
      <c r="L522" s="2735"/>
      <c r="M522" s="2735"/>
      <c r="N522" s="2818">
        <f t="shared" si="122"/>
        <v>7296.08</v>
      </c>
      <c r="O522" s="2735"/>
      <c r="P522" s="2735"/>
      <c r="Q522" s="2735"/>
      <c r="R522" s="2735"/>
      <c r="S522" s="2735"/>
      <c r="T522" s="2735"/>
      <c r="U522" s="2817">
        <f t="shared" si="123"/>
        <v>7296.08</v>
      </c>
    </row>
    <row r="523" spans="1:21" ht="13" hidden="1" thickBot="1" x14ac:dyDescent="0.3">
      <c r="A523" s="281"/>
      <c r="B523" s="285" t="s">
        <v>351</v>
      </c>
      <c r="C523" s="272"/>
      <c r="D523" s="271" t="s">
        <v>453</v>
      </c>
      <c r="E523" s="271" t="s">
        <v>456</v>
      </c>
      <c r="F523" s="271" t="s">
        <v>254</v>
      </c>
      <c r="G523" s="2159"/>
      <c r="H523" s="2817">
        <f>H524+H525+H526</f>
        <v>7296.08</v>
      </c>
      <c r="I523" s="2773">
        <f>I524+I525+I526</f>
        <v>6962.0999999999995</v>
      </c>
      <c r="J523" s="2774">
        <f>J524+J525+J526</f>
        <v>6915</v>
      </c>
      <c r="K523" s="2735"/>
      <c r="L523" s="2735"/>
      <c r="M523" s="2735"/>
      <c r="N523" s="2818">
        <f>N524+N525+N526</f>
        <v>7296.08</v>
      </c>
      <c r="O523" s="2735"/>
      <c r="P523" s="2735"/>
      <c r="Q523" s="2735"/>
      <c r="R523" s="2735"/>
      <c r="S523" s="2735"/>
      <c r="T523" s="2735"/>
      <c r="U523" s="2817">
        <f>U524+U525+U526</f>
        <v>7296.08</v>
      </c>
    </row>
    <row r="524" spans="1:21" ht="13" hidden="1" thickBot="1" x14ac:dyDescent="0.3">
      <c r="A524" s="273"/>
      <c r="B524" s="284" t="s">
        <v>458</v>
      </c>
      <c r="C524" s="283"/>
      <c r="D524" s="271" t="s">
        <v>453</v>
      </c>
      <c r="E524" s="271" t="s">
        <v>456</v>
      </c>
      <c r="F524" s="271" t="s">
        <v>254</v>
      </c>
      <c r="G524" s="2159" t="s">
        <v>255</v>
      </c>
      <c r="H524" s="2817">
        <f>4510.863-660.6</f>
        <v>3850.2630000000004</v>
      </c>
      <c r="I524" s="2773">
        <v>4886.9669999999996</v>
      </c>
      <c r="J524" s="2774">
        <v>5375.0079999999998</v>
      </c>
      <c r="K524" s="2735"/>
      <c r="L524" s="2735"/>
      <c r="M524" s="2735"/>
      <c r="N524" s="2818">
        <f>4510.863-660.6</f>
        <v>3850.2630000000004</v>
      </c>
      <c r="O524" s="2735"/>
      <c r="P524" s="2735"/>
      <c r="Q524" s="2735"/>
      <c r="R524" s="2735"/>
      <c r="S524" s="2735"/>
      <c r="T524" s="2735"/>
      <c r="U524" s="2817">
        <f>4510.863-660.6</f>
        <v>3850.2630000000004</v>
      </c>
    </row>
    <row r="525" spans="1:21" ht="20.5" hidden="1" thickBot="1" x14ac:dyDescent="0.3">
      <c r="A525" s="273"/>
      <c r="B525" s="284" t="s">
        <v>454</v>
      </c>
      <c r="C525" s="283"/>
      <c r="D525" s="271" t="s">
        <v>453</v>
      </c>
      <c r="E525" s="271" t="s">
        <v>456</v>
      </c>
      <c r="F525" s="271" t="s">
        <v>254</v>
      </c>
      <c r="G525" s="2159" t="s">
        <v>1</v>
      </c>
      <c r="H525" s="2817">
        <f>1564.263+1880.841</f>
        <v>3445.1039999999998</v>
      </c>
      <c r="I525" s="2773">
        <v>2074.1329999999998</v>
      </c>
      <c r="J525" s="2774">
        <v>1538.992</v>
      </c>
      <c r="K525" s="2735"/>
      <c r="L525" s="2735"/>
      <c r="M525" s="2735"/>
      <c r="N525" s="2818">
        <f>1564.263+1880.841</f>
        <v>3445.1039999999998</v>
      </c>
      <c r="O525" s="2735"/>
      <c r="P525" s="2735"/>
      <c r="Q525" s="2735"/>
      <c r="R525" s="2735"/>
      <c r="S525" s="2735"/>
      <c r="T525" s="2735"/>
      <c r="U525" s="2817">
        <f>1564.263+1880.841</f>
        <v>3445.1039999999998</v>
      </c>
    </row>
    <row r="526" spans="1:21" ht="13" hidden="1" thickBot="1" x14ac:dyDescent="0.3">
      <c r="A526" s="273"/>
      <c r="B526" s="284" t="s">
        <v>457</v>
      </c>
      <c r="C526" s="283"/>
      <c r="D526" s="271" t="s">
        <v>453</v>
      </c>
      <c r="E526" s="271" t="s">
        <v>456</v>
      </c>
      <c r="F526" s="271" t="s">
        <v>254</v>
      </c>
      <c r="G526" s="2159" t="s">
        <v>91</v>
      </c>
      <c r="H526" s="2817">
        <v>0.71299999999999997</v>
      </c>
      <c r="I526" s="2773">
        <v>1</v>
      </c>
      <c r="J526" s="2774">
        <v>1</v>
      </c>
      <c r="K526" s="2735"/>
      <c r="L526" s="2735"/>
      <c r="M526" s="2735"/>
      <c r="N526" s="2818">
        <v>0.71299999999999997</v>
      </c>
      <c r="O526" s="2735"/>
      <c r="P526" s="2735"/>
      <c r="Q526" s="2735"/>
      <c r="R526" s="2735"/>
      <c r="S526" s="2735"/>
      <c r="T526" s="2735"/>
      <c r="U526" s="2817">
        <v>0.71299999999999997</v>
      </c>
    </row>
    <row r="527" spans="1:21" ht="21.5" hidden="1" thickBot="1" x14ac:dyDescent="0.3">
      <c r="A527" s="732"/>
      <c r="B527" s="752" t="s">
        <v>499</v>
      </c>
      <c r="C527" s="408"/>
      <c r="D527" s="408" t="s">
        <v>453</v>
      </c>
      <c r="E527" s="408" t="s">
        <v>456</v>
      </c>
      <c r="F527" s="408" t="s">
        <v>89</v>
      </c>
      <c r="G527" s="1662"/>
      <c r="H527" s="2776">
        <f>H528</f>
        <v>660.6</v>
      </c>
      <c r="I527" s="2773"/>
      <c r="J527" s="2774"/>
      <c r="K527" s="2735"/>
      <c r="L527" s="2735"/>
      <c r="M527" s="2735"/>
      <c r="N527" s="1269">
        <f>N528</f>
        <v>660.6</v>
      </c>
      <c r="O527" s="2735"/>
      <c r="P527" s="2735"/>
      <c r="Q527" s="2735"/>
      <c r="R527" s="2735"/>
      <c r="S527" s="2735"/>
      <c r="T527" s="2735"/>
      <c r="U527" s="2776">
        <f>U528</f>
        <v>660.6</v>
      </c>
    </row>
    <row r="528" spans="1:21" ht="13" hidden="1" thickBot="1" x14ac:dyDescent="0.3">
      <c r="A528" s="732"/>
      <c r="B528" s="753" t="s">
        <v>109</v>
      </c>
      <c r="C528" s="409"/>
      <c r="D528" s="409" t="s">
        <v>453</v>
      </c>
      <c r="E528" s="409" t="s">
        <v>456</v>
      </c>
      <c r="F528" s="409" t="s">
        <v>84</v>
      </c>
      <c r="G528" s="1662"/>
      <c r="H528" s="2772">
        <f>H529</f>
        <v>660.6</v>
      </c>
      <c r="I528" s="2773"/>
      <c r="J528" s="2774"/>
      <c r="K528" s="2735"/>
      <c r="L528" s="2735"/>
      <c r="M528" s="2735"/>
      <c r="N528" s="1270">
        <f>N529</f>
        <v>660.6</v>
      </c>
      <c r="O528" s="2735"/>
      <c r="P528" s="2735"/>
      <c r="Q528" s="2735"/>
      <c r="R528" s="2735"/>
      <c r="S528" s="2735"/>
      <c r="T528" s="2735"/>
      <c r="U528" s="2772">
        <f>U529</f>
        <v>660.6</v>
      </c>
    </row>
    <row r="529" spans="1:21" ht="13" hidden="1" thickBot="1" x14ac:dyDescent="0.3">
      <c r="A529" s="732"/>
      <c r="B529" s="753" t="s">
        <v>109</v>
      </c>
      <c r="C529" s="409"/>
      <c r="D529" s="409" t="s">
        <v>453</v>
      </c>
      <c r="E529" s="409" t="s">
        <v>456</v>
      </c>
      <c r="F529" s="409" t="s">
        <v>82</v>
      </c>
      <c r="G529" s="1662"/>
      <c r="H529" s="2772">
        <f>H530</f>
        <v>660.6</v>
      </c>
      <c r="I529" s="2773"/>
      <c r="J529" s="2774"/>
      <c r="K529" s="2735"/>
      <c r="L529" s="2735"/>
      <c r="M529" s="2735"/>
      <c r="N529" s="1270">
        <f>N530</f>
        <v>660.6</v>
      </c>
      <c r="O529" s="2735"/>
      <c r="P529" s="2735"/>
      <c r="Q529" s="2735"/>
      <c r="R529" s="2735"/>
      <c r="S529" s="2735"/>
      <c r="T529" s="2735"/>
      <c r="U529" s="2772">
        <f>U530</f>
        <v>660.6</v>
      </c>
    </row>
    <row r="530" spans="1:21" ht="13" hidden="1" thickBot="1" x14ac:dyDescent="0.3">
      <c r="A530" s="732"/>
      <c r="B530" s="1894" t="s">
        <v>830</v>
      </c>
      <c r="C530" s="409"/>
      <c r="D530" s="409" t="s">
        <v>453</v>
      </c>
      <c r="E530" s="409" t="s">
        <v>456</v>
      </c>
      <c r="F530" s="409" t="s">
        <v>831</v>
      </c>
      <c r="G530" s="1662"/>
      <c r="H530" s="2772">
        <f>H531</f>
        <v>660.6</v>
      </c>
      <c r="I530" s="2773"/>
      <c r="J530" s="2774"/>
      <c r="K530" s="2735"/>
      <c r="L530" s="2735"/>
      <c r="M530" s="2735"/>
      <c r="N530" s="1270">
        <f>N531</f>
        <v>660.6</v>
      </c>
      <c r="O530" s="2735"/>
      <c r="P530" s="2735"/>
      <c r="Q530" s="2735"/>
      <c r="R530" s="2735"/>
      <c r="S530" s="2735"/>
      <c r="T530" s="2735"/>
      <c r="U530" s="2772">
        <f>U531</f>
        <v>660.6</v>
      </c>
    </row>
    <row r="531" spans="1:21" ht="13.5" hidden="1" thickBot="1" x14ac:dyDescent="0.3">
      <c r="A531" s="732"/>
      <c r="B531" s="754" t="s">
        <v>256</v>
      </c>
      <c r="C531" s="409"/>
      <c r="D531" s="409" t="s">
        <v>453</v>
      </c>
      <c r="E531" s="409" t="s">
        <v>456</v>
      </c>
      <c r="F531" s="409" t="s">
        <v>831</v>
      </c>
      <c r="G531" s="1662" t="s">
        <v>255</v>
      </c>
      <c r="H531" s="2772">
        <v>660.6</v>
      </c>
      <c r="I531" s="2773"/>
      <c r="J531" s="2774"/>
      <c r="K531" s="2735"/>
      <c r="L531" s="2735"/>
      <c r="M531" s="2735"/>
      <c r="N531" s="1270">
        <v>660.6</v>
      </c>
      <c r="O531" s="2735"/>
      <c r="P531" s="2735"/>
      <c r="Q531" s="2735"/>
      <c r="R531" s="2735"/>
      <c r="S531" s="2735"/>
      <c r="T531" s="2735"/>
      <c r="U531" s="2772">
        <v>660.6</v>
      </c>
    </row>
    <row r="532" spans="1:21" ht="13" hidden="1" thickBot="1" x14ac:dyDescent="0.3">
      <c r="A532" s="751"/>
      <c r="B532" s="282" t="s">
        <v>244</v>
      </c>
      <c r="C532" s="279"/>
      <c r="D532" s="278" t="s">
        <v>453</v>
      </c>
      <c r="E532" s="278" t="s">
        <v>452</v>
      </c>
      <c r="F532" s="278"/>
      <c r="G532" s="2163"/>
      <c r="H532" s="2830">
        <f t="shared" ref="H532:J533" si="124">H533</f>
        <v>5115.8440000000001</v>
      </c>
      <c r="I532" s="2777">
        <f t="shared" si="124"/>
        <v>1250.5</v>
      </c>
      <c r="J532" s="2778">
        <f t="shared" si="124"/>
        <v>1348</v>
      </c>
      <c r="K532" s="2735"/>
      <c r="L532" s="2735"/>
      <c r="M532" s="2735"/>
      <c r="N532" s="2831">
        <f t="shared" ref="N532:N533" si="125">N533</f>
        <v>5534.6379999999999</v>
      </c>
      <c r="O532" s="2735"/>
      <c r="P532" s="2735"/>
      <c r="Q532" s="2735"/>
      <c r="R532" s="2735"/>
      <c r="S532" s="2735"/>
      <c r="T532" s="2735"/>
      <c r="U532" s="2830">
        <f t="shared" ref="U532:U533" si="126">U533</f>
        <v>5711.3940000000002</v>
      </c>
    </row>
    <row r="533" spans="1:21" ht="32" hidden="1" thickBot="1" x14ac:dyDescent="0.3">
      <c r="A533" s="281"/>
      <c r="B533" s="307" t="s">
        <v>621</v>
      </c>
      <c r="C533" s="279"/>
      <c r="D533" s="278" t="s">
        <v>453</v>
      </c>
      <c r="E533" s="278" t="s">
        <v>452</v>
      </c>
      <c r="F533" s="278" t="s">
        <v>273</v>
      </c>
      <c r="G533" s="2163"/>
      <c r="H533" s="2830">
        <f t="shared" si="124"/>
        <v>5115.8440000000001</v>
      </c>
      <c r="I533" s="2777">
        <f t="shared" si="124"/>
        <v>1250.5</v>
      </c>
      <c r="J533" s="2778">
        <f t="shared" si="124"/>
        <v>1348</v>
      </c>
      <c r="K533" s="2735"/>
      <c r="L533" s="2735"/>
      <c r="M533" s="2735"/>
      <c r="N533" s="2831">
        <f t="shared" si="125"/>
        <v>5534.6379999999999</v>
      </c>
      <c r="O533" s="2735"/>
      <c r="P533" s="2735"/>
      <c r="Q533" s="2735"/>
      <c r="R533" s="2735"/>
      <c r="S533" s="2735"/>
      <c r="T533" s="2735"/>
      <c r="U533" s="2830">
        <f t="shared" si="126"/>
        <v>5711.3940000000002</v>
      </c>
    </row>
    <row r="534" spans="1:21" ht="13" hidden="1" thickBot="1" x14ac:dyDescent="0.3">
      <c r="A534" s="273"/>
      <c r="B534" s="310" t="s">
        <v>836</v>
      </c>
      <c r="C534" s="272"/>
      <c r="D534" s="271" t="s">
        <v>453</v>
      </c>
      <c r="E534" s="271" t="s">
        <v>452</v>
      </c>
      <c r="F534" s="271" t="s">
        <v>251</v>
      </c>
      <c r="G534" s="2159"/>
      <c r="H534" s="2817">
        <f>H535+H538</f>
        <v>5115.8440000000001</v>
      </c>
      <c r="I534" s="2773">
        <f>I535+I538</f>
        <v>1250.5</v>
      </c>
      <c r="J534" s="2774">
        <f>J535+J538</f>
        <v>1348</v>
      </c>
      <c r="K534" s="2735"/>
      <c r="L534" s="2735"/>
      <c r="M534" s="2735"/>
      <c r="N534" s="2818">
        <f>N535+N538</f>
        <v>5534.6379999999999</v>
      </c>
      <c r="O534" s="2735"/>
      <c r="P534" s="2735"/>
      <c r="Q534" s="2735"/>
      <c r="R534" s="2735"/>
      <c r="S534" s="2735"/>
      <c r="T534" s="2735"/>
      <c r="U534" s="2817">
        <f>U535+U538</f>
        <v>5711.3940000000002</v>
      </c>
    </row>
    <row r="535" spans="1:21" ht="13" hidden="1" thickBot="1" x14ac:dyDescent="0.3">
      <c r="A535" s="273"/>
      <c r="B535" s="274" t="s">
        <v>250</v>
      </c>
      <c r="C535" s="272"/>
      <c r="D535" s="271" t="s">
        <v>453</v>
      </c>
      <c r="E535" s="271" t="s">
        <v>452</v>
      </c>
      <c r="F535" s="271" t="s">
        <v>249</v>
      </c>
      <c r="G535" s="2159"/>
      <c r="H535" s="2817">
        <f t="shared" ref="H535:J536" si="127">H536</f>
        <v>1650.46</v>
      </c>
      <c r="I535" s="2773">
        <f t="shared" si="127"/>
        <v>1250.5</v>
      </c>
      <c r="J535" s="2774">
        <f t="shared" si="127"/>
        <v>1348</v>
      </c>
      <c r="K535" s="2735"/>
      <c r="L535" s="2735"/>
      <c r="M535" s="2735"/>
      <c r="N535" s="2818">
        <f t="shared" ref="N535:N536" si="128">N536</f>
        <v>1650.46</v>
      </c>
      <c r="O535" s="2735"/>
      <c r="P535" s="2735"/>
      <c r="Q535" s="2735"/>
      <c r="R535" s="2735"/>
      <c r="S535" s="2735"/>
      <c r="T535" s="2735"/>
      <c r="U535" s="2817">
        <f t="shared" ref="U535:U536" si="129">U536</f>
        <v>1650.46</v>
      </c>
    </row>
    <row r="536" spans="1:21" ht="13.5" hidden="1" thickBot="1" x14ac:dyDescent="0.3">
      <c r="A536" s="273"/>
      <c r="B536" s="90" t="s">
        <v>248</v>
      </c>
      <c r="C536" s="272"/>
      <c r="D536" s="271" t="s">
        <v>453</v>
      </c>
      <c r="E536" s="271" t="s">
        <v>452</v>
      </c>
      <c r="F536" s="271" t="s">
        <v>243</v>
      </c>
      <c r="G536" s="2159"/>
      <c r="H536" s="2817">
        <f t="shared" si="127"/>
        <v>1650.46</v>
      </c>
      <c r="I536" s="2773">
        <f t="shared" si="127"/>
        <v>1250.5</v>
      </c>
      <c r="J536" s="2774">
        <f t="shared" si="127"/>
        <v>1348</v>
      </c>
      <c r="K536" s="2735"/>
      <c r="L536" s="2735"/>
      <c r="M536" s="2735"/>
      <c r="N536" s="2818">
        <f t="shared" si="128"/>
        <v>1650.46</v>
      </c>
      <c r="O536" s="2735"/>
      <c r="P536" s="2735"/>
      <c r="Q536" s="2735"/>
      <c r="R536" s="2735"/>
      <c r="S536" s="2735"/>
      <c r="T536" s="2735"/>
      <c r="U536" s="2817">
        <f t="shared" si="129"/>
        <v>1650.46</v>
      </c>
    </row>
    <row r="537" spans="1:21" ht="20.5" hidden="1" thickBot="1" x14ac:dyDescent="0.3">
      <c r="A537" s="2155"/>
      <c r="B537" s="303" t="s">
        <v>454</v>
      </c>
      <c r="C537" s="302"/>
      <c r="D537" s="301" t="s">
        <v>453</v>
      </c>
      <c r="E537" s="301" t="s">
        <v>452</v>
      </c>
      <c r="F537" s="301" t="s">
        <v>243</v>
      </c>
      <c r="G537" s="2160" t="s">
        <v>1</v>
      </c>
      <c r="H537" s="2819">
        <v>1650.46</v>
      </c>
      <c r="I537" s="2820">
        <v>1250.5</v>
      </c>
      <c r="J537" s="2821">
        <v>1348</v>
      </c>
      <c r="K537" s="2735"/>
      <c r="L537" s="2735"/>
      <c r="M537" s="2735"/>
      <c r="N537" s="2822">
        <v>1650.46</v>
      </c>
      <c r="O537" s="2735"/>
      <c r="P537" s="2735"/>
      <c r="Q537" s="2735"/>
      <c r="R537" s="2735"/>
      <c r="S537" s="2735"/>
      <c r="T537" s="2735"/>
      <c r="U537" s="2819">
        <v>1650.46</v>
      </c>
    </row>
    <row r="538" spans="1:21" ht="23.5" thickBot="1" x14ac:dyDescent="0.3">
      <c r="A538" s="1168">
        <v>2</v>
      </c>
      <c r="B538" s="1171" t="s">
        <v>1038</v>
      </c>
      <c r="C538" s="1161" t="s">
        <v>1039</v>
      </c>
      <c r="D538" s="1161"/>
      <c r="E538" s="1161"/>
      <c r="F538" s="1161"/>
      <c r="G538" s="1658"/>
      <c r="H538" s="2737">
        <f>H539</f>
        <v>3465.384</v>
      </c>
      <c r="I538" s="2738">
        <f>I539+I609+I635+I684+I758+I769+I808+I823+I601</f>
        <v>0</v>
      </c>
      <c r="J538" s="2741">
        <f>J539+J609+J635+J684+J758+J769+J808+J823+J601</f>
        <v>0</v>
      </c>
      <c r="K538" s="2832"/>
      <c r="L538" s="2832"/>
      <c r="M538" s="2832"/>
      <c r="N538" s="2740">
        <f>N539</f>
        <v>3884.1779999999999</v>
      </c>
      <c r="O538" s="2832"/>
      <c r="P538" s="2832"/>
      <c r="Q538" s="2832"/>
      <c r="R538" s="2832"/>
      <c r="S538" s="2832"/>
      <c r="T538" s="2832"/>
      <c r="U538" s="2737">
        <f>U539</f>
        <v>4060.9340000000002</v>
      </c>
    </row>
    <row r="539" spans="1:21" x14ac:dyDescent="0.25">
      <c r="A539" s="145"/>
      <c r="B539" s="1173" t="s">
        <v>431</v>
      </c>
      <c r="C539" s="1174"/>
      <c r="D539" s="1175" t="s">
        <v>456</v>
      </c>
      <c r="E539" s="1175" t="s">
        <v>459</v>
      </c>
      <c r="F539" s="1175"/>
      <c r="G539" s="1660"/>
      <c r="H539" s="2742">
        <f>H546+H553</f>
        <v>3465.384</v>
      </c>
      <c r="I539" s="2743">
        <f>I540+I553+I571</f>
        <v>0</v>
      </c>
      <c r="J539" s="2744">
        <f>J540+J553+J571</f>
        <v>0</v>
      </c>
      <c r="K539" s="2745">
        <f>K552+K559+K561+K565+K578+K579+K580+K582+K584+K590+K596+K608+K612+K613+K614+K615</f>
        <v>5</v>
      </c>
      <c r="L539" s="2735"/>
      <c r="M539" s="2735"/>
      <c r="N539" s="2746">
        <f>N546+N553</f>
        <v>3884.1779999999999</v>
      </c>
      <c r="O539" s="2735"/>
      <c r="P539" s="2735"/>
      <c r="Q539" s="2735"/>
      <c r="R539" s="2735"/>
      <c r="S539" s="2735"/>
      <c r="T539" s="2735"/>
      <c r="U539" s="2742">
        <f>U546+U553</f>
        <v>4060.9340000000002</v>
      </c>
    </row>
    <row r="540" spans="1:21" ht="21" hidden="1" x14ac:dyDescent="0.25">
      <c r="A540" s="32"/>
      <c r="B540" s="752" t="s">
        <v>600</v>
      </c>
      <c r="C540" s="1177"/>
      <c r="D540" s="408" t="s">
        <v>456</v>
      </c>
      <c r="E540" s="408" t="s">
        <v>488</v>
      </c>
      <c r="F540" s="408"/>
      <c r="G540" s="1661"/>
      <c r="H540" s="2747"/>
      <c r="I540" s="2748">
        <f t="shared" ref="I540:J544" si="130">I541</f>
        <v>0</v>
      </c>
      <c r="J540" s="2749">
        <f t="shared" si="130"/>
        <v>0</v>
      </c>
      <c r="K540" s="2735"/>
      <c r="L540" s="2735"/>
      <c r="M540" s="2735"/>
      <c r="N540" s="2750"/>
      <c r="O540" s="2735"/>
      <c r="P540" s="2735"/>
      <c r="Q540" s="2735"/>
      <c r="R540" s="2735"/>
      <c r="S540" s="2735"/>
      <c r="T540" s="2735"/>
      <c r="U540" s="2747"/>
    </row>
    <row r="541" spans="1:21" ht="21" hidden="1" x14ac:dyDescent="0.25">
      <c r="A541" s="32"/>
      <c r="B541" s="753" t="s">
        <v>599</v>
      </c>
      <c r="C541" s="1180"/>
      <c r="D541" s="409" t="s">
        <v>456</v>
      </c>
      <c r="E541" s="409" t="s">
        <v>488</v>
      </c>
      <c r="F541" s="409" t="s">
        <v>157</v>
      </c>
      <c r="G541" s="1662"/>
      <c r="H541" s="2751"/>
      <c r="I541" s="2752">
        <f t="shared" si="130"/>
        <v>0</v>
      </c>
      <c r="J541" s="2753">
        <f t="shared" si="130"/>
        <v>0</v>
      </c>
      <c r="K541" s="2735"/>
      <c r="L541" s="2735"/>
      <c r="M541" s="2735"/>
      <c r="N541" s="2754"/>
      <c r="O541" s="2735"/>
      <c r="P541" s="2735"/>
      <c r="Q541" s="2735"/>
      <c r="R541" s="2735"/>
      <c r="S541" s="2735"/>
      <c r="T541" s="2735"/>
      <c r="U541" s="2751"/>
    </row>
    <row r="542" spans="1:21" ht="21" hidden="1" x14ac:dyDescent="0.25">
      <c r="A542" s="32"/>
      <c r="B542" s="753" t="s">
        <v>596</v>
      </c>
      <c r="C542" s="1180"/>
      <c r="D542" s="409" t="s">
        <v>456</v>
      </c>
      <c r="E542" s="409" t="s">
        <v>488</v>
      </c>
      <c r="F542" s="409" t="s">
        <v>598</v>
      </c>
      <c r="G542" s="1662"/>
      <c r="H542" s="2751"/>
      <c r="I542" s="2752">
        <f t="shared" si="130"/>
        <v>0</v>
      </c>
      <c r="J542" s="2753">
        <f t="shared" si="130"/>
        <v>0</v>
      </c>
      <c r="K542" s="2735"/>
      <c r="L542" s="2735"/>
      <c r="M542" s="2735"/>
      <c r="N542" s="2754"/>
      <c r="O542" s="2735"/>
      <c r="P542" s="2735"/>
      <c r="Q542" s="2735"/>
      <c r="R542" s="2735"/>
      <c r="S542" s="2735"/>
      <c r="T542" s="2735"/>
      <c r="U542" s="2751"/>
    </row>
    <row r="543" spans="1:21" hidden="1" x14ac:dyDescent="0.25">
      <c r="A543" s="32"/>
      <c r="B543" s="753" t="s">
        <v>582</v>
      </c>
      <c r="C543" s="1180"/>
      <c r="D543" s="409" t="s">
        <v>595</v>
      </c>
      <c r="E543" s="409" t="s">
        <v>594</v>
      </c>
      <c r="F543" s="409" t="s">
        <v>597</v>
      </c>
      <c r="G543" s="1662"/>
      <c r="H543" s="2751"/>
      <c r="I543" s="2752">
        <f t="shared" si="130"/>
        <v>0</v>
      </c>
      <c r="J543" s="2753">
        <f t="shared" si="130"/>
        <v>0</v>
      </c>
      <c r="K543" s="2735"/>
      <c r="L543" s="2735"/>
      <c r="M543" s="2735"/>
      <c r="N543" s="2754"/>
      <c r="O543" s="2735"/>
      <c r="P543" s="2735"/>
      <c r="Q543" s="2735"/>
      <c r="R543" s="2735"/>
      <c r="S543" s="2735"/>
      <c r="T543" s="2735"/>
      <c r="U543" s="2751"/>
    </row>
    <row r="544" spans="1:21" ht="21" hidden="1" x14ac:dyDescent="0.25">
      <c r="A544" s="32"/>
      <c r="B544" s="753" t="s">
        <v>596</v>
      </c>
      <c r="C544" s="1180"/>
      <c r="D544" s="409" t="s">
        <v>595</v>
      </c>
      <c r="E544" s="409" t="s">
        <v>594</v>
      </c>
      <c r="F544" s="409" t="s">
        <v>593</v>
      </c>
      <c r="G544" s="1662"/>
      <c r="H544" s="2751"/>
      <c r="I544" s="2752">
        <f t="shared" si="130"/>
        <v>0</v>
      </c>
      <c r="J544" s="2753">
        <f t="shared" si="130"/>
        <v>0</v>
      </c>
      <c r="K544" s="2735"/>
      <c r="L544" s="2735"/>
      <c r="M544" s="2735"/>
      <c r="N544" s="2754"/>
      <c r="O544" s="2735"/>
      <c r="P544" s="2735"/>
      <c r="Q544" s="2735"/>
      <c r="R544" s="2735"/>
      <c r="S544" s="2735"/>
      <c r="T544" s="2735"/>
      <c r="U544" s="2751"/>
    </row>
    <row r="545" spans="1:21" hidden="1" x14ac:dyDescent="0.25">
      <c r="A545" s="32"/>
      <c r="B545" s="1182" t="s">
        <v>571</v>
      </c>
      <c r="C545" s="1183"/>
      <c r="D545" s="409" t="s">
        <v>456</v>
      </c>
      <c r="E545" s="409" t="s">
        <v>488</v>
      </c>
      <c r="F545" s="409" t="s">
        <v>593</v>
      </c>
      <c r="G545" s="1662" t="s">
        <v>5</v>
      </c>
      <c r="H545" s="2751"/>
      <c r="I545" s="2752"/>
      <c r="J545" s="2753"/>
      <c r="K545" s="2735"/>
      <c r="L545" s="2735"/>
      <c r="M545" s="2735"/>
      <c r="N545" s="2754"/>
      <c r="O545" s="2735"/>
      <c r="P545" s="2735"/>
      <c r="Q545" s="2735"/>
      <c r="R545" s="2735"/>
      <c r="S545" s="2735"/>
      <c r="T545" s="2735"/>
      <c r="U545" s="2751"/>
    </row>
    <row r="546" spans="1:21" ht="23" x14ac:dyDescent="0.25">
      <c r="A546" s="32"/>
      <c r="B546" s="1184" t="s">
        <v>600</v>
      </c>
      <c r="C546" s="1183"/>
      <c r="D546" s="408" t="s">
        <v>456</v>
      </c>
      <c r="E546" s="408" t="s">
        <v>488</v>
      </c>
      <c r="F546" s="409"/>
      <c r="G546" s="1662"/>
      <c r="H546" s="2747">
        <f>H547</f>
        <v>1785.268</v>
      </c>
      <c r="I546" s="2752"/>
      <c r="J546" s="2753"/>
      <c r="K546" s="2735">
        <f>K552+K559+K561+K565</f>
        <v>5</v>
      </c>
      <c r="L546" s="2735">
        <f>K546-3579.885</f>
        <v>-3574.8850000000002</v>
      </c>
      <c r="M546" s="2735"/>
      <c r="N546" s="2750">
        <f>N547</f>
        <v>1856.6780000000001</v>
      </c>
      <c r="O546" s="2735"/>
      <c r="P546" s="2735"/>
      <c r="Q546" s="2735"/>
      <c r="R546" s="2735"/>
      <c r="S546" s="2735"/>
      <c r="T546" s="2735"/>
      <c r="U546" s="2747">
        <f>U547</f>
        <v>1930.9469999999999</v>
      </c>
    </row>
    <row r="547" spans="1:21" ht="21" x14ac:dyDescent="0.25">
      <c r="A547" s="32"/>
      <c r="B547" s="753" t="s">
        <v>866</v>
      </c>
      <c r="C547" s="1183"/>
      <c r="D547" s="409" t="s">
        <v>456</v>
      </c>
      <c r="E547" s="409" t="s">
        <v>488</v>
      </c>
      <c r="F547" s="409" t="s">
        <v>157</v>
      </c>
      <c r="G547" s="1662"/>
      <c r="H547" s="2751">
        <f>H548</f>
        <v>1785.268</v>
      </c>
      <c r="I547" s="2752"/>
      <c r="J547" s="2753"/>
      <c r="K547" s="2735"/>
      <c r="L547" s="2735"/>
      <c r="M547" s="2735"/>
      <c r="N547" s="2754">
        <f>N548</f>
        <v>1856.6780000000001</v>
      </c>
      <c r="O547" s="2735"/>
      <c r="P547" s="2735"/>
      <c r="Q547" s="2735"/>
      <c r="R547" s="2735"/>
      <c r="S547" s="2735"/>
      <c r="T547" s="2735"/>
      <c r="U547" s="2751">
        <f>U548</f>
        <v>1930.9469999999999</v>
      </c>
    </row>
    <row r="548" spans="1:21" ht="21" x14ac:dyDescent="0.25">
      <c r="A548" s="32"/>
      <c r="B548" s="753" t="s">
        <v>867</v>
      </c>
      <c r="C548" s="1183"/>
      <c r="D548" s="409" t="s">
        <v>456</v>
      </c>
      <c r="E548" s="409" t="s">
        <v>488</v>
      </c>
      <c r="F548" s="409" t="s">
        <v>598</v>
      </c>
      <c r="G548" s="1662"/>
      <c r="H548" s="2751">
        <f>H549</f>
        <v>1785.268</v>
      </c>
      <c r="I548" s="2752"/>
      <c r="J548" s="2753"/>
      <c r="K548" s="2735"/>
      <c r="L548" s="2735"/>
      <c r="M548" s="2735"/>
      <c r="N548" s="2754">
        <f>N549</f>
        <v>1856.6780000000001</v>
      </c>
      <c r="O548" s="2735"/>
      <c r="P548" s="2735"/>
      <c r="Q548" s="2735"/>
      <c r="R548" s="2735"/>
      <c r="S548" s="2735"/>
      <c r="T548" s="2735"/>
      <c r="U548" s="2751">
        <f>U549</f>
        <v>1930.9469999999999</v>
      </c>
    </row>
    <row r="549" spans="1:21" x14ac:dyDescent="0.25">
      <c r="A549" s="32"/>
      <c r="B549" s="753" t="s">
        <v>582</v>
      </c>
      <c r="C549" s="1183"/>
      <c r="D549" s="409" t="s">
        <v>456</v>
      </c>
      <c r="E549" s="409" t="s">
        <v>488</v>
      </c>
      <c r="F549" s="409" t="s">
        <v>597</v>
      </c>
      <c r="G549" s="1662"/>
      <c r="H549" s="2751">
        <f>H550</f>
        <v>1785.268</v>
      </c>
      <c r="I549" s="2752"/>
      <c r="J549" s="2753"/>
      <c r="K549" s="2735"/>
      <c r="L549" s="2735"/>
      <c r="M549" s="2735"/>
      <c r="N549" s="2754">
        <f>N550</f>
        <v>1856.6780000000001</v>
      </c>
      <c r="O549" s="2735"/>
      <c r="P549" s="2735"/>
      <c r="Q549" s="2735"/>
      <c r="R549" s="2735"/>
      <c r="S549" s="2735"/>
      <c r="T549" s="2735"/>
      <c r="U549" s="2751">
        <f>U550</f>
        <v>1930.9469999999999</v>
      </c>
    </row>
    <row r="550" spans="1:21" ht="21" x14ac:dyDescent="0.25">
      <c r="A550" s="32"/>
      <c r="B550" s="753" t="s">
        <v>867</v>
      </c>
      <c r="C550" s="1183"/>
      <c r="D550" s="409" t="s">
        <v>456</v>
      </c>
      <c r="E550" s="409" t="s">
        <v>488</v>
      </c>
      <c r="F550" s="409" t="s">
        <v>593</v>
      </c>
      <c r="G550" s="1662"/>
      <c r="H550" s="2751">
        <f>H552</f>
        <v>1785.268</v>
      </c>
      <c r="I550" s="2752"/>
      <c r="J550" s="2753"/>
      <c r="K550" s="2735"/>
      <c r="L550" s="2735"/>
      <c r="M550" s="2735"/>
      <c r="N550" s="2754">
        <f>N552</f>
        <v>1856.6780000000001</v>
      </c>
      <c r="O550" s="2735"/>
      <c r="P550" s="2735"/>
      <c r="Q550" s="2735"/>
      <c r="R550" s="2735"/>
      <c r="S550" s="2735"/>
      <c r="T550" s="2735"/>
      <c r="U550" s="2751">
        <f>U552</f>
        <v>1930.9469999999999</v>
      </c>
    </row>
    <row r="551" spans="1:21" ht="39" x14ac:dyDescent="0.25">
      <c r="A551" s="32"/>
      <c r="B551" s="49" t="s">
        <v>1063</v>
      </c>
      <c r="C551" s="1183"/>
      <c r="D551" s="409" t="s">
        <v>456</v>
      </c>
      <c r="E551" s="409" t="s">
        <v>488</v>
      </c>
      <c r="F551" s="409" t="s">
        <v>593</v>
      </c>
      <c r="G551" s="1662" t="s">
        <v>1062</v>
      </c>
      <c r="H551" s="2751">
        <f t="shared" ref="H551:U551" si="131">H552</f>
        <v>1785.268</v>
      </c>
      <c r="I551" s="2752">
        <f t="shared" si="131"/>
        <v>0</v>
      </c>
      <c r="J551" s="2753">
        <f t="shared" si="131"/>
        <v>0</v>
      </c>
      <c r="K551" s="2735">
        <f t="shared" si="131"/>
        <v>0</v>
      </c>
      <c r="L551" s="2735">
        <f t="shared" si="131"/>
        <v>0</v>
      </c>
      <c r="M551" s="2735">
        <f t="shared" si="131"/>
        <v>0</v>
      </c>
      <c r="N551" s="2754">
        <f t="shared" si="131"/>
        <v>1856.6780000000001</v>
      </c>
      <c r="O551" s="2735">
        <f t="shared" si="131"/>
        <v>0</v>
      </c>
      <c r="P551" s="2735">
        <f t="shared" si="131"/>
        <v>0</v>
      </c>
      <c r="Q551" s="2735">
        <f t="shared" si="131"/>
        <v>0</v>
      </c>
      <c r="R551" s="2735">
        <f t="shared" si="131"/>
        <v>0</v>
      </c>
      <c r="S551" s="2735">
        <f t="shared" si="131"/>
        <v>0</v>
      </c>
      <c r="T551" s="2735">
        <f t="shared" si="131"/>
        <v>0</v>
      </c>
      <c r="U551" s="2751">
        <f t="shared" si="131"/>
        <v>1930.9469999999999</v>
      </c>
    </row>
    <row r="552" spans="1:21" x14ac:dyDescent="0.25">
      <c r="A552" s="32"/>
      <c r="B552" s="1185" t="s">
        <v>571</v>
      </c>
      <c r="C552" s="1183"/>
      <c r="D552" s="409" t="s">
        <v>456</v>
      </c>
      <c r="E552" s="409" t="s">
        <v>488</v>
      </c>
      <c r="F552" s="409" t="s">
        <v>593</v>
      </c>
      <c r="G552" s="1662" t="s">
        <v>5</v>
      </c>
      <c r="H552" s="2751">
        <v>1785.268</v>
      </c>
      <c r="I552" s="2752"/>
      <c r="J552" s="2753"/>
      <c r="K552" s="2735"/>
      <c r="L552" s="2735"/>
      <c r="M552" s="2735"/>
      <c r="N552" s="2754">
        <v>1856.6780000000001</v>
      </c>
      <c r="O552" s="2735"/>
      <c r="P552" s="2735"/>
      <c r="Q552" s="2735"/>
      <c r="R552" s="2735"/>
      <c r="S552" s="2735"/>
      <c r="T552" s="2735"/>
      <c r="U552" s="2751">
        <v>1930.9469999999999</v>
      </c>
    </row>
    <row r="553" spans="1:21" ht="34.5" x14ac:dyDescent="0.25">
      <c r="A553" s="32"/>
      <c r="B553" s="1184" t="s">
        <v>592</v>
      </c>
      <c r="C553" s="1177"/>
      <c r="D553" s="408" t="s">
        <v>456</v>
      </c>
      <c r="E553" s="408" t="s">
        <v>495</v>
      </c>
      <c r="F553" s="408"/>
      <c r="G553" s="1661"/>
      <c r="H553" s="2747">
        <f>H554</f>
        <v>1680.116</v>
      </c>
      <c r="I553" s="2748">
        <f>I554</f>
        <v>0</v>
      </c>
      <c r="J553" s="2749">
        <f>J554</f>
        <v>0</v>
      </c>
      <c r="K553" s="2735"/>
      <c r="L553" s="2735"/>
      <c r="M553" s="2735"/>
      <c r="N553" s="2750">
        <f>N554</f>
        <v>2027.5</v>
      </c>
      <c r="O553" s="2735"/>
      <c r="P553" s="2735"/>
      <c r="Q553" s="2735"/>
      <c r="R553" s="2735"/>
      <c r="S553" s="2735"/>
      <c r="T553" s="2735"/>
      <c r="U553" s="2747">
        <f>U554</f>
        <v>2129.9870000000001</v>
      </c>
    </row>
    <row r="554" spans="1:21" ht="21" x14ac:dyDescent="0.25">
      <c r="A554" s="32"/>
      <c r="B554" s="753" t="s">
        <v>588</v>
      </c>
      <c r="C554" s="1180"/>
      <c r="D554" s="409" t="s">
        <v>456</v>
      </c>
      <c r="E554" s="409" t="s">
        <v>495</v>
      </c>
      <c r="F554" s="409" t="s">
        <v>157</v>
      </c>
      <c r="G554" s="1662"/>
      <c r="H554" s="2751">
        <f>H555</f>
        <v>1680.116</v>
      </c>
      <c r="I554" s="2752">
        <f>I555+I567</f>
        <v>0</v>
      </c>
      <c r="J554" s="2753">
        <f>J555+J567</f>
        <v>0</v>
      </c>
      <c r="K554" s="2735"/>
      <c r="L554" s="2735"/>
      <c r="M554" s="2735"/>
      <c r="N554" s="2754">
        <f t="shared" ref="N554:U554" si="132">N555</f>
        <v>2027.5</v>
      </c>
      <c r="O554" s="2735">
        <f t="shared" si="132"/>
        <v>0</v>
      </c>
      <c r="P554" s="2735">
        <f t="shared" si="132"/>
        <v>0</v>
      </c>
      <c r="Q554" s="2735">
        <f t="shared" si="132"/>
        <v>0</v>
      </c>
      <c r="R554" s="2735">
        <f t="shared" si="132"/>
        <v>0</v>
      </c>
      <c r="S554" s="2735">
        <f t="shared" si="132"/>
        <v>0</v>
      </c>
      <c r="T554" s="2735">
        <f t="shared" si="132"/>
        <v>0</v>
      </c>
      <c r="U554" s="2751">
        <f t="shared" si="132"/>
        <v>2129.9870000000001</v>
      </c>
    </row>
    <row r="555" spans="1:21" ht="21" x14ac:dyDescent="0.25">
      <c r="A555" s="32"/>
      <c r="B555" s="753" t="s">
        <v>591</v>
      </c>
      <c r="C555" s="1180"/>
      <c r="D555" s="409" t="s">
        <v>456</v>
      </c>
      <c r="E555" s="409" t="s">
        <v>495</v>
      </c>
      <c r="F555" s="409" t="s">
        <v>155</v>
      </c>
      <c r="G555" s="1662"/>
      <c r="H555" s="2751">
        <f t="shared" ref="H555:J556" si="133">H556</f>
        <v>1680.116</v>
      </c>
      <c r="I555" s="2752">
        <f t="shared" si="133"/>
        <v>0</v>
      </c>
      <c r="J555" s="2753">
        <f t="shared" si="133"/>
        <v>0</v>
      </c>
      <c r="K555" s="2735"/>
      <c r="L555" s="2735"/>
      <c r="M555" s="2735"/>
      <c r="N555" s="2754">
        <f t="shared" ref="N555:N556" si="134">N556</f>
        <v>2027.5</v>
      </c>
      <c r="O555" s="2735"/>
      <c r="P555" s="2735"/>
      <c r="Q555" s="2735"/>
      <c r="R555" s="2735"/>
      <c r="S555" s="2735"/>
      <c r="T555" s="2735"/>
      <c r="U555" s="2751">
        <f t="shared" ref="U555:U556" si="135">U556</f>
        <v>2129.9870000000001</v>
      </c>
    </row>
    <row r="556" spans="1:21" x14ac:dyDescent="0.25">
      <c r="A556" s="32"/>
      <c r="B556" s="753" t="s">
        <v>582</v>
      </c>
      <c r="C556" s="1180"/>
      <c r="D556" s="409" t="s">
        <v>456</v>
      </c>
      <c r="E556" s="409" t="s">
        <v>495</v>
      </c>
      <c r="F556" s="409" t="s">
        <v>154</v>
      </c>
      <c r="G556" s="1662"/>
      <c r="H556" s="2751">
        <f t="shared" si="133"/>
        <v>1680.116</v>
      </c>
      <c r="I556" s="2752">
        <f t="shared" si="133"/>
        <v>0</v>
      </c>
      <c r="J556" s="2753">
        <f t="shared" si="133"/>
        <v>0</v>
      </c>
      <c r="K556" s="2735"/>
      <c r="L556" s="2735"/>
      <c r="M556" s="2735"/>
      <c r="N556" s="2754">
        <f t="shared" si="134"/>
        <v>2027.5</v>
      </c>
      <c r="O556" s="2735"/>
      <c r="P556" s="2735"/>
      <c r="Q556" s="2735"/>
      <c r="R556" s="2735"/>
      <c r="S556" s="2735"/>
      <c r="T556" s="2735"/>
      <c r="U556" s="2751">
        <f t="shared" si="135"/>
        <v>2129.9870000000001</v>
      </c>
    </row>
    <row r="557" spans="1:21" x14ac:dyDescent="0.25">
      <c r="A557" s="32"/>
      <c r="B557" s="753" t="s">
        <v>153</v>
      </c>
      <c r="C557" s="1180"/>
      <c r="D557" s="409" t="s">
        <v>456</v>
      </c>
      <c r="E557" s="409" t="s">
        <v>495</v>
      </c>
      <c r="F557" s="409" t="s">
        <v>152</v>
      </c>
      <c r="G557" s="1662"/>
      <c r="H557" s="2751">
        <f>H558+H560+H563</f>
        <v>1680.116</v>
      </c>
      <c r="I557" s="2752">
        <f>I559+I561</f>
        <v>0</v>
      </c>
      <c r="J557" s="2753">
        <f>J559+J561</f>
        <v>0</v>
      </c>
      <c r="K557" s="2735"/>
      <c r="L557" s="2735"/>
      <c r="M557" s="2735"/>
      <c r="N557" s="2754">
        <f>N559+N561+N565</f>
        <v>2027.5</v>
      </c>
      <c r="O557" s="2735"/>
      <c r="P557" s="2735"/>
      <c r="Q557" s="2735"/>
      <c r="R557" s="2735"/>
      <c r="S557" s="2735"/>
      <c r="T557" s="2735"/>
      <c r="U557" s="2751">
        <f>U559+U561+U565</f>
        <v>2129.9870000000001</v>
      </c>
    </row>
    <row r="558" spans="1:21" ht="39" x14ac:dyDescent="0.25">
      <c r="A558" s="32"/>
      <c r="B558" s="49" t="s">
        <v>1063</v>
      </c>
      <c r="C558" s="1180"/>
      <c r="D558" s="409" t="s">
        <v>456</v>
      </c>
      <c r="E558" s="409" t="s">
        <v>495</v>
      </c>
      <c r="F558" s="409" t="s">
        <v>152</v>
      </c>
      <c r="G558" s="1662" t="s">
        <v>1062</v>
      </c>
      <c r="H558" s="2751">
        <f t="shared" ref="H558:U558" si="136">H559</f>
        <v>987.178</v>
      </c>
      <c r="I558" s="2752">
        <f t="shared" si="136"/>
        <v>0</v>
      </c>
      <c r="J558" s="2759">
        <f t="shared" si="136"/>
        <v>0</v>
      </c>
      <c r="K558" s="2735">
        <f t="shared" si="136"/>
        <v>0</v>
      </c>
      <c r="L558" s="2735">
        <f t="shared" si="136"/>
        <v>0</v>
      </c>
      <c r="M558" s="2735">
        <f t="shared" si="136"/>
        <v>0</v>
      </c>
      <c r="N558" s="2754">
        <f t="shared" si="136"/>
        <v>1024.0250000000001</v>
      </c>
      <c r="O558" s="2735">
        <f t="shared" si="136"/>
        <v>0</v>
      </c>
      <c r="P558" s="2735">
        <f t="shared" si="136"/>
        <v>0</v>
      </c>
      <c r="Q558" s="2735">
        <f t="shared" si="136"/>
        <v>0</v>
      </c>
      <c r="R558" s="2735">
        <f t="shared" si="136"/>
        <v>0</v>
      </c>
      <c r="S558" s="2735">
        <f t="shared" si="136"/>
        <v>0</v>
      </c>
      <c r="T558" s="2735">
        <f t="shared" si="136"/>
        <v>0</v>
      </c>
      <c r="U558" s="2751">
        <f t="shared" si="136"/>
        <v>1062.347</v>
      </c>
    </row>
    <row r="559" spans="1:21" x14ac:dyDescent="0.25">
      <c r="A559" s="32"/>
      <c r="B559" s="1182" t="s">
        <v>571</v>
      </c>
      <c r="C559" s="1183"/>
      <c r="D559" s="409" t="s">
        <v>456</v>
      </c>
      <c r="E559" s="409" t="s">
        <v>495</v>
      </c>
      <c r="F559" s="409" t="s">
        <v>152</v>
      </c>
      <c r="G559" s="1662" t="s">
        <v>5</v>
      </c>
      <c r="H559" s="2751">
        <v>987.178</v>
      </c>
      <c r="I559" s="2752"/>
      <c r="J559" s="2755"/>
      <c r="K559" s="2735"/>
      <c r="L559" s="2735"/>
      <c r="M559" s="2735"/>
      <c r="N559" s="2754">
        <v>1024.0250000000001</v>
      </c>
      <c r="O559" s="2735"/>
      <c r="P559" s="2735"/>
      <c r="Q559" s="2735"/>
      <c r="R559" s="2735"/>
      <c r="S559" s="2735"/>
      <c r="T559" s="2735"/>
      <c r="U559" s="2751">
        <v>1062.347</v>
      </c>
    </row>
    <row r="560" spans="1:21" x14ac:dyDescent="0.25">
      <c r="A560" s="32"/>
      <c r="B560" s="1256" t="s">
        <v>921</v>
      </c>
      <c r="C560" s="1183"/>
      <c r="D560" s="409" t="s">
        <v>456</v>
      </c>
      <c r="E560" s="409" t="s">
        <v>495</v>
      </c>
      <c r="F560" s="409" t="s">
        <v>152</v>
      </c>
      <c r="G560" s="1662" t="s">
        <v>955</v>
      </c>
      <c r="H560" s="2751">
        <f t="shared" ref="H560:U560" si="137">H561</f>
        <v>691.93799999999999</v>
      </c>
      <c r="I560" s="2752">
        <f t="shared" si="137"/>
        <v>0</v>
      </c>
      <c r="J560" s="2755">
        <f t="shared" si="137"/>
        <v>0</v>
      </c>
      <c r="K560" s="2735">
        <f t="shared" si="137"/>
        <v>0</v>
      </c>
      <c r="L560" s="2735">
        <f t="shared" si="137"/>
        <v>0</v>
      </c>
      <c r="M560" s="2735">
        <f t="shared" si="137"/>
        <v>0</v>
      </c>
      <c r="N560" s="2754">
        <f t="shared" si="137"/>
        <v>1002.475</v>
      </c>
      <c r="O560" s="2735">
        <f t="shared" si="137"/>
        <v>0</v>
      </c>
      <c r="P560" s="2735">
        <f t="shared" si="137"/>
        <v>0</v>
      </c>
      <c r="Q560" s="2735">
        <f t="shared" si="137"/>
        <v>0</v>
      </c>
      <c r="R560" s="2735">
        <f t="shared" si="137"/>
        <v>0</v>
      </c>
      <c r="S560" s="2735">
        <f t="shared" si="137"/>
        <v>0</v>
      </c>
      <c r="T560" s="2735">
        <f t="shared" si="137"/>
        <v>0</v>
      </c>
      <c r="U560" s="2751">
        <f t="shared" si="137"/>
        <v>1066.6400000000001</v>
      </c>
    </row>
    <row r="561" spans="1:30" ht="21" x14ac:dyDescent="0.25">
      <c r="A561" s="32"/>
      <c r="B561" s="1182" t="s">
        <v>454</v>
      </c>
      <c r="C561" s="1183"/>
      <c r="D561" s="409" t="s">
        <v>456</v>
      </c>
      <c r="E561" s="409" t="s">
        <v>495</v>
      </c>
      <c r="F561" s="409" t="s">
        <v>152</v>
      </c>
      <c r="G561" s="1662" t="s">
        <v>1</v>
      </c>
      <c r="H561" s="2756">
        <f>941.938-250</f>
        <v>691.93799999999999</v>
      </c>
      <c r="I561" s="2752"/>
      <c r="J561" s="2755"/>
      <c r="K561" s="2757"/>
      <c r="L561" s="2735"/>
      <c r="M561" s="2735"/>
      <c r="N561" s="2758">
        <v>1002.475</v>
      </c>
      <c r="O561" s="2735"/>
      <c r="P561" s="2735"/>
      <c r="Q561" s="2735"/>
      <c r="R561" s="2735"/>
      <c r="S561" s="2735"/>
      <c r="T561" s="2735"/>
      <c r="U561" s="2756">
        <v>1066.6400000000001</v>
      </c>
    </row>
    <row r="562" spans="1:30" hidden="1" x14ac:dyDescent="0.25">
      <c r="A562" s="1478"/>
      <c r="B562" s="1191" t="s">
        <v>1003</v>
      </c>
      <c r="C562" s="1192"/>
      <c r="D562" s="409" t="s">
        <v>456</v>
      </c>
      <c r="E562" s="409" t="s">
        <v>495</v>
      </c>
      <c r="F562" s="409" t="s">
        <v>152</v>
      </c>
      <c r="G562" s="1663" t="s">
        <v>95</v>
      </c>
      <c r="H562" s="2833"/>
      <c r="I562" s="2762"/>
      <c r="J562" s="2834"/>
      <c r="K562" s="2757"/>
      <c r="L562" s="2735"/>
      <c r="M562" s="2735"/>
      <c r="N562" s="2835"/>
      <c r="O562" s="2735"/>
      <c r="P562" s="2735"/>
      <c r="Q562" s="2735"/>
      <c r="R562" s="2735"/>
      <c r="S562" s="2735"/>
      <c r="T562" s="2735"/>
      <c r="U562" s="2833"/>
    </row>
    <row r="563" spans="1:30" x14ac:dyDescent="0.25">
      <c r="A563" s="1478"/>
      <c r="B563" s="1191" t="s">
        <v>1068</v>
      </c>
      <c r="C563" s="1192"/>
      <c r="D563" s="1193" t="s">
        <v>456</v>
      </c>
      <c r="E563" s="1193" t="s">
        <v>495</v>
      </c>
      <c r="F563" s="1193" t="s">
        <v>152</v>
      </c>
      <c r="G563" s="1663" t="s">
        <v>1064</v>
      </c>
      <c r="H563" s="2833">
        <f>H565+H564</f>
        <v>1</v>
      </c>
      <c r="I563" s="2762">
        <f t="shared" ref="I563:U563" si="138">I565</f>
        <v>0</v>
      </c>
      <c r="J563" s="2834">
        <f t="shared" si="138"/>
        <v>0</v>
      </c>
      <c r="K563" s="2757">
        <f t="shared" si="138"/>
        <v>5</v>
      </c>
      <c r="L563" s="2735">
        <f t="shared" si="138"/>
        <v>0</v>
      </c>
      <c r="M563" s="2735">
        <f t="shared" si="138"/>
        <v>0</v>
      </c>
      <c r="N563" s="2835">
        <f t="shared" si="138"/>
        <v>1</v>
      </c>
      <c r="O563" s="2735">
        <f t="shared" si="138"/>
        <v>0</v>
      </c>
      <c r="P563" s="2735">
        <f t="shared" si="138"/>
        <v>0</v>
      </c>
      <c r="Q563" s="2735">
        <f t="shared" si="138"/>
        <v>0</v>
      </c>
      <c r="R563" s="2735">
        <f t="shared" si="138"/>
        <v>0</v>
      </c>
      <c r="S563" s="2735">
        <f t="shared" si="138"/>
        <v>0</v>
      </c>
      <c r="T563" s="2735">
        <f t="shared" si="138"/>
        <v>0</v>
      </c>
      <c r="U563" s="2833">
        <f t="shared" si="138"/>
        <v>1</v>
      </c>
    </row>
    <row r="564" spans="1:30" ht="13" thickBot="1" x14ac:dyDescent="0.3">
      <c r="A564" s="1478"/>
      <c r="B564" s="1191" t="s">
        <v>1003</v>
      </c>
      <c r="C564" s="1192"/>
      <c r="D564" s="1193" t="s">
        <v>456</v>
      </c>
      <c r="E564" s="1193" t="s">
        <v>495</v>
      </c>
      <c r="F564" s="1261" t="s">
        <v>152</v>
      </c>
      <c r="G564" s="1663" t="s">
        <v>95</v>
      </c>
      <c r="H564" s="2833">
        <v>0.5</v>
      </c>
      <c r="I564" s="2762"/>
      <c r="J564" s="2834"/>
      <c r="K564" s="2757"/>
      <c r="L564" s="2735"/>
      <c r="M564" s="2735"/>
      <c r="N564" s="2835">
        <v>0</v>
      </c>
      <c r="O564" s="2735"/>
      <c r="P564" s="2735"/>
      <c r="Q564" s="2735"/>
      <c r="R564" s="2735"/>
      <c r="S564" s="2735"/>
      <c r="T564" s="2735"/>
      <c r="U564" s="2833">
        <v>0</v>
      </c>
    </row>
    <row r="565" spans="1:30" ht="13" thickBot="1" x14ac:dyDescent="0.3">
      <c r="A565" s="26"/>
      <c r="B565" s="1259" t="s">
        <v>457</v>
      </c>
      <c r="C565" s="1260"/>
      <c r="D565" s="1261" t="s">
        <v>456</v>
      </c>
      <c r="E565" s="1261" t="s">
        <v>495</v>
      </c>
      <c r="F565" s="1261" t="s">
        <v>152</v>
      </c>
      <c r="G565" s="1672" t="s">
        <v>91</v>
      </c>
      <c r="H565" s="2836">
        <v>0.5</v>
      </c>
      <c r="I565" s="2837"/>
      <c r="J565" s="2838"/>
      <c r="K565" s="2839">
        <v>5</v>
      </c>
      <c r="L565" s="2840"/>
      <c r="M565" s="2840"/>
      <c r="N565" s="2841">
        <v>1</v>
      </c>
      <c r="O565" s="2840"/>
      <c r="P565" s="2840"/>
      <c r="Q565" s="2840"/>
      <c r="R565" s="2840"/>
      <c r="S565" s="2840"/>
      <c r="T565" s="2840"/>
      <c r="U565" s="2836">
        <v>1</v>
      </c>
    </row>
    <row r="566" spans="1:30" ht="39.5" hidden="1" thickBot="1" x14ac:dyDescent="0.3">
      <c r="A566" s="1168">
        <v>3</v>
      </c>
      <c r="B566" s="2222" t="s">
        <v>1109</v>
      </c>
      <c r="C566" s="1161" t="s">
        <v>1108</v>
      </c>
      <c r="D566" s="1161"/>
      <c r="E566" s="1161"/>
      <c r="F566" s="1161"/>
      <c r="G566" s="1658"/>
      <c r="H566" s="2737">
        <f>H567+H661+H687+H736+H829+H839++H862+H880+H653+H905</f>
        <v>0</v>
      </c>
      <c r="I566" s="2738">
        <f>I567+I636+I662+I711+I785+I796+I835+I850+I628</f>
        <v>0</v>
      </c>
      <c r="J566" s="2741">
        <f>J567+J636+J662+J711+J785+J796+J835+J850+J628</f>
        <v>0</v>
      </c>
      <c r="K566" s="2832"/>
      <c r="L566" s="2832"/>
      <c r="M566" s="2832"/>
      <c r="N566" s="2740">
        <f>N567+N661+N687+N736+N829+N839++N862+N880+N653+N905</f>
        <v>2677.2579999999998</v>
      </c>
      <c r="O566" s="2832"/>
      <c r="P566" s="2832"/>
      <c r="Q566" s="2832"/>
      <c r="R566" s="2832"/>
      <c r="S566" s="2832"/>
      <c r="T566" s="2832"/>
      <c r="U566" s="2737">
        <f>U567+U661+U687+U736+U829+U839++U862+U880+U653+U905</f>
        <v>5716.41</v>
      </c>
    </row>
    <row r="567" spans="1:30" ht="13" hidden="1" x14ac:dyDescent="0.3">
      <c r="A567" s="2223"/>
      <c r="B567" s="2239" t="s">
        <v>431</v>
      </c>
      <c r="C567" s="2224"/>
      <c r="D567" s="1361" t="s">
        <v>456</v>
      </c>
      <c r="E567" s="1361" t="s">
        <v>459</v>
      </c>
      <c r="F567" s="1361"/>
      <c r="G567" s="1851"/>
      <c r="H567" s="2842">
        <f>H574+H575+H600+H618+H630+H636</f>
        <v>0</v>
      </c>
      <c r="I567" s="2843">
        <f>I568+I575+I592</f>
        <v>0</v>
      </c>
      <c r="J567" s="2844">
        <f>J568+J575+J592</f>
        <v>0</v>
      </c>
      <c r="K567" s="2845" t="e">
        <f>#REF!+K581+K583+K586+K605+K606+K607+K609+K611+K617+K623+K635+K639+K640+K641+K642</f>
        <v>#REF!</v>
      </c>
      <c r="L567" s="2846"/>
      <c r="M567" s="2846"/>
      <c r="N567" s="2842">
        <f>N574+N575+N600+N618+N630+N636</f>
        <v>2677.2579999999998</v>
      </c>
      <c r="O567" s="2846"/>
      <c r="P567" s="2846"/>
      <c r="Q567" s="2846"/>
      <c r="R567" s="2846"/>
      <c r="S567" s="2846"/>
      <c r="T567" s="2846"/>
      <c r="U567" s="2842">
        <f>U574+U575+U600+U618+U630+U636</f>
        <v>5716.41</v>
      </c>
    </row>
    <row r="568" spans="1:30" ht="13" hidden="1" x14ac:dyDescent="0.3">
      <c r="A568" s="2221"/>
      <c r="B568" s="2240" t="s">
        <v>1110</v>
      </c>
      <c r="C568" s="1177"/>
      <c r="D568" s="408" t="s">
        <v>456</v>
      </c>
      <c r="E568" s="408" t="s">
        <v>506</v>
      </c>
      <c r="F568" s="408"/>
      <c r="G568" s="1661"/>
      <c r="H568" s="2747">
        <f t="shared" ref="H568:H573" si="139">H569</f>
        <v>0</v>
      </c>
      <c r="I568" s="2748">
        <f t="shared" ref="I568:J572" si="140">I569</f>
        <v>0</v>
      </c>
      <c r="J568" s="2749">
        <f t="shared" si="140"/>
        <v>0</v>
      </c>
      <c r="K568" s="2779"/>
      <c r="L568" s="2779"/>
      <c r="M568" s="2779"/>
      <c r="N568" s="2747">
        <f t="shared" ref="N568:N573" si="141">N569</f>
        <v>0</v>
      </c>
      <c r="O568" s="2779"/>
      <c r="P568" s="2779"/>
      <c r="Q568" s="2779"/>
      <c r="R568" s="2779"/>
      <c r="S568" s="2779"/>
      <c r="T568" s="2779"/>
      <c r="U568" s="2747">
        <f t="shared" ref="U568:U573" si="142">U569</f>
        <v>0</v>
      </c>
    </row>
    <row r="569" spans="1:30" ht="26" hidden="1" x14ac:dyDescent="0.3">
      <c r="A569" s="2221"/>
      <c r="B569" s="2241" t="s">
        <v>1111</v>
      </c>
      <c r="C569" s="1177"/>
      <c r="D569" s="408" t="s">
        <v>456</v>
      </c>
      <c r="E569" s="408" t="s">
        <v>506</v>
      </c>
      <c r="F569" s="408" t="s">
        <v>89</v>
      </c>
      <c r="G569" s="1661"/>
      <c r="H569" s="2751">
        <f t="shared" si="139"/>
        <v>0</v>
      </c>
      <c r="I569" s="2748">
        <f t="shared" si="140"/>
        <v>0</v>
      </c>
      <c r="J569" s="2749">
        <f t="shared" si="140"/>
        <v>0</v>
      </c>
      <c r="K569" s="2779"/>
      <c r="L569" s="2779"/>
      <c r="M569" s="2779"/>
      <c r="N569" s="2751">
        <f t="shared" si="141"/>
        <v>0</v>
      </c>
      <c r="O569" s="2779"/>
      <c r="P569" s="2779"/>
      <c r="Q569" s="2779"/>
      <c r="R569" s="2779"/>
      <c r="S569" s="2779"/>
      <c r="T569" s="2779"/>
      <c r="U569" s="2751">
        <f t="shared" si="142"/>
        <v>0</v>
      </c>
    </row>
    <row r="570" spans="1:30" ht="13" hidden="1" x14ac:dyDescent="0.3">
      <c r="A570" s="2221"/>
      <c r="B570" s="2241" t="s">
        <v>582</v>
      </c>
      <c r="C570" s="1177"/>
      <c r="D570" s="408" t="s">
        <v>456</v>
      </c>
      <c r="E570" s="408" t="s">
        <v>506</v>
      </c>
      <c r="F570" s="408" t="s">
        <v>84</v>
      </c>
      <c r="G570" s="1661"/>
      <c r="H570" s="2751">
        <f t="shared" si="139"/>
        <v>0</v>
      </c>
      <c r="I570" s="2748">
        <f t="shared" si="140"/>
        <v>0</v>
      </c>
      <c r="J570" s="2749">
        <f t="shared" si="140"/>
        <v>0</v>
      </c>
      <c r="K570" s="2779"/>
      <c r="L570" s="2779"/>
      <c r="M570" s="2779"/>
      <c r="N570" s="2751">
        <f t="shared" si="141"/>
        <v>0</v>
      </c>
      <c r="O570" s="2779"/>
      <c r="P570" s="2779"/>
      <c r="Q570" s="2779"/>
      <c r="R570" s="2779"/>
      <c r="S570" s="2779"/>
      <c r="T570" s="2779"/>
      <c r="U570" s="2751">
        <f t="shared" si="142"/>
        <v>0</v>
      </c>
    </row>
    <row r="571" spans="1:30" ht="13" hidden="1" x14ac:dyDescent="0.3">
      <c r="A571" s="2221"/>
      <c r="B571" s="2241" t="s">
        <v>582</v>
      </c>
      <c r="C571" s="1177"/>
      <c r="D571" s="408" t="s">
        <v>595</v>
      </c>
      <c r="E571" s="408" t="s">
        <v>506</v>
      </c>
      <c r="F571" s="408" t="s">
        <v>82</v>
      </c>
      <c r="G571" s="1661"/>
      <c r="H571" s="2751">
        <f t="shared" si="139"/>
        <v>0</v>
      </c>
      <c r="I571" s="2748">
        <f t="shared" si="140"/>
        <v>0</v>
      </c>
      <c r="J571" s="2749">
        <f t="shared" si="140"/>
        <v>0</v>
      </c>
      <c r="K571" s="2779"/>
      <c r="L571" s="2779"/>
      <c r="M571" s="2779"/>
      <c r="N571" s="2751">
        <f t="shared" si="141"/>
        <v>0</v>
      </c>
      <c r="O571" s="2779"/>
      <c r="P571" s="2779"/>
      <c r="Q571" s="2779"/>
      <c r="R571" s="2779"/>
      <c r="S571" s="2779"/>
      <c r="T571" s="2779"/>
      <c r="U571" s="2751">
        <f t="shared" si="142"/>
        <v>0</v>
      </c>
    </row>
    <row r="572" spans="1:30" ht="39" hidden="1" x14ac:dyDescent="0.3">
      <c r="A572" s="2221"/>
      <c r="B572" s="2242" t="s">
        <v>1114</v>
      </c>
      <c r="C572" s="1177"/>
      <c r="D572" s="408" t="s">
        <v>595</v>
      </c>
      <c r="E572" s="408" t="s">
        <v>506</v>
      </c>
      <c r="F572" s="408" t="s">
        <v>1104</v>
      </c>
      <c r="G572" s="1661"/>
      <c r="H572" s="2751">
        <f t="shared" si="139"/>
        <v>0</v>
      </c>
      <c r="I572" s="2748">
        <f t="shared" si="140"/>
        <v>0</v>
      </c>
      <c r="J572" s="2749">
        <f t="shared" si="140"/>
        <v>0</v>
      </c>
      <c r="K572" s="2779"/>
      <c r="L572" s="2779"/>
      <c r="M572" s="2779"/>
      <c r="N572" s="2751">
        <f t="shared" si="141"/>
        <v>0</v>
      </c>
      <c r="O572" s="2779"/>
      <c r="P572" s="2779"/>
      <c r="Q572" s="2779"/>
      <c r="R572" s="2779"/>
      <c r="S572" s="2779"/>
      <c r="T572" s="2779"/>
      <c r="U572" s="2751">
        <f t="shared" si="142"/>
        <v>0</v>
      </c>
    </row>
    <row r="573" spans="1:30" ht="13" hidden="1" x14ac:dyDescent="0.3">
      <c r="A573" s="2221"/>
      <c r="B573" s="2243" t="s">
        <v>1065</v>
      </c>
      <c r="C573" s="1207"/>
      <c r="D573" s="408" t="s">
        <v>456</v>
      </c>
      <c r="E573" s="408" t="s">
        <v>506</v>
      </c>
      <c r="F573" s="408" t="s">
        <v>1104</v>
      </c>
      <c r="G573" s="1661" t="s">
        <v>1064</v>
      </c>
      <c r="H573" s="2751">
        <f t="shared" si="139"/>
        <v>0</v>
      </c>
      <c r="I573" s="2748"/>
      <c r="J573" s="2749"/>
      <c r="K573" s="2779"/>
      <c r="L573" s="2779"/>
      <c r="M573" s="2779"/>
      <c r="N573" s="2751">
        <f t="shared" si="141"/>
        <v>0</v>
      </c>
      <c r="O573" s="2779"/>
      <c r="P573" s="2779"/>
      <c r="Q573" s="2779"/>
      <c r="R573" s="2779"/>
      <c r="S573" s="2779"/>
      <c r="T573" s="2779"/>
      <c r="U573" s="2751">
        <f t="shared" si="142"/>
        <v>0</v>
      </c>
    </row>
    <row r="574" spans="1:30" ht="13.5" hidden="1" thickBot="1" x14ac:dyDescent="0.35">
      <c r="A574" s="2225"/>
      <c r="B574" s="2244" t="s">
        <v>1112</v>
      </c>
      <c r="C574" s="2226"/>
      <c r="D574" s="2227" t="s">
        <v>456</v>
      </c>
      <c r="E574" s="2227" t="s">
        <v>506</v>
      </c>
      <c r="F574" s="2227" t="s">
        <v>1104</v>
      </c>
      <c r="G574" s="2228" t="s">
        <v>1113</v>
      </c>
      <c r="H574" s="2761">
        <v>0</v>
      </c>
      <c r="I574" s="2847"/>
      <c r="J574" s="2848"/>
      <c r="K574" s="2779" t="e">
        <f>#REF!+K581+K583+K586</f>
        <v>#REF!</v>
      </c>
      <c r="L574" s="2779" t="e">
        <f>K574-3579.885</f>
        <v>#REF!</v>
      </c>
      <c r="M574" s="2779"/>
      <c r="N574" s="2761">
        <v>0</v>
      </c>
      <c r="O574" s="2779"/>
      <c r="P574" s="2779"/>
      <c r="Q574" s="2779"/>
      <c r="R574" s="2779"/>
      <c r="S574" s="2779"/>
      <c r="T574" s="2779"/>
      <c r="U574" s="2761">
        <v>0</v>
      </c>
    </row>
    <row r="575" spans="1:30" ht="13.5" thickBot="1" x14ac:dyDescent="0.35">
      <c r="A575" s="2379"/>
      <c r="B575" s="2383" t="s">
        <v>1208</v>
      </c>
      <c r="C575" s="2380"/>
      <c r="D575" s="2381"/>
      <c r="E575" s="2381"/>
      <c r="F575" s="2381"/>
      <c r="G575" s="2381"/>
      <c r="H575" s="2849"/>
      <c r="I575" s="2850"/>
      <c r="J575" s="2851"/>
      <c r="K575" s="2851"/>
      <c r="L575" s="2851"/>
      <c r="M575" s="2851"/>
      <c r="N575" s="2850">
        <v>2677.2579999999998</v>
      </c>
      <c r="O575" s="2851"/>
      <c r="P575" s="2851"/>
      <c r="Q575" s="2851"/>
      <c r="R575" s="2851"/>
      <c r="S575" s="2851"/>
      <c r="T575" s="2851"/>
      <c r="U575" s="2852">
        <v>5716.41</v>
      </c>
    </row>
    <row r="576" spans="1:30" ht="13.5" thickBot="1" x14ac:dyDescent="0.35">
      <c r="A576" s="2379"/>
      <c r="B576" s="2382" t="s">
        <v>1209</v>
      </c>
      <c r="C576" s="2380"/>
      <c r="D576" s="2381"/>
      <c r="E576" s="2381"/>
      <c r="F576" s="2381"/>
      <c r="G576" s="2381"/>
      <c r="H576" s="2853">
        <f>H24+H575</f>
        <v>125614.26163000002</v>
      </c>
      <c r="I576" s="2399"/>
      <c r="J576" s="2854"/>
      <c r="K576" s="2854"/>
      <c r="L576" s="2854"/>
      <c r="M576" s="2854"/>
      <c r="N576" s="2399">
        <f>N24+N575</f>
        <v>140451.20187999998</v>
      </c>
      <c r="O576" s="2854"/>
      <c r="P576" s="2854"/>
      <c r="Q576" s="2854"/>
      <c r="R576" s="2854"/>
      <c r="S576" s="2854"/>
      <c r="T576" s="2854"/>
      <c r="U576" s="2400">
        <f>U24+U575</f>
        <v>112666.04000000001</v>
      </c>
      <c r="AD576" s="237">
        <f>H576+N576+U576-H538-N538-U538-H100-N100-U100</f>
        <v>359771.00751000002</v>
      </c>
    </row>
  </sheetData>
  <mergeCells count="10">
    <mergeCell ref="H1:U1"/>
    <mergeCell ref="H2:U2"/>
    <mergeCell ref="H3:U3"/>
    <mergeCell ref="H4:U4"/>
    <mergeCell ref="H5:U5"/>
    <mergeCell ref="H11:U11"/>
    <mergeCell ref="B18:H18"/>
    <mergeCell ref="A19:U19"/>
    <mergeCell ref="A20:U20"/>
    <mergeCell ref="A21:U21"/>
  </mergeCells>
  <pageMargins left="0.70866141732283472" right="0.23622047244094491" top="0.45" bottom="0.31496062992125984" header="0.31496062992125984" footer="0.15748031496062992"/>
  <pageSetup paperSize="9" scale="52" firstPageNumber="55" fitToHeight="4" orientation="portrait" useFirstPageNumber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92"/>
  <sheetViews>
    <sheetView topLeftCell="B1" zoomScale="82" zoomScaleNormal="82" workbookViewId="0">
      <selection activeCell="P9" sqref="P9"/>
    </sheetView>
  </sheetViews>
  <sheetFormatPr defaultColWidth="9.1796875" defaultRowHeight="12.5" x14ac:dyDescent="0.25"/>
  <cols>
    <col min="1" max="1" width="7.26953125" style="553" hidden="1" customWidth="1"/>
    <col min="2" max="2" width="41.26953125" style="553" customWidth="1"/>
    <col min="3" max="3" width="11.7265625" style="553" hidden="1" customWidth="1"/>
    <col min="4" max="4" width="11" style="555" customWidth="1"/>
    <col min="5" max="5" width="10.81640625" style="555" customWidth="1"/>
    <col min="6" max="6" width="14" style="553" customWidth="1"/>
    <col min="7" max="7" width="9.1796875" style="553" customWidth="1"/>
    <col min="8" max="8" width="10.1796875" style="557" customWidth="1"/>
    <col min="9" max="10" width="9.1796875" style="553" hidden="1" customWidth="1"/>
    <col min="11" max="256" width="9.1796875" style="553"/>
    <col min="257" max="257" width="0" style="553" hidden="1" customWidth="1"/>
    <col min="258" max="258" width="41.26953125" style="553" customWidth="1"/>
    <col min="259" max="259" width="0" style="553" hidden="1" customWidth="1"/>
    <col min="260" max="260" width="11" style="553" customWidth="1"/>
    <col min="261" max="261" width="10.81640625" style="553" customWidth="1"/>
    <col min="262" max="262" width="14" style="553" customWidth="1"/>
    <col min="263" max="263" width="9.1796875" style="553" customWidth="1"/>
    <col min="264" max="264" width="10.1796875" style="553" customWidth="1"/>
    <col min="265" max="266" width="0" style="553" hidden="1" customWidth="1"/>
    <col min="267" max="512" width="9.1796875" style="553"/>
    <col min="513" max="513" width="0" style="553" hidden="1" customWidth="1"/>
    <col min="514" max="514" width="41.26953125" style="553" customWidth="1"/>
    <col min="515" max="515" width="0" style="553" hidden="1" customWidth="1"/>
    <col min="516" max="516" width="11" style="553" customWidth="1"/>
    <col min="517" max="517" width="10.81640625" style="553" customWidth="1"/>
    <col min="518" max="518" width="14" style="553" customWidth="1"/>
    <col min="519" max="519" width="9.1796875" style="553" customWidth="1"/>
    <col min="520" max="520" width="10.1796875" style="553" customWidth="1"/>
    <col min="521" max="522" width="0" style="553" hidden="1" customWidth="1"/>
    <col min="523" max="768" width="9.1796875" style="553"/>
    <col min="769" max="769" width="0" style="553" hidden="1" customWidth="1"/>
    <col min="770" max="770" width="41.26953125" style="553" customWidth="1"/>
    <col min="771" max="771" width="0" style="553" hidden="1" customWidth="1"/>
    <col min="772" max="772" width="11" style="553" customWidth="1"/>
    <col min="773" max="773" width="10.81640625" style="553" customWidth="1"/>
    <col min="774" max="774" width="14" style="553" customWidth="1"/>
    <col min="775" max="775" width="9.1796875" style="553" customWidth="1"/>
    <col min="776" max="776" width="10.1796875" style="553" customWidth="1"/>
    <col min="777" max="778" width="0" style="553" hidden="1" customWidth="1"/>
    <col min="779" max="1024" width="9.1796875" style="553"/>
    <col min="1025" max="1025" width="0" style="553" hidden="1" customWidth="1"/>
    <col min="1026" max="1026" width="41.26953125" style="553" customWidth="1"/>
    <col min="1027" max="1027" width="0" style="553" hidden="1" customWidth="1"/>
    <col min="1028" max="1028" width="11" style="553" customWidth="1"/>
    <col min="1029" max="1029" width="10.81640625" style="553" customWidth="1"/>
    <col min="1030" max="1030" width="14" style="553" customWidth="1"/>
    <col min="1031" max="1031" width="9.1796875" style="553" customWidth="1"/>
    <col min="1032" max="1032" width="10.1796875" style="553" customWidth="1"/>
    <col min="1033" max="1034" width="0" style="553" hidden="1" customWidth="1"/>
    <col min="1035" max="1280" width="9.1796875" style="553"/>
    <col min="1281" max="1281" width="0" style="553" hidden="1" customWidth="1"/>
    <col min="1282" max="1282" width="41.26953125" style="553" customWidth="1"/>
    <col min="1283" max="1283" width="0" style="553" hidden="1" customWidth="1"/>
    <col min="1284" max="1284" width="11" style="553" customWidth="1"/>
    <col min="1285" max="1285" width="10.81640625" style="553" customWidth="1"/>
    <col min="1286" max="1286" width="14" style="553" customWidth="1"/>
    <col min="1287" max="1287" width="9.1796875" style="553" customWidth="1"/>
    <col min="1288" max="1288" width="10.1796875" style="553" customWidth="1"/>
    <col min="1289" max="1290" width="0" style="553" hidden="1" customWidth="1"/>
    <col min="1291" max="1536" width="9.1796875" style="553"/>
    <col min="1537" max="1537" width="0" style="553" hidden="1" customWidth="1"/>
    <col min="1538" max="1538" width="41.26953125" style="553" customWidth="1"/>
    <col min="1539" max="1539" width="0" style="553" hidden="1" customWidth="1"/>
    <col min="1540" max="1540" width="11" style="553" customWidth="1"/>
    <col min="1541" max="1541" width="10.81640625" style="553" customWidth="1"/>
    <col min="1542" max="1542" width="14" style="553" customWidth="1"/>
    <col min="1543" max="1543" width="9.1796875" style="553" customWidth="1"/>
    <col min="1544" max="1544" width="10.1796875" style="553" customWidth="1"/>
    <col min="1545" max="1546" width="0" style="553" hidden="1" customWidth="1"/>
    <col min="1547" max="1792" width="9.1796875" style="553"/>
    <col min="1793" max="1793" width="0" style="553" hidden="1" customWidth="1"/>
    <col min="1794" max="1794" width="41.26953125" style="553" customWidth="1"/>
    <col min="1795" max="1795" width="0" style="553" hidden="1" customWidth="1"/>
    <col min="1796" max="1796" width="11" style="553" customWidth="1"/>
    <col min="1797" max="1797" width="10.81640625" style="553" customWidth="1"/>
    <col min="1798" max="1798" width="14" style="553" customWidth="1"/>
    <col min="1799" max="1799" width="9.1796875" style="553" customWidth="1"/>
    <col min="1800" max="1800" width="10.1796875" style="553" customWidth="1"/>
    <col min="1801" max="1802" width="0" style="553" hidden="1" customWidth="1"/>
    <col min="1803" max="2048" width="9.1796875" style="553"/>
    <col min="2049" max="2049" width="0" style="553" hidden="1" customWidth="1"/>
    <col min="2050" max="2050" width="41.26953125" style="553" customWidth="1"/>
    <col min="2051" max="2051" width="0" style="553" hidden="1" customWidth="1"/>
    <col min="2052" max="2052" width="11" style="553" customWidth="1"/>
    <col min="2053" max="2053" width="10.81640625" style="553" customWidth="1"/>
    <col min="2054" max="2054" width="14" style="553" customWidth="1"/>
    <col min="2055" max="2055" width="9.1796875" style="553" customWidth="1"/>
    <col min="2056" max="2056" width="10.1796875" style="553" customWidth="1"/>
    <col min="2057" max="2058" width="0" style="553" hidden="1" customWidth="1"/>
    <col min="2059" max="2304" width="9.1796875" style="553"/>
    <col min="2305" max="2305" width="0" style="553" hidden="1" customWidth="1"/>
    <col min="2306" max="2306" width="41.26953125" style="553" customWidth="1"/>
    <col min="2307" max="2307" width="0" style="553" hidden="1" customWidth="1"/>
    <col min="2308" max="2308" width="11" style="553" customWidth="1"/>
    <col min="2309" max="2309" width="10.81640625" style="553" customWidth="1"/>
    <col min="2310" max="2310" width="14" style="553" customWidth="1"/>
    <col min="2311" max="2311" width="9.1796875" style="553" customWidth="1"/>
    <col min="2312" max="2312" width="10.1796875" style="553" customWidth="1"/>
    <col min="2313" max="2314" width="0" style="553" hidden="1" customWidth="1"/>
    <col min="2315" max="2560" width="9.1796875" style="553"/>
    <col min="2561" max="2561" width="0" style="553" hidden="1" customWidth="1"/>
    <col min="2562" max="2562" width="41.26953125" style="553" customWidth="1"/>
    <col min="2563" max="2563" width="0" style="553" hidden="1" customWidth="1"/>
    <col min="2564" max="2564" width="11" style="553" customWidth="1"/>
    <col min="2565" max="2565" width="10.81640625" style="553" customWidth="1"/>
    <col min="2566" max="2566" width="14" style="553" customWidth="1"/>
    <col min="2567" max="2567" width="9.1796875" style="553" customWidth="1"/>
    <col min="2568" max="2568" width="10.1796875" style="553" customWidth="1"/>
    <col min="2569" max="2570" width="0" style="553" hidden="1" customWidth="1"/>
    <col min="2571" max="2816" width="9.1796875" style="553"/>
    <col min="2817" max="2817" width="0" style="553" hidden="1" customWidth="1"/>
    <col min="2818" max="2818" width="41.26953125" style="553" customWidth="1"/>
    <col min="2819" max="2819" width="0" style="553" hidden="1" customWidth="1"/>
    <col min="2820" max="2820" width="11" style="553" customWidth="1"/>
    <col min="2821" max="2821" width="10.81640625" style="553" customWidth="1"/>
    <col min="2822" max="2822" width="14" style="553" customWidth="1"/>
    <col min="2823" max="2823" width="9.1796875" style="553" customWidth="1"/>
    <col min="2824" max="2824" width="10.1796875" style="553" customWidth="1"/>
    <col min="2825" max="2826" width="0" style="553" hidden="1" customWidth="1"/>
    <col min="2827" max="3072" width="9.1796875" style="553"/>
    <col min="3073" max="3073" width="0" style="553" hidden="1" customWidth="1"/>
    <col min="3074" max="3074" width="41.26953125" style="553" customWidth="1"/>
    <col min="3075" max="3075" width="0" style="553" hidden="1" customWidth="1"/>
    <col min="3076" max="3076" width="11" style="553" customWidth="1"/>
    <col min="3077" max="3077" width="10.81640625" style="553" customWidth="1"/>
    <col min="3078" max="3078" width="14" style="553" customWidth="1"/>
    <col min="3079" max="3079" width="9.1796875" style="553" customWidth="1"/>
    <col min="3080" max="3080" width="10.1796875" style="553" customWidth="1"/>
    <col min="3081" max="3082" width="0" style="553" hidden="1" customWidth="1"/>
    <col min="3083" max="3328" width="9.1796875" style="553"/>
    <col min="3329" max="3329" width="0" style="553" hidden="1" customWidth="1"/>
    <col min="3330" max="3330" width="41.26953125" style="553" customWidth="1"/>
    <col min="3331" max="3331" width="0" style="553" hidden="1" customWidth="1"/>
    <col min="3332" max="3332" width="11" style="553" customWidth="1"/>
    <col min="3333" max="3333" width="10.81640625" style="553" customWidth="1"/>
    <col min="3334" max="3334" width="14" style="553" customWidth="1"/>
    <col min="3335" max="3335" width="9.1796875" style="553" customWidth="1"/>
    <col min="3336" max="3336" width="10.1796875" style="553" customWidth="1"/>
    <col min="3337" max="3338" width="0" style="553" hidden="1" customWidth="1"/>
    <col min="3339" max="3584" width="9.1796875" style="553"/>
    <col min="3585" max="3585" width="0" style="553" hidden="1" customWidth="1"/>
    <col min="3586" max="3586" width="41.26953125" style="553" customWidth="1"/>
    <col min="3587" max="3587" width="0" style="553" hidden="1" customWidth="1"/>
    <col min="3588" max="3588" width="11" style="553" customWidth="1"/>
    <col min="3589" max="3589" width="10.81640625" style="553" customWidth="1"/>
    <col min="3590" max="3590" width="14" style="553" customWidth="1"/>
    <col min="3591" max="3591" width="9.1796875" style="553" customWidth="1"/>
    <col min="3592" max="3592" width="10.1796875" style="553" customWidth="1"/>
    <col min="3593" max="3594" width="0" style="553" hidden="1" customWidth="1"/>
    <col min="3595" max="3840" width="9.1796875" style="553"/>
    <col min="3841" max="3841" width="0" style="553" hidden="1" customWidth="1"/>
    <col min="3842" max="3842" width="41.26953125" style="553" customWidth="1"/>
    <col min="3843" max="3843" width="0" style="553" hidden="1" customWidth="1"/>
    <col min="3844" max="3844" width="11" style="553" customWidth="1"/>
    <col min="3845" max="3845" width="10.81640625" style="553" customWidth="1"/>
    <col min="3846" max="3846" width="14" style="553" customWidth="1"/>
    <col min="3847" max="3847" width="9.1796875" style="553" customWidth="1"/>
    <col min="3848" max="3848" width="10.1796875" style="553" customWidth="1"/>
    <col min="3849" max="3850" width="0" style="553" hidden="1" customWidth="1"/>
    <col min="3851" max="4096" width="9.1796875" style="553"/>
    <col min="4097" max="4097" width="0" style="553" hidden="1" customWidth="1"/>
    <col min="4098" max="4098" width="41.26953125" style="553" customWidth="1"/>
    <col min="4099" max="4099" width="0" style="553" hidden="1" customWidth="1"/>
    <col min="4100" max="4100" width="11" style="553" customWidth="1"/>
    <col min="4101" max="4101" width="10.81640625" style="553" customWidth="1"/>
    <col min="4102" max="4102" width="14" style="553" customWidth="1"/>
    <col min="4103" max="4103" width="9.1796875" style="553" customWidth="1"/>
    <col min="4104" max="4104" width="10.1796875" style="553" customWidth="1"/>
    <col min="4105" max="4106" width="0" style="553" hidden="1" customWidth="1"/>
    <col min="4107" max="4352" width="9.1796875" style="553"/>
    <col min="4353" max="4353" width="0" style="553" hidden="1" customWidth="1"/>
    <col min="4354" max="4354" width="41.26953125" style="553" customWidth="1"/>
    <col min="4355" max="4355" width="0" style="553" hidden="1" customWidth="1"/>
    <col min="4356" max="4356" width="11" style="553" customWidth="1"/>
    <col min="4357" max="4357" width="10.81640625" style="553" customWidth="1"/>
    <col min="4358" max="4358" width="14" style="553" customWidth="1"/>
    <col min="4359" max="4359" width="9.1796875" style="553" customWidth="1"/>
    <col min="4360" max="4360" width="10.1796875" style="553" customWidth="1"/>
    <col min="4361" max="4362" width="0" style="553" hidden="1" customWidth="1"/>
    <col min="4363" max="4608" width="9.1796875" style="553"/>
    <col min="4609" max="4609" width="0" style="553" hidden="1" customWidth="1"/>
    <col min="4610" max="4610" width="41.26953125" style="553" customWidth="1"/>
    <col min="4611" max="4611" width="0" style="553" hidden="1" customWidth="1"/>
    <col min="4612" max="4612" width="11" style="553" customWidth="1"/>
    <col min="4613" max="4613" width="10.81640625" style="553" customWidth="1"/>
    <col min="4614" max="4614" width="14" style="553" customWidth="1"/>
    <col min="4615" max="4615" width="9.1796875" style="553" customWidth="1"/>
    <col min="4616" max="4616" width="10.1796875" style="553" customWidth="1"/>
    <col min="4617" max="4618" width="0" style="553" hidden="1" customWidth="1"/>
    <col min="4619" max="4864" width="9.1796875" style="553"/>
    <col min="4865" max="4865" width="0" style="553" hidden="1" customWidth="1"/>
    <col min="4866" max="4866" width="41.26953125" style="553" customWidth="1"/>
    <col min="4867" max="4867" width="0" style="553" hidden="1" customWidth="1"/>
    <col min="4868" max="4868" width="11" style="553" customWidth="1"/>
    <col min="4869" max="4869" width="10.81640625" style="553" customWidth="1"/>
    <col min="4870" max="4870" width="14" style="553" customWidth="1"/>
    <col min="4871" max="4871" width="9.1796875" style="553" customWidth="1"/>
    <col min="4872" max="4872" width="10.1796875" style="553" customWidth="1"/>
    <col min="4873" max="4874" width="0" style="553" hidden="1" customWidth="1"/>
    <col min="4875" max="5120" width="9.1796875" style="553"/>
    <col min="5121" max="5121" width="0" style="553" hidden="1" customWidth="1"/>
    <col min="5122" max="5122" width="41.26953125" style="553" customWidth="1"/>
    <col min="5123" max="5123" width="0" style="553" hidden="1" customWidth="1"/>
    <col min="5124" max="5124" width="11" style="553" customWidth="1"/>
    <col min="5125" max="5125" width="10.81640625" style="553" customWidth="1"/>
    <col min="5126" max="5126" width="14" style="553" customWidth="1"/>
    <col min="5127" max="5127" width="9.1796875" style="553" customWidth="1"/>
    <col min="5128" max="5128" width="10.1796875" style="553" customWidth="1"/>
    <col min="5129" max="5130" width="0" style="553" hidden="1" customWidth="1"/>
    <col min="5131" max="5376" width="9.1796875" style="553"/>
    <col min="5377" max="5377" width="0" style="553" hidden="1" customWidth="1"/>
    <col min="5378" max="5378" width="41.26953125" style="553" customWidth="1"/>
    <col min="5379" max="5379" width="0" style="553" hidden="1" customWidth="1"/>
    <col min="5380" max="5380" width="11" style="553" customWidth="1"/>
    <col min="5381" max="5381" width="10.81640625" style="553" customWidth="1"/>
    <col min="5382" max="5382" width="14" style="553" customWidth="1"/>
    <col min="5383" max="5383" width="9.1796875" style="553" customWidth="1"/>
    <col min="5384" max="5384" width="10.1796875" style="553" customWidth="1"/>
    <col min="5385" max="5386" width="0" style="553" hidden="1" customWidth="1"/>
    <col min="5387" max="5632" width="9.1796875" style="553"/>
    <col min="5633" max="5633" width="0" style="553" hidden="1" customWidth="1"/>
    <col min="5634" max="5634" width="41.26953125" style="553" customWidth="1"/>
    <col min="5635" max="5635" width="0" style="553" hidden="1" customWidth="1"/>
    <col min="5636" max="5636" width="11" style="553" customWidth="1"/>
    <col min="5637" max="5637" width="10.81640625" style="553" customWidth="1"/>
    <col min="5638" max="5638" width="14" style="553" customWidth="1"/>
    <col min="5639" max="5639" width="9.1796875" style="553" customWidth="1"/>
    <col min="5640" max="5640" width="10.1796875" style="553" customWidth="1"/>
    <col min="5641" max="5642" width="0" style="553" hidden="1" customWidth="1"/>
    <col min="5643" max="5888" width="9.1796875" style="553"/>
    <col min="5889" max="5889" width="0" style="553" hidden="1" customWidth="1"/>
    <col min="5890" max="5890" width="41.26953125" style="553" customWidth="1"/>
    <col min="5891" max="5891" width="0" style="553" hidden="1" customWidth="1"/>
    <col min="5892" max="5892" width="11" style="553" customWidth="1"/>
    <col min="5893" max="5893" width="10.81640625" style="553" customWidth="1"/>
    <col min="5894" max="5894" width="14" style="553" customWidth="1"/>
    <col min="5895" max="5895" width="9.1796875" style="553" customWidth="1"/>
    <col min="5896" max="5896" width="10.1796875" style="553" customWidth="1"/>
    <col min="5897" max="5898" width="0" style="553" hidden="1" customWidth="1"/>
    <col min="5899" max="6144" width="9.1796875" style="553"/>
    <col min="6145" max="6145" width="0" style="553" hidden="1" customWidth="1"/>
    <col min="6146" max="6146" width="41.26953125" style="553" customWidth="1"/>
    <col min="6147" max="6147" width="0" style="553" hidden="1" customWidth="1"/>
    <col min="6148" max="6148" width="11" style="553" customWidth="1"/>
    <col min="6149" max="6149" width="10.81640625" style="553" customWidth="1"/>
    <col min="6150" max="6150" width="14" style="553" customWidth="1"/>
    <col min="6151" max="6151" width="9.1796875" style="553" customWidth="1"/>
    <col min="6152" max="6152" width="10.1796875" style="553" customWidth="1"/>
    <col min="6153" max="6154" width="0" style="553" hidden="1" customWidth="1"/>
    <col min="6155" max="6400" width="9.1796875" style="553"/>
    <col min="6401" max="6401" width="0" style="553" hidden="1" customWidth="1"/>
    <col min="6402" max="6402" width="41.26953125" style="553" customWidth="1"/>
    <col min="6403" max="6403" width="0" style="553" hidden="1" customWidth="1"/>
    <col min="6404" max="6404" width="11" style="553" customWidth="1"/>
    <col min="6405" max="6405" width="10.81640625" style="553" customWidth="1"/>
    <col min="6406" max="6406" width="14" style="553" customWidth="1"/>
    <col min="6407" max="6407" width="9.1796875" style="553" customWidth="1"/>
    <col min="6408" max="6408" width="10.1796875" style="553" customWidth="1"/>
    <col min="6409" max="6410" width="0" style="553" hidden="1" customWidth="1"/>
    <col min="6411" max="6656" width="9.1796875" style="553"/>
    <col min="6657" max="6657" width="0" style="553" hidden="1" customWidth="1"/>
    <col min="6658" max="6658" width="41.26953125" style="553" customWidth="1"/>
    <col min="6659" max="6659" width="0" style="553" hidden="1" customWidth="1"/>
    <col min="6660" max="6660" width="11" style="553" customWidth="1"/>
    <col min="6661" max="6661" width="10.81640625" style="553" customWidth="1"/>
    <col min="6662" max="6662" width="14" style="553" customWidth="1"/>
    <col min="6663" max="6663" width="9.1796875" style="553" customWidth="1"/>
    <col min="6664" max="6664" width="10.1796875" style="553" customWidth="1"/>
    <col min="6665" max="6666" width="0" style="553" hidden="1" customWidth="1"/>
    <col min="6667" max="6912" width="9.1796875" style="553"/>
    <col min="6913" max="6913" width="0" style="553" hidden="1" customWidth="1"/>
    <col min="6914" max="6914" width="41.26953125" style="553" customWidth="1"/>
    <col min="6915" max="6915" width="0" style="553" hidden="1" customWidth="1"/>
    <col min="6916" max="6916" width="11" style="553" customWidth="1"/>
    <col min="6917" max="6917" width="10.81640625" style="553" customWidth="1"/>
    <col min="6918" max="6918" width="14" style="553" customWidth="1"/>
    <col min="6919" max="6919" width="9.1796875" style="553" customWidth="1"/>
    <col min="6920" max="6920" width="10.1796875" style="553" customWidth="1"/>
    <col min="6921" max="6922" width="0" style="553" hidden="1" customWidth="1"/>
    <col min="6923" max="7168" width="9.1796875" style="553"/>
    <col min="7169" max="7169" width="0" style="553" hidden="1" customWidth="1"/>
    <col min="7170" max="7170" width="41.26953125" style="553" customWidth="1"/>
    <col min="7171" max="7171" width="0" style="553" hidden="1" customWidth="1"/>
    <col min="7172" max="7172" width="11" style="553" customWidth="1"/>
    <col min="7173" max="7173" width="10.81640625" style="553" customWidth="1"/>
    <col min="7174" max="7174" width="14" style="553" customWidth="1"/>
    <col min="7175" max="7175" width="9.1796875" style="553" customWidth="1"/>
    <col min="7176" max="7176" width="10.1796875" style="553" customWidth="1"/>
    <col min="7177" max="7178" width="0" style="553" hidden="1" customWidth="1"/>
    <col min="7179" max="7424" width="9.1796875" style="553"/>
    <col min="7425" max="7425" width="0" style="553" hidden="1" customWidth="1"/>
    <col min="7426" max="7426" width="41.26953125" style="553" customWidth="1"/>
    <col min="7427" max="7427" width="0" style="553" hidden="1" customWidth="1"/>
    <col min="7428" max="7428" width="11" style="553" customWidth="1"/>
    <col min="7429" max="7429" width="10.81640625" style="553" customWidth="1"/>
    <col min="7430" max="7430" width="14" style="553" customWidth="1"/>
    <col min="7431" max="7431" width="9.1796875" style="553" customWidth="1"/>
    <col min="7432" max="7432" width="10.1796875" style="553" customWidth="1"/>
    <col min="7433" max="7434" width="0" style="553" hidden="1" customWidth="1"/>
    <col min="7435" max="7680" width="9.1796875" style="553"/>
    <col min="7681" max="7681" width="0" style="553" hidden="1" customWidth="1"/>
    <col min="7682" max="7682" width="41.26953125" style="553" customWidth="1"/>
    <col min="7683" max="7683" width="0" style="553" hidden="1" customWidth="1"/>
    <col min="7684" max="7684" width="11" style="553" customWidth="1"/>
    <col min="7685" max="7685" width="10.81640625" style="553" customWidth="1"/>
    <col min="7686" max="7686" width="14" style="553" customWidth="1"/>
    <col min="7687" max="7687" width="9.1796875" style="553" customWidth="1"/>
    <col min="7688" max="7688" width="10.1796875" style="553" customWidth="1"/>
    <col min="7689" max="7690" width="0" style="553" hidden="1" customWidth="1"/>
    <col min="7691" max="7936" width="9.1796875" style="553"/>
    <col min="7937" max="7937" width="0" style="553" hidden="1" customWidth="1"/>
    <col min="7938" max="7938" width="41.26953125" style="553" customWidth="1"/>
    <col min="7939" max="7939" width="0" style="553" hidden="1" customWidth="1"/>
    <col min="7940" max="7940" width="11" style="553" customWidth="1"/>
    <col min="7941" max="7941" width="10.81640625" style="553" customWidth="1"/>
    <col min="7942" max="7942" width="14" style="553" customWidth="1"/>
    <col min="7943" max="7943" width="9.1796875" style="553" customWidth="1"/>
    <col min="7944" max="7944" width="10.1796875" style="553" customWidth="1"/>
    <col min="7945" max="7946" width="0" style="553" hidden="1" customWidth="1"/>
    <col min="7947" max="8192" width="9.1796875" style="553"/>
    <col min="8193" max="8193" width="0" style="553" hidden="1" customWidth="1"/>
    <col min="8194" max="8194" width="41.26953125" style="553" customWidth="1"/>
    <col min="8195" max="8195" width="0" style="553" hidden="1" customWidth="1"/>
    <col min="8196" max="8196" width="11" style="553" customWidth="1"/>
    <col min="8197" max="8197" width="10.81640625" style="553" customWidth="1"/>
    <col min="8198" max="8198" width="14" style="553" customWidth="1"/>
    <col min="8199" max="8199" width="9.1796875" style="553" customWidth="1"/>
    <col min="8200" max="8200" width="10.1796875" style="553" customWidth="1"/>
    <col min="8201" max="8202" width="0" style="553" hidden="1" customWidth="1"/>
    <col min="8203" max="8448" width="9.1796875" style="553"/>
    <col min="8449" max="8449" width="0" style="553" hidden="1" customWidth="1"/>
    <col min="8450" max="8450" width="41.26953125" style="553" customWidth="1"/>
    <col min="8451" max="8451" width="0" style="553" hidden="1" customWidth="1"/>
    <col min="8452" max="8452" width="11" style="553" customWidth="1"/>
    <col min="8453" max="8453" width="10.81640625" style="553" customWidth="1"/>
    <col min="8454" max="8454" width="14" style="553" customWidth="1"/>
    <col min="8455" max="8455" width="9.1796875" style="553" customWidth="1"/>
    <col min="8456" max="8456" width="10.1796875" style="553" customWidth="1"/>
    <col min="8457" max="8458" width="0" style="553" hidden="1" customWidth="1"/>
    <col min="8459" max="8704" width="9.1796875" style="553"/>
    <col min="8705" max="8705" width="0" style="553" hidden="1" customWidth="1"/>
    <col min="8706" max="8706" width="41.26953125" style="553" customWidth="1"/>
    <col min="8707" max="8707" width="0" style="553" hidden="1" customWidth="1"/>
    <col min="8708" max="8708" width="11" style="553" customWidth="1"/>
    <col min="8709" max="8709" width="10.81640625" style="553" customWidth="1"/>
    <col min="8710" max="8710" width="14" style="553" customWidth="1"/>
    <col min="8711" max="8711" width="9.1796875" style="553" customWidth="1"/>
    <col min="8712" max="8712" width="10.1796875" style="553" customWidth="1"/>
    <col min="8713" max="8714" width="0" style="553" hidden="1" customWidth="1"/>
    <col min="8715" max="8960" width="9.1796875" style="553"/>
    <col min="8961" max="8961" width="0" style="553" hidden="1" customWidth="1"/>
    <col min="8962" max="8962" width="41.26953125" style="553" customWidth="1"/>
    <col min="8963" max="8963" width="0" style="553" hidden="1" customWidth="1"/>
    <col min="8964" max="8964" width="11" style="553" customWidth="1"/>
    <col min="8965" max="8965" width="10.81640625" style="553" customWidth="1"/>
    <col min="8966" max="8966" width="14" style="553" customWidth="1"/>
    <col min="8967" max="8967" width="9.1796875" style="553" customWidth="1"/>
    <col min="8968" max="8968" width="10.1796875" style="553" customWidth="1"/>
    <col min="8969" max="8970" width="0" style="553" hidden="1" customWidth="1"/>
    <col min="8971" max="9216" width="9.1796875" style="553"/>
    <col min="9217" max="9217" width="0" style="553" hidden="1" customWidth="1"/>
    <col min="9218" max="9218" width="41.26953125" style="553" customWidth="1"/>
    <col min="9219" max="9219" width="0" style="553" hidden="1" customWidth="1"/>
    <col min="9220" max="9220" width="11" style="553" customWidth="1"/>
    <col min="9221" max="9221" width="10.81640625" style="553" customWidth="1"/>
    <col min="9222" max="9222" width="14" style="553" customWidth="1"/>
    <col min="9223" max="9223" width="9.1796875" style="553" customWidth="1"/>
    <col min="9224" max="9224" width="10.1796875" style="553" customWidth="1"/>
    <col min="9225" max="9226" width="0" style="553" hidden="1" customWidth="1"/>
    <col min="9227" max="9472" width="9.1796875" style="553"/>
    <col min="9473" max="9473" width="0" style="553" hidden="1" customWidth="1"/>
    <col min="9474" max="9474" width="41.26953125" style="553" customWidth="1"/>
    <col min="9475" max="9475" width="0" style="553" hidden="1" customWidth="1"/>
    <col min="9476" max="9476" width="11" style="553" customWidth="1"/>
    <col min="9477" max="9477" width="10.81640625" style="553" customWidth="1"/>
    <col min="9478" max="9478" width="14" style="553" customWidth="1"/>
    <col min="9479" max="9479" width="9.1796875" style="553" customWidth="1"/>
    <col min="9480" max="9480" width="10.1796875" style="553" customWidth="1"/>
    <col min="9481" max="9482" width="0" style="553" hidden="1" customWidth="1"/>
    <col min="9483" max="9728" width="9.1796875" style="553"/>
    <col min="9729" max="9729" width="0" style="553" hidden="1" customWidth="1"/>
    <col min="9730" max="9730" width="41.26953125" style="553" customWidth="1"/>
    <col min="9731" max="9731" width="0" style="553" hidden="1" customWidth="1"/>
    <col min="9732" max="9732" width="11" style="553" customWidth="1"/>
    <col min="9733" max="9733" width="10.81640625" style="553" customWidth="1"/>
    <col min="9734" max="9734" width="14" style="553" customWidth="1"/>
    <col min="9735" max="9735" width="9.1796875" style="553" customWidth="1"/>
    <col min="9736" max="9736" width="10.1796875" style="553" customWidth="1"/>
    <col min="9737" max="9738" width="0" style="553" hidden="1" customWidth="1"/>
    <col min="9739" max="9984" width="9.1796875" style="553"/>
    <col min="9985" max="9985" width="0" style="553" hidden="1" customWidth="1"/>
    <col min="9986" max="9986" width="41.26953125" style="553" customWidth="1"/>
    <col min="9987" max="9987" width="0" style="553" hidden="1" customWidth="1"/>
    <col min="9988" max="9988" width="11" style="553" customWidth="1"/>
    <col min="9989" max="9989" width="10.81640625" style="553" customWidth="1"/>
    <col min="9990" max="9990" width="14" style="553" customWidth="1"/>
    <col min="9991" max="9991" width="9.1796875" style="553" customWidth="1"/>
    <col min="9992" max="9992" width="10.1796875" style="553" customWidth="1"/>
    <col min="9993" max="9994" width="0" style="553" hidden="1" customWidth="1"/>
    <col min="9995" max="10240" width="9.1796875" style="553"/>
    <col min="10241" max="10241" width="0" style="553" hidden="1" customWidth="1"/>
    <col min="10242" max="10242" width="41.26953125" style="553" customWidth="1"/>
    <col min="10243" max="10243" width="0" style="553" hidden="1" customWidth="1"/>
    <col min="10244" max="10244" width="11" style="553" customWidth="1"/>
    <col min="10245" max="10245" width="10.81640625" style="553" customWidth="1"/>
    <col min="10246" max="10246" width="14" style="553" customWidth="1"/>
    <col min="10247" max="10247" width="9.1796875" style="553" customWidth="1"/>
    <col min="10248" max="10248" width="10.1796875" style="553" customWidth="1"/>
    <col min="10249" max="10250" width="0" style="553" hidden="1" customWidth="1"/>
    <col min="10251" max="10496" width="9.1796875" style="553"/>
    <col min="10497" max="10497" width="0" style="553" hidden="1" customWidth="1"/>
    <col min="10498" max="10498" width="41.26953125" style="553" customWidth="1"/>
    <col min="10499" max="10499" width="0" style="553" hidden="1" customWidth="1"/>
    <col min="10500" max="10500" width="11" style="553" customWidth="1"/>
    <col min="10501" max="10501" width="10.81640625" style="553" customWidth="1"/>
    <col min="10502" max="10502" width="14" style="553" customWidth="1"/>
    <col min="10503" max="10503" width="9.1796875" style="553" customWidth="1"/>
    <col min="10504" max="10504" width="10.1796875" style="553" customWidth="1"/>
    <col min="10505" max="10506" width="0" style="553" hidden="1" customWidth="1"/>
    <col min="10507" max="10752" width="9.1796875" style="553"/>
    <col min="10753" max="10753" width="0" style="553" hidden="1" customWidth="1"/>
    <col min="10754" max="10754" width="41.26953125" style="553" customWidth="1"/>
    <col min="10755" max="10755" width="0" style="553" hidden="1" customWidth="1"/>
    <col min="10756" max="10756" width="11" style="553" customWidth="1"/>
    <col min="10757" max="10757" width="10.81640625" style="553" customWidth="1"/>
    <col min="10758" max="10758" width="14" style="553" customWidth="1"/>
    <col min="10759" max="10759" width="9.1796875" style="553" customWidth="1"/>
    <col min="10760" max="10760" width="10.1796875" style="553" customWidth="1"/>
    <col min="10761" max="10762" width="0" style="553" hidden="1" customWidth="1"/>
    <col min="10763" max="11008" width="9.1796875" style="553"/>
    <col min="11009" max="11009" width="0" style="553" hidden="1" customWidth="1"/>
    <col min="11010" max="11010" width="41.26953125" style="553" customWidth="1"/>
    <col min="11011" max="11011" width="0" style="553" hidden="1" customWidth="1"/>
    <col min="11012" max="11012" width="11" style="553" customWidth="1"/>
    <col min="11013" max="11013" width="10.81640625" style="553" customWidth="1"/>
    <col min="11014" max="11014" width="14" style="553" customWidth="1"/>
    <col min="11015" max="11015" width="9.1796875" style="553" customWidth="1"/>
    <col min="11016" max="11016" width="10.1796875" style="553" customWidth="1"/>
    <col min="11017" max="11018" width="0" style="553" hidden="1" customWidth="1"/>
    <col min="11019" max="11264" width="9.1796875" style="553"/>
    <col min="11265" max="11265" width="0" style="553" hidden="1" customWidth="1"/>
    <col min="11266" max="11266" width="41.26953125" style="553" customWidth="1"/>
    <col min="11267" max="11267" width="0" style="553" hidden="1" customWidth="1"/>
    <col min="11268" max="11268" width="11" style="553" customWidth="1"/>
    <col min="11269" max="11269" width="10.81640625" style="553" customWidth="1"/>
    <col min="11270" max="11270" width="14" style="553" customWidth="1"/>
    <col min="11271" max="11271" width="9.1796875" style="553" customWidth="1"/>
    <col min="11272" max="11272" width="10.1796875" style="553" customWidth="1"/>
    <col min="11273" max="11274" width="0" style="553" hidden="1" customWidth="1"/>
    <col min="11275" max="11520" width="9.1796875" style="553"/>
    <col min="11521" max="11521" width="0" style="553" hidden="1" customWidth="1"/>
    <col min="11522" max="11522" width="41.26953125" style="553" customWidth="1"/>
    <col min="11523" max="11523" width="0" style="553" hidden="1" customWidth="1"/>
    <col min="11524" max="11524" width="11" style="553" customWidth="1"/>
    <col min="11525" max="11525" width="10.81640625" style="553" customWidth="1"/>
    <col min="11526" max="11526" width="14" style="553" customWidth="1"/>
    <col min="11527" max="11527" width="9.1796875" style="553" customWidth="1"/>
    <col min="11528" max="11528" width="10.1796875" style="553" customWidth="1"/>
    <col min="11529" max="11530" width="0" style="553" hidden="1" customWidth="1"/>
    <col min="11531" max="11776" width="9.1796875" style="553"/>
    <col min="11777" max="11777" width="0" style="553" hidden="1" customWidth="1"/>
    <col min="11778" max="11778" width="41.26953125" style="553" customWidth="1"/>
    <col min="11779" max="11779" width="0" style="553" hidden="1" customWidth="1"/>
    <col min="11780" max="11780" width="11" style="553" customWidth="1"/>
    <col min="11781" max="11781" width="10.81640625" style="553" customWidth="1"/>
    <col min="11782" max="11782" width="14" style="553" customWidth="1"/>
    <col min="11783" max="11783" width="9.1796875" style="553" customWidth="1"/>
    <col min="11784" max="11784" width="10.1796875" style="553" customWidth="1"/>
    <col min="11785" max="11786" width="0" style="553" hidden="1" customWidth="1"/>
    <col min="11787" max="12032" width="9.1796875" style="553"/>
    <col min="12033" max="12033" width="0" style="553" hidden="1" customWidth="1"/>
    <col min="12034" max="12034" width="41.26953125" style="553" customWidth="1"/>
    <col min="12035" max="12035" width="0" style="553" hidden="1" customWidth="1"/>
    <col min="12036" max="12036" width="11" style="553" customWidth="1"/>
    <col min="12037" max="12037" width="10.81640625" style="553" customWidth="1"/>
    <col min="12038" max="12038" width="14" style="553" customWidth="1"/>
    <col min="12039" max="12039" width="9.1796875" style="553" customWidth="1"/>
    <col min="12040" max="12040" width="10.1796875" style="553" customWidth="1"/>
    <col min="12041" max="12042" width="0" style="553" hidden="1" customWidth="1"/>
    <col min="12043" max="12288" width="9.1796875" style="553"/>
    <col min="12289" max="12289" width="0" style="553" hidden="1" customWidth="1"/>
    <col min="12290" max="12290" width="41.26953125" style="553" customWidth="1"/>
    <col min="12291" max="12291" width="0" style="553" hidden="1" customWidth="1"/>
    <col min="12292" max="12292" width="11" style="553" customWidth="1"/>
    <col min="12293" max="12293" width="10.81640625" style="553" customWidth="1"/>
    <col min="12294" max="12294" width="14" style="553" customWidth="1"/>
    <col min="12295" max="12295" width="9.1796875" style="553" customWidth="1"/>
    <col min="12296" max="12296" width="10.1796875" style="553" customWidth="1"/>
    <col min="12297" max="12298" width="0" style="553" hidden="1" customWidth="1"/>
    <col min="12299" max="12544" width="9.1796875" style="553"/>
    <col min="12545" max="12545" width="0" style="553" hidden="1" customWidth="1"/>
    <col min="12546" max="12546" width="41.26953125" style="553" customWidth="1"/>
    <col min="12547" max="12547" width="0" style="553" hidden="1" customWidth="1"/>
    <col min="12548" max="12548" width="11" style="553" customWidth="1"/>
    <col min="12549" max="12549" width="10.81640625" style="553" customWidth="1"/>
    <col min="12550" max="12550" width="14" style="553" customWidth="1"/>
    <col min="12551" max="12551" width="9.1796875" style="553" customWidth="1"/>
    <col min="12552" max="12552" width="10.1796875" style="553" customWidth="1"/>
    <col min="12553" max="12554" width="0" style="553" hidden="1" customWidth="1"/>
    <col min="12555" max="12800" width="9.1796875" style="553"/>
    <col min="12801" max="12801" width="0" style="553" hidden="1" customWidth="1"/>
    <col min="12802" max="12802" width="41.26953125" style="553" customWidth="1"/>
    <col min="12803" max="12803" width="0" style="553" hidden="1" customWidth="1"/>
    <col min="12804" max="12804" width="11" style="553" customWidth="1"/>
    <col min="12805" max="12805" width="10.81640625" style="553" customWidth="1"/>
    <col min="12806" max="12806" width="14" style="553" customWidth="1"/>
    <col min="12807" max="12807" width="9.1796875" style="553" customWidth="1"/>
    <col min="12808" max="12808" width="10.1796875" style="553" customWidth="1"/>
    <col min="12809" max="12810" width="0" style="553" hidden="1" customWidth="1"/>
    <col min="12811" max="13056" width="9.1796875" style="553"/>
    <col min="13057" max="13057" width="0" style="553" hidden="1" customWidth="1"/>
    <col min="13058" max="13058" width="41.26953125" style="553" customWidth="1"/>
    <col min="13059" max="13059" width="0" style="553" hidden="1" customWidth="1"/>
    <col min="13060" max="13060" width="11" style="553" customWidth="1"/>
    <col min="13061" max="13061" width="10.81640625" style="553" customWidth="1"/>
    <col min="13062" max="13062" width="14" style="553" customWidth="1"/>
    <col min="13063" max="13063" width="9.1796875" style="553" customWidth="1"/>
    <col min="13064" max="13064" width="10.1796875" style="553" customWidth="1"/>
    <col min="13065" max="13066" width="0" style="553" hidden="1" customWidth="1"/>
    <col min="13067" max="13312" width="9.1796875" style="553"/>
    <col min="13313" max="13313" width="0" style="553" hidden="1" customWidth="1"/>
    <col min="13314" max="13314" width="41.26953125" style="553" customWidth="1"/>
    <col min="13315" max="13315" width="0" style="553" hidden="1" customWidth="1"/>
    <col min="13316" max="13316" width="11" style="553" customWidth="1"/>
    <col min="13317" max="13317" width="10.81640625" style="553" customWidth="1"/>
    <col min="13318" max="13318" width="14" style="553" customWidth="1"/>
    <col min="13319" max="13319" width="9.1796875" style="553" customWidth="1"/>
    <col min="13320" max="13320" width="10.1796875" style="553" customWidth="1"/>
    <col min="13321" max="13322" width="0" style="553" hidden="1" customWidth="1"/>
    <col min="13323" max="13568" width="9.1796875" style="553"/>
    <col min="13569" max="13569" width="0" style="553" hidden="1" customWidth="1"/>
    <col min="13570" max="13570" width="41.26953125" style="553" customWidth="1"/>
    <col min="13571" max="13571" width="0" style="553" hidden="1" customWidth="1"/>
    <col min="13572" max="13572" width="11" style="553" customWidth="1"/>
    <col min="13573" max="13573" width="10.81640625" style="553" customWidth="1"/>
    <col min="13574" max="13574" width="14" style="553" customWidth="1"/>
    <col min="13575" max="13575" width="9.1796875" style="553" customWidth="1"/>
    <col min="13576" max="13576" width="10.1796875" style="553" customWidth="1"/>
    <col min="13577" max="13578" width="0" style="553" hidden="1" customWidth="1"/>
    <col min="13579" max="13824" width="9.1796875" style="553"/>
    <col min="13825" max="13825" width="0" style="553" hidden="1" customWidth="1"/>
    <col min="13826" max="13826" width="41.26953125" style="553" customWidth="1"/>
    <col min="13827" max="13827" width="0" style="553" hidden="1" customWidth="1"/>
    <col min="13828" max="13828" width="11" style="553" customWidth="1"/>
    <col min="13829" max="13829" width="10.81640625" style="553" customWidth="1"/>
    <col min="13830" max="13830" width="14" style="553" customWidth="1"/>
    <col min="13831" max="13831" width="9.1796875" style="553" customWidth="1"/>
    <col min="13832" max="13832" width="10.1796875" style="553" customWidth="1"/>
    <col min="13833" max="13834" width="0" style="553" hidden="1" customWidth="1"/>
    <col min="13835" max="14080" width="9.1796875" style="553"/>
    <col min="14081" max="14081" width="0" style="553" hidden="1" customWidth="1"/>
    <col min="14082" max="14082" width="41.26953125" style="553" customWidth="1"/>
    <col min="14083" max="14083" width="0" style="553" hidden="1" customWidth="1"/>
    <col min="14084" max="14084" width="11" style="553" customWidth="1"/>
    <col min="14085" max="14085" width="10.81640625" style="553" customWidth="1"/>
    <col min="14086" max="14086" width="14" style="553" customWidth="1"/>
    <col min="14087" max="14087" width="9.1796875" style="553" customWidth="1"/>
    <col min="14088" max="14088" width="10.1796875" style="553" customWidth="1"/>
    <col min="14089" max="14090" width="0" style="553" hidden="1" customWidth="1"/>
    <col min="14091" max="14336" width="9.1796875" style="553"/>
    <col min="14337" max="14337" width="0" style="553" hidden="1" customWidth="1"/>
    <col min="14338" max="14338" width="41.26953125" style="553" customWidth="1"/>
    <col min="14339" max="14339" width="0" style="553" hidden="1" customWidth="1"/>
    <col min="14340" max="14340" width="11" style="553" customWidth="1"/>
    <col min="14341" max="14341" width="10.81640625" style="553" customWidth="1"/>
    <col min="14342" max="14342" width="14" style="553" customWidth="1"/>
    <col min="14343" max="14343" width="9.1796875" style="553" customWidth="1"/>
    <col min="14344" max="14344" width="10.1796875" style="553" customWidth="1"/>
    <col min="14345" max="14346" width="0" style="553" hidden="1" customWidth="1"/>
    <col min="14347" max="14592" width="9.1796875" style="553"/>
    <col min="14593" max="14593" width="0" style="553" hidden="1" customWidth="1"/>
    <col min="14594" max="14594" width="41.26953125" style="553" customWidth="1"/>
    <col min="14595" max="14595" width="0" style="553" hidden="1" customWidth="1"/>
    <col min="14596" max="14596" width="11" style="553" customWidth="1"/>
    <col min="14597" max="14597" width="10.81640625" style="553" customWidth="1"/>
    <col min="14598" max="14598" width="14" style="553" customWidth="1"/>
    <col min="14599" max="14599" width="9.1796875" style="553" customWidth="1"/>
    <col min="14600" max="14600" width="10.1796875" style="553" customWidth="1"/>
    <col min="14601" max="14602" width="0" style="553" hidden="1" customWidth="1"/>
    <col min="14603" max="14848" width="9.1796875" style="553"/>
    <col min="14849" max="14849" width="0" style="553" hidden="1" customWidth="1"/>
    <col min="14850" max="14850" width="41.26953125" style="553" customWidth="1"/>
    <col min="14851" max="14851" width="0" style="553" hidden="1" customWidth="1"/>
    <col min="14852" max="14852" width="11" style="553" customWidth="1"/>
    <col min="14853" max="14853" width="10.81640625" style="553" customWidth="1"/>
    <col min="14854" max="14854" width="14" style="553" customWidth="1"/>
    <col min="14855" max="14855" width="9.1796875" style="553" customWidth="1"/>
    <col min="14856" max="14856" width="10.1796875" style="553" customWidth="1"/>
    <col min="14857" max="14858" width="0" style="553" hidden="1" customWidth="1"/>
    <col min="14859" max="15104" width="9.1796875" style="553"/>
    <col min="15105" max="15105" width="0" style="553" hidden="1" customWidth="1"/>
    <col min="15106" max="15106" width="41.26953125" style="553" customWidth="1"/>
    <col min="15107" max="15107" width="0" style="553" hidden="1" customWidth="1"/>
    <col min="15108" max="15108" width="11" style="553" customWidth="1"/>
    <col min="15109" max="15109" width="10.81640625" style="553" customWidth="1"/>
    <col min="15110" max="15110" width="14" style="553" customWidth="1"/>
    <col min="15111" max="15111" width="9.1796875" style="553" customWidth="1"/>
    <col min="15112" max="15112" width="10.1796875" style="553" customWidth="1"/>
    <col min="15113" max="15114" width="0" style="553" hidden="1" customWidth="1"/>
    <col min="15115" max="15360" width="9.1796875" style="553"/>
    <col min="15361" max="15361" width="0" style="553" hidden="1" customWidth="1"/>
    <col min="15362" max="15362" width="41.26953125" style="553" customWidth="1"/>
    <col min="15363" max="15363" width="0" style="553" hidden="1" customWidth="1"/>
    <col min="15364" max="15364" width="11" style="553" customWidth="1"/>
    <col min="15365" max="15365" width="10.81640625" style="553" customWidth="1"/>
    <col min="15366" max="15366" width="14" style="553" customWidth="1"/>
    <col min="15367" max="15367" width="9.1796875" style="553" customWidth="1"/>
    <col min="15368" max="15368" width="10.1796875" style="553" customWidth="1"/>
    <col min="15369" max="15370" width="0" style="553" hidden="1" customWidth="1"/>
    <col min="15371" max="15616" width="9.1796875" style="553"/>
    <col min="15617" max="15617" width="0" style="553" hidden="1" customWidth="1"/>
    <col min="15618" max="15618" width="41.26953125" style="553" customWidth="1"/>
    <col min="15619" max="15619" width="0" style="553" hidden="1" customWidth="1"/>
    <col min="15620" max="15620" width="11" style="553" customWidth="1"/>
    <col min="15621" max="15621" width="10.81640625" style="553" customWidth="1"/>
    <col min="15622" max="15622" width="14" style="553" customWidth="1"/>
    <col min="15623" max="15623" width="9.1796875" style="553" customWidth="1"/>
    <col min="15624" max="15624" width="10.1796875" style="553" customWidth="1"/>
    <col min="15625" max="15626" width="0" style="553" hidden="1" customWidth="1"/>
    <col min="15627" max="15872" width="9.1796875" style="553"/>
    <col min="15873" max="15873" width="0" style="553" hidden="1" customWidth="1"/>
    <col min="15874" max="15874" width="41.26953125" style="553" customWidth="1"/>
    <col min="15875" max="15875" width="0" style="553" hidden="1" customWidth="1"/>
    <col min="15876" max="15876" width="11" style="553" customWidth="1"/>
    <col min="15877" max="15877" width="10.81640625" style="553" customWidth="1"/>
    <col min="15878" max="15878" width="14" style="553" customWidth="1"/>
    <col min="15879" max="15879" width="9.1796875" style="553" customWidth="1"/>
    <col min="15880" max="15880" width="10.1796875" style="553" customWidth="1"/>
    <col min="15881" max="15882" width="0" style="553" hidden="1" customWidth="1"/>
    <col min="15883" max="16128" width="9.1796875" style="553"/>
    <col min="16129" max="16129" width="0" style="553" hidden="1" customWidth="1"/>
    <col min="16130" max="16130" width="41.26953125" style="553" customWidth="1"/>
    <col min="16131" max="16131" width="0" style="553" hidden="1" customWidth="1"/>
    <col min="16132" max="16132" width="11" style="553" customWidth="1"/>
    <col min="16133" max="16133" width="10.81640625" style="553" customWidth="1"/>
    <col min="16134" max="16134" width="14" style="553" customWidth="1"/>
    <col min="16135" max="16135" width="9.1796875" style="553" customWidth="1"/>
    <col min="16136" max="16136" width="10.1796875" style="553" customWidth="1"/>
    <col min="16137" max="16138" width="0" style="553" hidden="1" customWidth="1"/>
    <col min="16139" max="16384" width="9.1796875" style="553"/>
  </cols>
  <sheetData>
    <row r="1" spans="1:21" ht="15.5" x14ac:dyDescent="0.35">
      <c r="H1" s="2896" t="s">
        <v>1233</v>
      </c>
      <c r="I1" s="2899"/>
      <c r="J1" s="2899"/>
      <c r="K1" s="2899"/>
      <c r="L1" s="2899"/>
      <c r="M1" s="2899"/>
      <c r="N1" s="2899"/>
      <c r="O1" s="2899"/>
      <c r="P1" s="2899"/>
      <c r="Q1" s="2899"/>
      <c r="R1" s="2899"/>
      <c r="S1" s="2899"/>
      <c r="T1" s="2899"/>
      <c r="U1" s="2899"/>
    </row>
    <row r="2" spans="1:21" ht="15.5" x14ac:dyDescent="0.35">
      <c r="H2" s="2896" t="s">
        <v>450</v>
      </c>
      <c r="I2" s="2899"/>
      <c r="J2" s="2899"/>
      <c r="K2" s="2899"/>
      <c r="L2" s="2899"/>
      <c r="M2" s="2899"/>
      <c r="N2" s="2899"/>
      <c r="O2" s="2899"/>
      <c r="P2" s="2899"/>
      <c r="Q2" s="2899"/>
      <c r="R2" s="2899"/>
      <c r="S2" s="2899"/>
      <c r="T2" s="2899"/>
      <c r="U2" s="2899"/>
    </row>
    <row r="3" spans="1:21" ht="15.5" x14ac:dyDescent="0.35">
      <c r="H3" s="2896" t="s">
        <v>449</v>
      </c>
      <c r="I3" s="2899"/>
      <c r="J3" s="2899"/>
      <c r="K3" s="2899"/>
      <c r="L3" s="2899"/>
      <c r="M3" s="2899"/>
      <c r="N3" s="2899"/>
      <c r="O3" s="2899"/>
      <c r="P3" s="2899"/>
      <c r="Q3" s="2899"/>
      <c r="R3" s="2899"/>
      <c r="S3" s="2899"/>
      <c r="T3" s="2899"/>
      <c r="U3" s="2899"/>
    </row>
    <row r="4" spans="1:21" ht="15.5" x14ac:dyDescent="0.35">
      <c r="H4" s="2896" t="s">
        <v>448</v>
      </c>
      <c r="I4" s="2899"/>
      <c r="J4" s="2899"/>
      <c r="K4" s="2899"/>
      <c r="L4" s="2899"/>
      <c r="M4" s="2899"/>
      <c r="N4" s="2899"/>
      <c r="O4" s="2899"/>
      <c r="P4" s="2899"/>
      <c r="Q4" s="2899"/>
      <c r="R4" s="2899"/>
      <c r="S4" s="2899"/>
      <c r="T4" s="2899"/>
      <c r="U4" s="2899"/>
    </row>
    <row r="5" spans="1:21" ht="15.5" x14ac:dyDescent="0.25">
      <c r="H5" s="2910" t="s">
        <v>1239</v>
      </c>
      <c r="I5" s="2140"/>
      <c r="J5" s="2140"/>
      <c r="K5" s="2140"/>
      <c r="L5" s="2140"/>
      <c r="M5" s="2140"/>
      <c r="N5" s="2140"/>
      <c r="O5" s="2140"/>
      <c r="P5" s="2140"/>
      <c r="Q5" s="2140"/>
      <c r="R5" s="2140"/>
      <c r="S5" s="2140"/>
      <c r="T5" s="2140"/>
      <c r="U5" s="2140"/>
    </row>
    <row r="6" spans="1:21" ht="26" customHeight="1" x14ac:dyDescent="0.35">
      <c r="A6" s="551"/>
      <c r="B6" s="552"/>
      <c r="C6" s="552"/>
      <c r="D6" s="552"/>
      <c r="E6" s="552"/>
      <c r="F6" s="552"/>
      <c r="G6" s="3397" t="s">
        <v>1236</v>
      </c>
      <c r="H6" s="3397"/>
      <c r="I6" s="3397"/>
      <c r="J6" s="3397"/>
    </row>
    <row r="7" spans="1:21" ht="15.5" x14ac:dyDescent="0.35">
      <c r="A7" s="554"/>
      <c r="B7" s="554"/>
      <c r="C7" s="554"/>
      <c r="D7" s="554"/>
      <c r="E7" s="554"/>
      <c r="F7" s="3397" t="s">
        <v>797</v>
      </c>
      <c r="G7" s="3397"/>
      <c r="H7" s="3397"/>
      <c r="I7" s="554"/>
      <c r="J7" s="554"/>
    </row>
    <row r="8" spans="1:21" ht="15.5" x14ac:dyDescent="0.35">
      <c r="A8" s="554"/>
      <c r="B8" s="3397" t="s">
        <v>449</v>
      </c>
      <c r="C8" s="3397"/>
      <c r="D8" s="3397"/>
      <c r="E8" s="3397"/>
      <c r="F8" s="3397"/>
      <c r="G8" s="3397"/>
      <c r="H8" s="3397"/>
      <c r="I8" s="3397"/>
      <c r="J8" s="3397"/>
      <c r="K8" s="554"/>
      <c r="L8" s="554"/>
      <c r="M8" s="554"/>
      <c r="N8" s="554"/>
      <c r="O8" s="554"/>
    </row>
    <row r="9" spans="1:21" ht="15.5" x14ac:dyDescent="0.35">
      <c r="A9" s="551"/>
      <c r="B9" s="554"/>
      <c r="C9" s="554"/>
      <c r="D9" s="3397" t="s">
        <v>798</v>
      </c>
      <c r="E9" s="3397"/>
      <c r="F9" s="3397"/>
      <c r="G9" s="3397"/>
      <c r="H9" s="3397"/>
      <c r="I9" s="554"/>
      <c r="J9" s="554"/>
      <c r="L9" s="554"/>
      <c r="M9" s="554"/>
      <c r="N9" s="554"/>
      <c r="O9" s="554"/>
    </row>
    <row r="10" spans="1:21" ht="18" customHeight="1" x14ac:dyDescent="0.35">
      <c r="A10" s="551"/>
      <c r="B10" s="552"/>
      <c r="C10" s="552"/>
      <c r="D10" s="552"/>
      <c r="E10" s="1770" t="s">
        <v>905</v>
      </c>
      <c r="F10" s="3212" t="s">
        <v>1224</v>
      </c>
      <c r="G10" s="3212"/>
      <c r="H10" s="3212"/>
      <c r="I10" s="552"/>
      <c r="J10" s="552"/>
      <c r="K10" s="552"/>
      <c r="L10" s="552"/>
      <c r="M10" s="552"/>
      <c r="N10" s="552"/>
    </row>
    <row r="11" spans="1:21" x14ac:dyDescent="0.25">
      <c r="F11" s="556"/>
      <c r="L11" s="555"/>
      <c r="M11" s="555"/>
      <c r="N11" s="556"/>
    </row>
    <row r="12" spans="1:21" ht="15.5" hidden="1" x14ac:dyDescent="0.25">
      <c r="F12" s="546"/>
      <c r="H12" s="2895" t="s">
        <v>446</v>
      </c>
      <c r="J12" s="546" t="s">
        <v>446</v>
      </c>
      <c r="L12" s="555"/>
      <c r="M12" s="555"/>
    </row>
    <row r="13" spans="1:21" ht="13" hidden="1" x14ac:dyDescent="0.25">
      <c r="F13" s="558"/>
      <c r="H13" s="384"/>
      <c r="L13" s="555"/>
      <c r="M13" s="555"/>
      <c r="N13" s="558"/>
    </row>
    <row r="14" spans="1:21" ht="15.5" hidden="1" x14ac:dyDescent="0.25">
      <c r="F14" s="546"/>
      <c r="H14" s="2895" t="s">
        <v>848</v>
      </c>
      <c r="J14" s="546" t="s">
        <v>445</v>
      </c>
      <c r="L14" s="555"/>
      <c r="M14" s="555"/>
    </row>
    <row r="15" spans="1:21" hidden="1" x14ac:dyDescent="0.25">
      <c r="F15" s="556"/>
    </row>
    <row r="16" spans="1:21" ht="12" customHeight="1" x14ac:dyDescent="0.25">
      <c r="F16" s="556"/>
    </row>
    <row r="17" spans="1:14" ht="13" hidden="1" x14ac:dyDescent="0.3">
      <c r="A17" s="3396"/>
      <c r="B17" s="3396"/>
      <c r="C17" s="3396"/>
      <c r="D17" s="3396"/>
      <c r="E17" s="3396"/>
      <c r="F17" s="3396"/>
    </row>
    <row r="18" spans="1:14" ht="69.75" customHeight="1" x14ac:dyDescent="0.3">
      <c r="A18" s="3391" t="s">
        <v>823</v>
      </c>
      <c r="B18" s="3391"/>
      <c r="C18" s="3391"/>
      <c r="D18" s="3391"/>
      <c r="E18" s="3391"/>
      <c r="F18" s="3391"/>
      <c r="G18" s="3391"/>
      <c r="H18" s="3391"/>
      <c r="I18" s="3391"/>
      <c r="J18" s="3391"/>
      <c r="L18" s="559" t="s">
        <v>106</v>
      </c>
    </row>
    <row r="19" spans="1:14" ht="15" customHeight="1" x14ac:dyDescent="0.3">
      <c r="A19" s="2897"/>
      <c r="B19" s="3391" t="s">
        <v>1202</v>
      </c>
      <c r="C19" s="3391"/>
      <c r="D19" s="3391"/>
      <c r="E19" s="3391"/>
      <c r="F19" s="3391"/>
      <c r="G19" s="3391"/>
      <c r="H19" s="3391"/>
      <c r="I19" s="3391"/>
      <c r="J19" s="3391"/>
      <c r="L19" s="559"/>
    </row>
    <row r="20" spans="1:14" ht="21" customHeight="1" thickBot="1" x14ac:dyDescent="0.35">
      <c r="A20" s="560"/>
      <c r="B20" s="560"/>
      <c r="C20" s="560"/>
      <c r="D20" s="560"/>
      <c r="E20" s="560"/>
      <c r="F20" s="560"/>
    </row>
    <row r="21" spans="1:14" s="564" customFormat="1" ht="45" x14ac:dyDescent="0.25">
      <c r="A21" s="561" t="s">
        <v>611</v>
      </c>
      <c r="B21" s="3392" t="s">
        <v>322</v>
      </c>
      <c r="C21" s="3392"/>
      <c r="D21" s="3392"/>
      <c r="E21" s="3392"/>
      <c r="F21" s="3392"/>
      <c r="G21" s="3392"/>
      <c r="H21" s="720" t="s">
        <v>827</v>
      </c>
      <c r="I21" s="562" t="s">
        <v>799</v>
      </c>
      <c r="J21" s="563" t="s">
        <v>800</v>
      </c>
    </row>
    <row r="22" spans="1:14" s="564" customFormat="1" ht="15" hidden="1" x14ac:dyDescent="0.25">
      <c r="A22" s="565"/>
      <c r="B22" s="721" t="s">
        <v>431</v>
      </c>
      <c r="C22" s="566" t="s">
        <v>430</v>
      </c>
      <c r="D22" s="567" t="s">
        <v>69</v>
      </c>
      <c r="E22" s="568"/>
      <c r="F22" s="568"/>
      <c r="G22" s="568"/>
      <c r="H22" s="722">
        <f>H23+H35</f>
        <v>806.84199999999998</v>
      </c>
      <c r="I22" s="569"/>
      <c r="J22" s="570"/>
    </row>
    <row r="23" spans="1:14" s="564" customFormat="1" ht="52" hidden="1" x14ac:dyDescent="0.25">
      <c r="A23" s="571"/>
      <c r="B23" s="669" t="s">
        <v>105</v>
      </c>
      <c r="C23" s="572" t="s">
        <v>106</v>
      </c>
      <c r="D23" s="572" t="s">
        <v>69</v>
      </c>
      <c r="E23" s="572" t="s">
        <v>103</v>
      </c>
      <c r="F23" s="573"/>
      <c r="G23" s="573"/>
      <c r="H23" s="723">
        <f>H27+H29+H32</f>
        <v>386.19200000000001</v>
      </c>
      <c r="I23" s="574"/>
      <c r="J23" s="575"/>
    </row>
    <row r="24" spans="1:14" s="564" customFormat="1" ht="52" hidden="1" x14ac:dyDescent="0.25">
      <c r="A24" s="571"/>
      <c r="B24" s="724" t="s">
        <v>583</v>
      </c>
      <c r="C24" s="572"/>
      <c r="D24" s="572" t="s">
        <v>69</v>
      </c>
      <c r="E24" s="572" t="s">
        <v>103</v>
      </c>
      <c r="F24" s="532" t="s">
        <v>157</v>
      </c>
      <c r="G24" s="573"/>
      <c r="H24" s="725">
        <f>H25</f>
        <v>57.192</v>
      </c>
      <c r="I24" s="574"/>
      <c r="J24" s="575"/>
    </row>
    <row r="25" spans="1:14" s="564" customFormat="1" ht="52" hidden="1" x14ac:dyDescent="0.25">
      <c r="A25" s="571"/>
      <c r="B25" s="2898" t="s">
        <v>156</v>
      </c>
      <c r="C25" s="572"/>
      <c r="D25" s="572" t="s">
        <v>69</v>
      </c>
      <c r="E25" s="572" t="s">
        <v>103</v>
      </c>
      <c r="F25" s="532" t="s">
        <v>155</v>
      </c>
      <c r="G25" s="573"/>
      <c r="H25" s="725">
        <f>H26</f>
        <v>57.192</v>
      </c>
      <c r="I25" s="574"/>
      <c r="J25" s="575"/>
    </row>
    <row r="26" spans="1:14" s="564" customFormat="1" ht="15.5" hidden="1" x14ac:dyDescent="0.25">
      <c r="A26" s="571"/>
      <c r="B26" s="724" t="s">
        <v>582</v>
      </c>
      <c r="C26" s="572"/>
      <c r="D26" s="572" t="s">
        <v>69</v>
      </c>
      <c r="E26" s="572" t="s">
        <v>103</v>
      </c>
      <c r="F26" s="532" t="s">
        <v>154</v>
      </c>
      <c r="G26" s="573"/>
      <c r="H26" s="725">
        <f>H27</f>
        <v>57.192</v>
      </c>
      <c r="I26" s="574"/>
      <c r="J26" s="575"/>
    </row>
    <row r="27" spans="1:14" s="580" customFormat="1" ht="38.5" customHeight="1" x14ac:dyDescent="0.35">
      <c r="A27" s="576"/>
      <c r="B27" s="3393" t="s">
        <v>824</v>
      </c>
      <c r="C27" s="3393"/>
      <c r="D27" s="3393"/>
      <c r="E27" s="3393"/>
      <c r="F27" s="3393"/>
      <c r="G27" s="3393"/>
      <c r="H27" s="2905">
        <v>57.192</v>
      </c>
      <c r="I27" s="578"/>
      <c r="J27" s="579"/>
      <c r="M27" s="581"/>
      <c r="N27" s="1"/>
    </row>
    <row r="28" spans="1:14" s="580" customFormat="1" ht="15.5" hidden="1" x14ac:dyDescent="0.35">
      <c r="A28" s="576"/>
      <c r="B28" s="728" t="s">
        <v>123</v>
      </c>
      <c r="C28" s="669"/>
      <c r="D28" s="669"/>
      <c r="E28" s="669"/>
      <c r="F28" s="714"/>
      <c r="G28" s="715" t="s">
        <v>120</v>
      </c>
      <c r="H28" s="2906">
        <v>43.95</v>
      </c>
      <c r="I28" s="578"/>
      <c r="J28" s="579"/>
      <c r="N28" s="1"/>
    </row>
    <row r="29" spans="1:14" s="580" customFormat="1" ht="54.65" customHeight="1" x14ac:dyDescent="0.35">
      <c r="A29" s="576"/>
      <c r="B29" s="3394" t="s">
        <v>826</v>
      </c>
      <c r="C29" s="3394"/>
      <c r="D29" s="3394"/>
      <c r="E29" s="3394"/>
      <c r="F29" s="3394"/>
      <c r="G29" s="3394"/>
      <c r="H29" s="2905">
        <v>329</v>
      </c>
      <c r="I29" s="578">
        <f>I31</f>
        <v>0</v>
      </c>
      <c r="J29" s="579">
        <f>J31</f>
        <v>0</v>
      </c>
      <c r="N29" s="1"/>
    </row>
    <row r="30" spans="1:14" s="580" customFormat="1" ht="46.5" hidden="1" customHeight="1" x14ac:dyDescent="0.35">
      <c r="A30" s="576"/>
      <c r="B30" s="724" t="s">
        <v>575</v>
      </c>
      <c r="C30" s="715"/>
      <c r="D30" s="715"/>
      <c r="E30" s="715"/>
      <c r="F30" s="715"/>
      <c r="G30" s="715"/>
      <c r="H30" s="2907"/>
      <c r="I30" s="583"/>
      <c r="J30" s="584"/>
      <c r="N30" s="1"/>
    </row>
    <row r="31" spans="1:14" s="580" customFormat="1" ht="15" hidden="1" customHeight="1" x14ac:dyDescent="0.35">
      <c r="A31" s="576"/>
      <c r="B31" s="728" t="s">
        <v>123</v>
      </c>
      <c r="C31" s="715"/>
      <c r="D31" s="715"/>
      <c r="E31" s="715"/>
      <c r="F31" s="312"/>
      <c r="G31" s="715" t="s">
        <v>120</v>
      </c>
      <c r="H31" s="2907">
        <v>321.3</v>
      </c>
      <c r="I31" s="583"/>
      <c r="J31" s="584"/>
      <c r="N31" s="1"/>
    </row>
    <row r="32" spans="1:14" s="580" customFormat="1" ht="46.15" hidden="1" customHeight="1" x14ac:dyDescent="0.35">
      <c r="A32" s="576"/>
      <c r="B32" s="3395" t="s">
        <v>825</v>
      </c>
      <c r="C32" s="3395"/>
      <c r="D32" s="3395"/>
      <c r="E32" s="3395"/>
      <c r="F32" s="3395"/>
      <c r="G32" s="3395"/>
      <c r="H32" s="2907">
        <v>0</v>
      </c>
      <c r="I32" s="583">
        <f>I33</f>
        <v>0</v>
      </c>
      <c r="J32" s="584">
        <f>J33</f>
        <v>0</v>
      </c>
      <c r="N32" s="1"/>
    </row>
    <row r="33" spans="1:14" s="580" customFormat="1" ht="15" hidden="1" customHeight="1" x14ac:dyDescent="0.35">
      <c r="A33" s="576"/>
      <c r="B33" s="728" t="s">
        <v>123</v>
      </c>
      <c r="C33" s="715"/>
      <c r="D33" s="715"/>
      <c r="E33" s="715"/>
      <c r="F33" s="312"/>
      <c r="G33" s="715" t="s">
        <v>120</v>
      </c>
      <c r="H33" s="2907">
        <v>213</v>
      </c>
      <c r="I33" s="583">
        <v>0</v>
      </c>
      <c r="J33" s="584">
        <v>0</v>
      </c>
      <c r="N33" s="1"/>
    </row>
    <row r="34" spans="1:14" s="580" customFormat="1" ht="60.65" hidden="1" customHeight="1" x14ac:dyDescent="0.35">
      <c r="A34" s="576"/>
      <c r="B34" s="731" t="s">
        <v>134</v>
      </c>
      <c r="C34" s="669"/>
      <c r="D34" s="669"/>
      <c r="E34" s="669"/>
      <c r="F34" s="715"/>
      <c r="G34" s="715"/>
      <c r="H34" s="2907"/>
      <c r="I34" s="583"/>
      <c r="J34" s="584"/>
      <c r="N34" s="1"/>
    </row>
    <row r="35" spans="1:14" s="580" customFormat="1" ht="49.15" hidden="1" customHeight="1" x14ac:dyDescent="0.35">
      <c r="A35" s="576"/>
      <c r="B35" s="669" t="s">
        <v>122</v>
      </c>
      <c r="C35" s="715"/>
      <c r="D35" s="669"/>
      <c r="E35" s="715"/>
      <c r="F35" s="669"/>
      <c r="G35" s="669" t="s">
        <v>71</v>
      </c>
      <c r="H35" s="2905">
        <f>H36</f>
        <v>420.65</v>
      </c>
      <c r="I35" s="578">
        <f>I36</f>
        <v>0</v>
      </c>
      <c r="J35" s="579">
        <f>J36</f>
        <v>0</v>
      </c>
      <c r="N35" s="1"/>
    </row>
    <row r="36" spans="1:14" s="580" customFormat="1" ht="52" hidden="1" x14ac:dyDescent="0.35">
      <c r="A36" s="576"/>
      <c r="B36" s="724" t="s">
        <v>583</v>
      </c>
      <c r="C36" s="715"/>
      <c r="D36" s="669"/>
      <c r="E36" s="669"/>
      <c r="F36" s="714"/>
      <c r="G36" s="716"/>
      <c r="H36" s="2905">
        <f>H37</f>
        <v>420.65</v>
      </c>
      <c r="I36" s="578">
        <f>I39</f>
        <v>0</v>
      </c>
      <c r="J36" s="579">
        <f>J39</f>
        <v>0</v>
      </c>
      <c r="N36" s="1"/>
    </row>
    <row r="37" spans="1:14" s="580" customFormat="1" ht="52" hidden="1" x14ac:dyDescent="0.35">
      <c r="A37" s="576"/>
      <c r="B37" s="2898" t="s">
        <v>156</v>
      </c>
      <c r="C37" s="715"/>
      <c r="D37" s="669"/>
      <c r="E37" s="669"/>
      <c r="F37" s="714"/>
      <c r="G37" s="716"/>
      <c r="H37" s="2905">
        <f>H38</f>
        <v>420.65</v>
      </c>
      <c r="I37" s="578"/>
      <c r="J37" s="579"/>
      <c r="N37" s="1"/>
    </row>
    <row r="38" spans="1:14" s="580" customFormat="1" ht="15.5" hidden="1" x14ac:dyDescent="0.35">
      <c r="A38" s="576"/>
      <c r="B38" s="724" t="s">
        <v>582</v>
      </c>
      <c r="C38" s="715"/>
      <c r="D38" s="669"/>
      <c r="E38" s="669"/>
      <c r="F38" s="714"/>
      <c r="G38" s="716"/>
      <c r="H38" s="2905">
        <f>H39</f>
        <v>420.65</v>
      </c>
      <c r="I38" s="578"/>
      <c r="J38" s="579"/>
      <c r="N38" s="1"/>
    </row>
    <row r="39" spans="1:14" s="580" customFormat="1" ht="54" customHeight="1" x14ac:dyDescent="0.35">
      <c r="A39" s="576"/>
      <c r="B39" s="3389" t="s">
        <v>586</v>
      </c>
      <c r="C39" s="3389"/>
      <c r="D39" s="3389"/>
      <c r="E39" s="3389"/>
      <c r="F39" s="3389"/>
      <c r="G39" s="3389"/>
      <c r="H39" s="2907">
        <v>420.65</v>
      </c>
      <c r="I39" s="583">
        <f>I40</f>
        <v>0</v>
      </c>
      <c r="J39" s="584">
        <f>J40</f>
        <v>0</v>
      </c>
      <c r="N39" s="1"/>
    </row>
    <row r="40" spans="1:14" s="580" customFormat="1" ht="13.9" hidden="1" customHeight="1" thickBot="1" x14ac:dyDescent="0.4">
      <c r="A40" s="576"/>
      <c r="B40" s="582" t="s">
        <v>123</v>
      </c>
      <c r="C40" s="717"/>
      <c r="D40" s="718" t="s">
        <v>69</v>
      </c>
      <c r="E40" s="718" t="s">
        <v>119</v>
      </c>
      <c r="F40" s="440" t="s">
        <v>129</v>
      </c>
      <c r="G40" s="717" t="s">
        <v>120</v>
      </c>
      <c r="H40" s="2908">
        <v>199.49199999999999</v>
      </c>
      <c r="I40" s="585">
        <v>0</v>
      </c>
      <c r="J40" s="586">
        <v>0</v>
      </c>
      <c r="N40" s="1"/>
    </row>
    <row r="41" spans="1:14" s="580" customFormat="1" ht="34" customHeight="1" x14ac:dyDescent="0.35">
      <c r="A41" s="2900"/>
      <c r="B41" s="3389" t="s">
        <v>1234</v>
      </c>
      <c r="C41" s="3389"/>
      <c r="D41" s="3389"/>
      <c r="E41" s="3389"/>
      <c r="F41" s="3389"/>
      <c r="G41" s="3389"/>
      <c r="H41" s="2907">
        <v>19.20834</v>
      </c>
      <c r="I41" s="2901"/>
      <c r="J41" s="2901"/>
      <c r="N41" s="1"/>
    </row>
    <row r="42" spans="1:14" ht="13" x14ac:dyDescent="0.3">
      <c r="B42" s="3390" t="s">
        <v>828</v>
      </c>
      <c r="C42" s="3390"/>
      <c r="D42" s="3390"/>
      <c r="E42" s="3390"/>
      <c r="F42" s="3390"/>
      <c r="G42" s="3390"/>
      <c r="H42" s="2909">
        <f>H27+H29+H32+H39+H41</f>
        <v>826.05034000000001</v>
      </c>
    </row>
    <row r="192" ht="80.5" customHeight="1" x14ac:dyDescent="0.25"/>
  </sheetData>
  <mergeCells count="15">
    <mergeCell ref="A17:F17"/>
    <mergeCell ref="G6:J6"/>
    <mergeCell ref="F7:H7"/>
    <mergeCell ref="B8:J8"/>
    <mergeCell ref="D9:H9"/>
    <mergeCell ref="F10:H10"/>
    <mergeCell ref="B39:G39"/>
    <mergeCell ref="B42:G42"/>
    <mergeCell ref="B41:G41"/>
    <mergeCell ref="A18:J18"/>
    <mergeCell ref="B19:J19"/>
    <mergeCell ref="B21:G21"/>
    <mergeCell ref="B27:G27"/>
    <mergeCell ref="B29:G29"/>
    <mergeCell ref="B32:G32"/>
  </mergeCells>
  <printOptions horizontalCentered="1"/>
  <pageMargins left="0.55118110236220474" right="0.19685039370078741" top="0.59055118110236227" bottom="0.59055118110236227" header="0.51181102362204722" footer="0.51181102362204722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A507"/>
  <sheetViews>
    <sheetView topLeftCell="A370" zoomScale="78" zoomScaleNormal="78" zoomScaleSheetLayoutView="86" workbookViewId="0">
      <selection activeCell="AA158" sqref="AA158"/>
    </sheetView>
  </sheetViews>
  <sheetFormatPr defaultColWidth="9.1796875" defaultRowHeight="12.5" x14ac:dyDescent="0.25"/>
  <cols>
    <col min="1" max="1" width="5.26953125" style="1" customWidth="1"/>
    <col min="2" max="2" width="62.453125" style="6" customWidth="1"/>
    <col min="3" max="3" width="10" style="5" customWidth="1"/>
    <col min="4" max="4" width="9.26953125" style="4" customWidth="1"/>
    <col min="5" max="5" width="10.453125" style="4" customWidth="1"/>
    <col min="6" max="6" width="11.54296875" style="4" customWidth="1"/>
    <col min="7" max="7" width="10.26953125" style="4" customWidth="1"/>
    <col min="8" max="8" width="14.7265625" style="1297" customWidth="1"/>
    <col min="9" max="9" width="18.7265625" style="1297" hidden="1" customWidth="1"/>
    <col min="10" max="10" width="15.7265625" style="237" hidden="1" customWidth="1"/>
    <col min="11" max="11" width="11.1796875" style="237" hidden="1" customWidth="1"/>
    <col min="12" max="12" width="14.7265625" style="237" hidden="1" customWidth="1"/>
    <col min="13" max="13" width="13.1796875" style="237" hidden="1" customWidth="1"/>
    <col min="14" max="14" width="14.7265625" style="1297" customWidth="1"/>
    <col min="15" max="16" width="8.81640625" style="237" hidden="1" customWidth="1"/>
    <col min="17" max="17" width="15.453125" style="237" hidden="1" customWidth="1"/>
    <col min="18" max="20" width="9.1796875" style="237" hidden="1" customWidth="1"/>
    <col min="21" max="21" width="14.7265625" style="1297" customWidth="1"/>
    <col min="22" max="22" width="10.453125" style="1" hidden="1" customWidth="1"/>
    <col min="23" max="24" width="10.1796875" style="1" hidden="1" customWidth="1"/>
    <col min="25" max="25" width="0" style="1" hidden="1" customWidth="1"/>
    <col min="26" max="26" width="9.1796875" style="1"/>
    <col min="27" max="27" width="17.1796875" style="1" customWidth="1"/>
    <col min="28" max="28" width="9.1796875" style="1"/>
    <col min="29" max="29" width="18.453125" style="1" customWidth="1"/>
    <col min="30" max="16384" width="9.1796875" style="1"/>
  </cols>
  <sheetData>
    <row r="1" spans="1:27" ht="15.5" x14ac:dyDescent="0.35">
      <c r="E1" s="1030"/>
      <c r="F1" s="1030"/>
      <c r="G1" s="1030"/>
      <c r="H1" s="410"/>
      <c r="I1" s="1825"/>
      <c r="J1" s="1825"/>
      <c r="K1" s="1825"/>
      <c r="L1" s="1825"/>
      <c r="M1" s="1825"/>
      <c r="O1" s="1825"/>
      <c r="P1" s="1825"/>
      <c r="Q1" s="1825"/>
      <c r="R1" s="1825"/>
      <c r="U1" s="410" t="s">
        <v>946</v>
      </c>
    </row>
    <row r="2" spans="1:27" ht="15.5" x14ac:dyDescent="0.35">
      <c r="E2" s="261"/>
      <c r="F2" s="261"/>
      <c r="G2" s="261"/>
      <c r="H2" s="410"/>
      <c r="I2" s="1825"/>
      <c r="J2" s="1825"/>
      <c r="K2" s="1825"/>
      <c r="L2" s="1825"/>
      <c r="M2" s="1825"/>
      <c r="P2" s="1825"/>
      <c r="Q2" s="1825"/>
      <c r="R2" s="1825"/>
      <c r="U2" s="410" t="s">
        <v>450</v>
      </c>
    </row>
    <row r="3" spans="1:27" ht="15.5" x14ac:dyDescent="0.35">
      <c r="E3" s="261"/>
      <c r="F3" s="261"/>
      <c r="G3" s="261"/>
      <c r="H3" s="410"/>
      <c r="I3" s="1825"/>
      <c r="J3" s="1825"/>
      <c r="K3" s="1825"/>
      <c r="L3" s="1825"/>
      <c r="M3" s="1825"/>
      <c r="O3" s="1825"/>
      <c r="P3" s="1825"/>
      <c r="Q3" s="1825"/>
      <c r="R3" s="1825"/>
      <c r="U3" s="410" t="s">
        <v>449</v>
      </c>
    </row>
    <row r="4" spans="1:27" ht="15.5" x14ac:dyDescent="0.35">
      <c r="E4" s="261"/>
      <c r="F4" s="261"/>
      <c r="G4" s="261"/>
      <c r="H4" s="410"/>
      <c r="I4" s="1825"/>
      <c r="J4" s="1825"/>
      <c r="K4" s="1825"/>
      <c r="L4" s="1825"/>
      <c r="M4" s="1825"/>
      <c r="O4" s="1825"/>
      <c r="P4" s="1825"/>
      <c r="Q4" s="1825"/>
      <c r="R4" s="1825"/>
      <c r="U4" s="410" t="s">
        <v>448</v>
      </c>
    </row>
    <row r="5" spans="1:27" ht="15.5" x14ac:dyDescent="0.25">
      <c r="E5" s="388"/>
      <c r="F5" s="388"/>
      <c r="G5" s="388"/>
      <c r="H5" s="3357" t="s">
        <v>991</v>
      </c>
      <c r="I5" s="3357"/>
      <c r="J5" s="3357"/>
      <c r="K5" s="3357"/>
      <c r="L5" s="3357"/>
      <c r="M5" s="3357"/>
      <c r="N5" s="3357"/>
      <c r="O5" s="3357"/>
      <c r="P5" s="3357"/>
      <c r="Q5" s="3357"/>
      <c r="R5" s="3357"/>
      <c r="S5" s="3357"/>
      <c r="T5" s="3357"/>
      <c r="U5" s="3357"/>
      <c r="V5" s="1824"/>
    </row>
    <row r="6" spans="1:27" ht="15.5" x14ac:dyDescent="0.35">
      <c r="I6" s="413"/>
      <c r="J6" s="413"/>
      <c r="K6" s="413"/>
      <c r="L6" s="413"/>
      <c r="M6" s="1297"/>
      <c r="O6" s="410"/>
      <c r="P6" s="410"/>
      <c r="Q6" s="410"/>
      <c r="R6" s="410"/>
    </row>
    <row r="7" spans="1:27" ht="15.5" hidden="1" x14ac:dyDescent="0.35">
      <c r="E7" s="254"/>
      <c r="F7" s="254"/>
      <c r="G7" s="254"/>
      <c r="H7" s="2145" t="s">
        <v>446</v>
      </c>
      <c r="I7" s="413"/>
      <c r="J7" s="415"/>
      <c r="K7" s="415"/>
      <c r="L7" s="415"/>
      <c r="M7" s="2145"/>
      <c r="N7" s="2145" t="s">
        <v>446</v>
      </c>
      <c r="O7" s="410"/>
      <c r="P7" s="410"/>
      <c r="Q7" s="410"/>
      <c r="R7" s="410"/>
      <c r="U7" s="2145" t="s">
        <v>446</v>
      </c>
    </row>
    <row r="8" spans="1:27" ht="15.5" hidden="1" x14ac:dyDescent="0.35">
      <c r="E8" s="254"/>
      <c r="F8" s="254"/>
      <c r="G8" s="254"/>
      <c r="H8" s="1827"/>
      <c r="I8" s="413"/>
      <c r="J8" s="415"/>
      <c r="K8" s="415"/>
      <c r="L8" s="415"/>
      <c r="M8" s="1827"/>
      <c r="N8" s="1827"/>
      <c r="P8" s="410"/>
      <c r="Q8" s="410"/>
      <c r="U8" s="1827"/>
    </row>
    <row r="9" spans="1:27" ht="15.5" hidden="1" x14ac:dyDescent="0.35">
      <c r="E9" s="254"/>
      <c r="F9" s="254"/>
      <c r="G9" s="254"/>
      <c r="H9" s="2145" t="s">
        <v>848</v>
      </c>
      <c r="I9" s="413"/>
      <c r="J9" s="415"/>
      <c r="K9" s="415"/>
      <c r="L9" s="415"/>
      <c r="M9" s="2145"/>
      <c r="N9" s="2145" t="s">
        <v>848</v>
      </c>
      <c r="O9" s="410"/>
      <c r="P9" s="410"/>
      <c r="Q9" s="410"/>
      <c r="R9" s="410"/>
      <c r="U9" s="2145" t="s">
        <v>848</v>
      </c>
    </row>
    <row r="10" spans="1:27" ht="15.5" hidden="1" x14ac:dyDescent="0.35">
      <c r="H10" s="393"/>
      <c r="I10" s="1828">
        <v>73707.5</v>
      </c>
      <c r="J10" s="413"/>
      <c r="K10" s="413"/>
      <c r="L10" s="413"/>
      <c r="M10" s="1297"/>
      <c r="N10" s="393"/>
      <c r="O10" s="410"/>
      <c r="P10" s="410"/>
      <c r="Q10" s="410"/>
      <c r="U10" s="393"/>
    </row>
    <row r="11" spans="1:27" ht="13" x14ac:dyDescent="0.3">
      <c r="G11" s="392"/>
      <c r="H11" s="393"/>
      <c r="I11" s="1829">
        <v>3685.4</v>
      </c>
      <c r="N11" s="393"/>
      <c r="U11" s="393"/>
    </row>
    <row r="12" spans="1:27" ht="15.5" x14ac:dyDescent="0.3">
      <c r="B12" s="3387"/>
      <c r="C12" s="3387"/>
      <c r="D12" s="3387"/>
      <c r="E12" s="3387"/>
      <c r="F12" s="3387"/>
      <c r="G12" s="3387"/>
      <c r="H12" s="3387"/>
      <c r="I12" s="1830" t="e">
        <f>I10-I11-#REF!</f>
        <v>#REF!</v>
      </c>
      <c r="N12" s="237"/>
      <c r="U12" s="237"/>
    </row>
    <row r="13" spans="1:27" ht="15.65" customHeight="1" x14ac:dyDescent="0.25">
      <c r="A13" s="3388" t="s">
        <v>614</v>
      </c>
      <c r="B13" s="3388"/>
      <c r="C13" s="3388"/>
      <c r="D13" s="3388"/>
      <c r="E13" s="3388"/>
      <c r="F13" s="3388"/>
      <c r="G13" s="3388"/>
      <c r="H13" s="3388"/>
      <c r="I13" s="3388"/>
      <c r="J13" s="3388"/>
      <c r="K13" s="3388"/>
      <c r="L13" s="3388"/>
      <c r="M13" s="3388"/>
      <c r="N13" s="3388"/>
      <c r="O13" s="3388"/>
      <c r="P13" s="3388"/>
      <c r="Q13" s="3388"/>
      <c r="R13" s="3388"/>
      <c r="S13" s="3388"/>
      <c r="T13" s="3388"/>
      <c r="U13" s="3388"/>
      <c r="AA13" s="1831"/>
    </row>
    <row r="14" spans="1:27" ht="15.65" customHeight="1" x14ac:dyDescent="0.25">
      <c r="A14" s="3388" t="s">
        <v>613</v>
      </c>
      <c r="B14" s="3388"/>
      <c r="C14" s="3388"/>
      <c r="D14" s="3388"/>
      <c r="E14" s="3388"/>
      <c r="F14" s="3388"/>
      <c r="G14" s="3388"/>
      <c r="H14" s="3388"/>
      <c r="I14" s="3388"/>
      <c r="J14" s="3388"/>
      <c r="K14" s="3388"/>
      <c r="L14" s="3388"/>
      <c r="M14" s="3388"/>
      <c r="N14" s="3388"/>
      <c r="O14" s="3388"/>
      <c r="P14" s="3388"/>
      <c r="Q14" s="3388"/>
      <c r="R14" s="3388"/>
      <c r="S14" s="3388"/>
      <c r="T14" s="3388"/>
      <c r="U14" s="3388"/>
      <c r="AA14" s="1832"/>
    </row>
    <row r="15" spans="1:27" ht="15" customHeight="1" x14ac:dyDescent="0.25">
      <c r="A15" s="3388" t="s">
        <v>995</v>
      </c>
      <c r="B15" s="3388"/>
      <c r="C15" s="3388"/>
      <c r="D15" s="3388"/>
      <c r="E15" s="3388"/>
      <c r="F15" s="3388"/>
      <c r="G15" s="3388"/>
      <c r="H15" s="3388"/>
      <c r="I15" s="3388"/>
      <c r="J15" s="3388"/>
      <c r="K15" s="3388"/>
      <c r="L15" s="3388"/>
      <c r="M15" s="3388"/>
      <c r="N15" s="3388"/>
      <c r="O15" s="3388"/>
      <c r="P15" s="3388"/>
      <c r="Q15" s="3388"/>
      <c r="R15" s="3388"/>
      <c r="S15" s="3388"/>
      <c r="T15" s="3388"/>
      <c r="U15" s="3388"/>
      <c r="AA15" s="1833"/>
    </row>
    <row r="16" spans="1:27" ht="16" thickBot="1" x14ac:dyDescent="0.4">
      <c r="A16" s="375"/>
      <c r="B16" s="236"/>
      <c r="C16" s="235"/>
      <c r="D16" s="234"/>
      <c r="E16" s="234"/>
      <c r="F16" s="234"/>
      <c r="G16" s="234"/>
      <c r="H16" s="1834"/>
      <c r="I16" s="1835"/>
      <c r="N16" s="1834"/>
      <c r="U16" s="1834" t="s">
        <v>829</v>
      </c>
    </row>
    <row r="17" spans="1:27" ht="13" thickBot="1" x14ac:dyDescent="0.3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845</v>
      </c>
      <c r="I17" s="846" t="s">
        <v>604</v>
      </c>
      <c r="J17" s="368" t="s">
        <v>603</v>
      </c>
      <c r="K17" s="1855"/>
      <c r="L17" s="1855"/>
      <c r="M17" s="1855"/>
      <c r="N17" s="1162" t="s">
        <v>904</v>
      </c>
      <c r="O17" s="1855"/>
      <c r="P17" s="1855"/>
      <c r="Q17" s="1855"/>
      <c r="R17" s="1855"/>
      <c r="S17" s="1855"/>
      <c r="T17" s="1855"/>
      <c r="U17" s="1673" t="s">
        <v>996</v>
      </c>
    </row>
    <row r="18" spans="1:27" ht="13.5" thickBot="1" x14ac:dyDescent="0.3">
      <c r="A18" s="1163"/>
      <c r="B18" s="1164" t="s">
        <v>618</v>
      </c>
      <c r="C18" s="1165"/>
      <c r="D18" s="1166"/>
      <c r="E18" s="1166"/>
      <c r="F18" s="1166"/>
      <c r="G18" s="1659"/>
      <c r="H18" s="1674">
        <f>H20+H481</f>
        <v>103738.37300000001</v>
      </c>
      <c r="I18" s="847">
        <f>I19+I53+I460</f>
        <v>41834.239999999998</v>
      </c>
      <c r="J18" s="363">
        <f>J19+J53+J460</f>
        <v>39496.512999999999</v>
      </c>
      <c r="K18" s="1858">
        <f>K21+K132+K161+K168+K204+K211+K225+K244+K246+K255+K286+K360+K373+K400+K418+K448</f>
        <v>32490.631000000001</v>
      </c>
      <c r="L18" s="1858">
        <v>95708.6</v>
      </c>
      <c r="M18" s="1858">
        <f>H18-L18</f>
        <v>8029.773000000001</v>
      </c>
      <c r="N18" s="1167">
        <f>N20+N481</f>
        <v>105114.28600000001</v>
      </c>
      <c r="O18" s="1858"/>
      <c r="P18" s="1858"/>
      <c r="Q18" s="1858"/>
      <c r="R18" s="1858"/>
      <c r="S18" s="1858"/>
      <c r="T18" s="1858"/>
      <c r="U18" s="1674">
        <f>U20+U481</f>
        <v>100841.85499999998</v>
      </c>
    </row>
    <row r="19" spans="1:27" ht="21.5" hidden="1" thickBot="1" x14ac:dyDescent="0.3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23386.934000000001</v>
      </c>
      <c r="I19" s="848">
        <f>I21</f>
        <v>0</v>
      </c>
      <c r="J19" s="292">
        <f>J21</f>
        <v>0</v>
      </c>
      <c r="K19" s="1858"/>
      <c r="L19" s="1858"/>
      <c r="M19" s="1858"/>
      <c r="N19" s="1170">
        <f>N21</f>
        <v>22329.050999999999</v>
      </c>
      <c r="O19" s="1858"/>
      <c r="P19" s="1858"/>
      <c r="Q19" s="1858"/>
      <c r="R19" s="1858"/>
      <c r="S19" s="1858"/>
      <c r="T19" s="1858"/>
      <c r="U19" s="1675">
        <f>U21</f>
        <v>22649.812000000002</v>
      </c>
    </row>
    <row r="20" spans="1:27" ht="23.5" thickBot="1" x14ac:dyDescent="0.3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H21+H120+H130+H165+H222+H357+H371+H399+H418+H448</f>
        <v>100039.58</v>
      </c>
      <c r="I20" s="848">
        <f>I21+I100+I131+I193+I285+I298+I363+I385+I90</f>
        <v>17641.879999999997</v>
      </c>
      <c r="J20" s="293">
        <f>J21+J100+J131+J193+J285+J298+J363+J385+J90</f>
        <v>13887.225999999999</v>
      </c>
      <c r="K20" s="1858"/>
      <c r="L20" s="1858"/>
      <c r="M20" s="1858"/>
      <c r="N20" s="1170">
        <f>N21+N120+N130+N165+N222+N357+N371+N399+N418+N448</f>
        <v>101266.54500000001</v>
      </c>
      <c r="O20" s="1858"/>
      <c r="P20" s="1858"/>
      <c r="Q20" s="1858"/>
      <c r="R20" s="1858"/>
      <c r="S20" s="1858"/>
      <c r="T20" s="1858"/>
      <c r="U20" s="1675">
        <f>U21+U120+U130+U165+U222+U357+U371+U399+U418+U448</f>
        <v>97340.242999999988</v>
      </c>
      <c r="AA20" s="1836"/>
    </row>
    <row r="21" spans="1:27" ht="13" thickBot="1" x14ac:dyDescent="0.3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H55+H79+H93+H100+H86</f>
        <v>23386.934000000001</v>
      </c>
      <c r="I21" s="849">
        <f>I22+I34+I47</f>
        <v>0</v>
      </c>
      <c r="J21" s="287">
        <f>J22+J34+J47</f>
        <v>0</v>
      </c>
      <c r="K21" s="1862">
        <f>K33+K39+K40+K41+K61+K63+K65+K68+K71+K78+K85+K99+K103+K104+K106+K109</f>
        <v>18000.908000000003</v>
      </c>
      <c r="L21" s="1858"/>
      <c r="M21" s="1858"/>
      <c r="N21" s="1176">
        <f>N28+N34+N55+N79+N93+N100</f>
        <v>22329.050999999999</v>
      </c>
      <c r="O21" s="1858"/>
      <c r="P21" s="1858"/>
      <c r="Q21" s="1858"/>
      <c r="R21" s="1858"/>
      <c r="S21" s="1858"/>
      <c r="T21" s="1858"/>
      <c r="U21" s="1676">
        <f>U28+U34+U55+U79+U93+U100</f>
        <v>22649.812000000002</v>
      </c>
    </row>
    <row r="22" spans="1:27" ht="21.5" hidden="1" thickBot="1" x14ac:dyDescent="0.3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K22" s="1858"/>
      <c r="L22" s="1858"/>
      <c r="M22" s="1858"/>
      <c r="N22" s="1178"/>
      <c r="O22" s="1858"/>
      <c r="P22" s="1858"/>
      <c r="Q22" s="1858"/>
      <c r="R22" s="1858"/>
      <c r="S22" s="1858"/>
      <c r="T22" s="1858"/>
      <c r="U22" s="1677"/>
    </row>
    <row r="23" spans="1:27" ht="21.5" hidden="1" thickBot="1" x14ac:dyDescent="0.3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K23" s="1858"/>
      <c r="L23" s="1858"/>
      <c r="M23" s="1858"/>
      <c r="N23" s="1181"/>
      <c r="O23" s="1858"/>
      <c r="P23" s="1858"/>
      <c r="Q23" s="1858"/>
      <c r="R23" s="1858"/>
      <c r="S23" s="1858"/>
      <c r="T23" s="1858"/>
      <c r="U23" s="1678"/>
    </row>
    <row r="24" spans="1:27" ht="21.5" hidden="1" thickBot="1" x14ac:dyDescent="0.3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K24" s="1858"/>
      <c r="L24" s="1858"/>
      <c r="M24" s="1858"/>
      <c r="N24" s="1181"/>
      <c r="O24" s="1858"/>
      <c r="P24" s="1858"/>
      <c r="Q24" s="1858"/>
      <c r="R24" s="1858"/>
      <c r="S24" s="1858"/>
      <c r="T24" s="1858"/>
      <c r="U24" s="1678"/>
    </row>
    <row r="25" spans="1:27" ht="13" hidden="1" thickBot="1" x14ac:dyDescent="0.3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K25" s="1858"/>
      <c r="L25" s="1858"/>
      <c r="M25" s="1858"/>
      <c r="N25" s="1181"/>
      <c r="O25" s="1858"/>
      <c r="P25" s="1858"/>
      <c r="Q25" s="1858"/>
      <c r="R25" s="1858"/>
      <c r="S25" s="1858"/>
      <c r="T25" s="1858"/>
      <c r="U25" s="1678"/>
    </row>
    <row r="26" spans="1:27" ht="21.5" hidden="1" thickBot="1" x14ac:dyDescent="0.3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K26" s="1858"/>
      <c r="L26" s="1858"/>
      <c r="M26" s="1858"/>
      <c r="N26" s="1181"/>
      <c r="O26" s="1858"/>
      <c r="P26" s="1858"/>
      <c r="Q26" s="1858"/>
      <c r="R26" s="1858"/>
      <c r="S26" s="1858"/>
      <c r="T26" s="1858"/>
      <c r="U26" s="1678"/>
    </row>
    <row r="27" spans="1:27" ht="13" hidden="1" thickBot="1" x14ac:dyDescent="0.3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K27" s="1858"/>
      <c r="L27" s="1858"/>
      <c r="M27" s="1858"/>
      <c r="N27" s="1181"/>
      <c r="O27" s="1858"/>
      <c r="P27" s="1858"/>
      <c r="Q27" s="1858"/>
      <c r="R27" s="1858"/>
      <c r="S27" s="1858"/>
      <c r="T27" s="1858"/>
      <c r="U27" s="1678"/>
    </row>
    <row r="28" spans="1:27" ht="23.5" hidden="1" thickBot="1" x14ac:dyDescent="0.3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/>
      <c r="I28" s="851"/>
      <c r="J28" s="353"/>
      <c r="K28" s="1858"/>
      <c r="L28" s="1858"/>
      <c r="M28" s="1858"/>
      <c r="N28" s="1178"/>
      <c r="O28" s="1858"/>
      <c r="P28" s="1858"/>
      <c r="Q28" s="1858"/>
      <c r="R28" s="1858"/>
      <c r="S28" s="1858"/>
      <c r="T28" s="1858"/>
      <c r="U28" s="1677"/>
    </row>
    <row r="29" spans="1:27" ht="24.75" hidden="1" customHeight="1" x14ac:dyDescent="0.25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/>
      <c r="I29" s="851"/>
      <c r="J29" s="353"/>
      <c r="K29" s="1858"/>
      <c r="L29" s="1858"/>
      <c r="M29" s="1858"/>
      <c r="N29" s="1181"/>
      <c r="O29" s="1858"/>
      <c r="P29" s="1858"/>
      <c r="Q29" s="1858"/>
      <c r="R29" s="1858"/>
      <c r="S29" s="1858"/>
      <c r="T29" s="1858"/>
      <c r="U29" s="1678"/>
    </row>
    <row r="30" spans="1:27" ht="21.5" hidden="1" thickBot="1" x14ac:dyDescent="0.3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/>
      <c r="I30" s="851"/>
      <c r="J30" s="353"/>
      <c r="K30" s="1858"/>
      <c r="L30" s="1858"/>
      <c r="M30" s="1858"/>
      <c r="N30" s="1181"/>
      <c r="O30" s="1858"/>
      <c r="P30" s="1858"/>
      <c r="Q30" s="1858"/>
      <c r="R30" s="1858"/>
      <c r="S30" s="1858"/>
      <c r="T30" s="1858"/>
      <c r="U30" s="1678"/>
    </row>
    <row r="31" spans="1:27" ht="13" hidden="1" thickBot="1" x14ac:dyDescent="0.3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/>
      <c r="I31" s="851"/>
      <c r="J31" s="353"/>
      <c r="K31" s="1858"/>
      <c r="L31" s="1858"/>
      <c r="M31" s="1858"/>
      <c r="N31" s="1181"/>
      <c r="O31" s="1858"/>
      <c r="P31" s="1858"/>
      <c r="Q31" s="1858"/>
      <c r="R31" s="1858"/>
      <c r="S31" s="1858"/>
      <c r="T31" s="1858"/>
      <c r="U31" s="1678"/>
    </row>
    <row r="32" spans="1:27" ht="21.5" hidden="1" thickBot="1" x14ac:dyDescent="0.3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/>
      <c r="I32" s="851"/>
      <c r="J32" s="353"/>
      <c r="K32" s="1858"/>
      <c r="L32" s="1858"/>
      <c r="M32" s="1858"/>
      <c r="N32" s="1181"/>
      <c r="O32" s="1858"/>
      <c r="P32" s="1858"/>
      <c r="Q32" s="1858"/>
      <c r="R32" s="1858"/>
      <c r="S32" s="1858"/>
      <c r="T32" s="1858"/>
      <c r="U32" s="1678"/>
    </row>
    <row r="33" spans="1:21" ht="13" hidden="1" thickBot="1" x14ac:dyDescent="0.3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/>
      <c r="I33" s="851"/>
      <c r="J33" s="353"/>
      <c r="K33" s="1858"/>
      <c r="L33" s="1858"/>
      <c r="M33" s="1858"/>
      <c r="N33" s="1181"/>
      <c r="O33" s="1858"/>
      <c r="P33" s="1858"/>
      <c r="Q33" s="1858"/>
      <c r="R33" s="1858"/>
      <c r="S33" s="1858"/>
      <c r="T33" s="1858"/>
      <c r="U33" s="1678"/>
    </row>
    <row r="34" spans="1:21" ht="35" hidden="1" thickBot="1" x14ac:dyDescent="0.3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7"/>
      <c r="I34" s="850"/>
      <c r="J34" s="355"/>
      <c r="K34" s="1858"/>
      <c r="L34" s="1858"/>
      <c r="M34" s="1858"/>
      <c r="N34" s="1178"/>
      <c r="O34" s="1858"/>
      <c r="P34" s="1858"/>
      <c r="Q34" s="1858"/>
      <c r="R34" s="1858"/>
      <c r="S34" s="1858"/>
      <c r="T34" s="1858"/>
      <c r="U34" s="1677"/>
    </row>
    <row r="35" spans="1:21" ht="26.25" hidden="1" customHeight="1" x14ac:dyDescent="0.25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/>
      <c r="I35" s="851"/>
      <c r="J35" s="353"/>
      <c r="K35" s="1858"/>
      <c r="L35" s="1858"/>
      <c r="M35" s="1858"/>
      <c r="N35" s="1181"/>
      <c r="O35" s="1858"/>
      <c r="P35" s="1858"/>
      <c r="Q35" s="1858"/>
      <c r="R35" s="1858"/>
      <c r="S35" s="1858"/>
      <c r="T35" s="1858"/>
      <c r="U35" s="1678"/>
    </row>
    <row r="36" spans="1:21" ht="27" hidden="1" customHeight="1" x14ac:dyDescent="0.25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/>
      <c r="I36" s="851"/>
      <c r="J36" s="353"/>
      <c r="K36" s="1858"/>
      <c r="L36" s="1858"/>
      <c r="M36" s="1858"/>
      <c r="N36" s="1181"/>
      <c r="O36" s="1858"/>
      <c r="P36" s="1858"/>
      <c r="Q36" s="1858"/>
      <c r="R36" s="1858"/>
      <c r="S36" s="1858"/>
      <c r="T36" s="1858"/>
      <c r="U36" s="1678"/>
    </row>
    <row r="37" spans="1:21" ht="13" hidden="1" thickBot="1" x14ac:dyDescent="0.3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/>
      <c r="I37" s="851"/>
      <c r="J37" s="353"/>
      <c r="K37" s="1858"/>
      <c r="L37" s="1858"/>
      <c r="M37" s="1858"/>
      <c r="N37" s="1181"/>
      <c r="O37" s="1858"/>
      <c r="P37" s="1858"/>
      <c r="Q37" s="1858"/>
      <c r="R37" s="1858"/>
      <c r="S37" s="1858"/>
      <c r="T37" s="1858"/>
      <c r="U37" s="1678"/>
    </row>
    <row r="38" spans="1:21" ht="13" hidden="1" thickBot="1" x14ac:dyDescent="0.3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/>
      <c r="I38" s="851"/>
      <c r="J38" s="353"/>
      <c r="K38" s="1858"/>
      <c r="L38" s="1858"/>
      <c r="M38" s="1858"/>
      <c r="N38" s="1181"/>
      <c r="O38" s="1858"/>
      <c r="P38" s="1858"/>
      <c r="Q38" s="1858"/>
      <c r="R38" s="1858"/>
      <c r="S38" s="1858"/>
      <c r="T38" s="1858"/>
      <c r="U38" s="1678"/>
    </row>
    <row r="39" spans="1:21" ht="13" hidden="1" thickBot="1" x14ac:dyDescent="0.3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/>
      <c r="I39" s="851"/>
      <c r="J39" s="352"/>
      <c r="K39" s="1858"/>
      <c r="L39" s="1858"/>
      <c r="M39" s="1858"/>
      <c r="N39" s="1181"/>
      <c r="O39" s="1858"/>
      <c r="P39" s="1858"/>
      <c r="Q39" s="1858"/>
      <c r="R39" s="1858"/>
      <c r="S39" s="1858"/>
      <c r="T39" s="1858"/>
      <c r="U39" s="1678"/>
    </row>
    <row r="40" spans="1:21" ht="21.5" hidden="1" thickBot="1" x14ac:dyDescent="0.3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838"/>
      <c r="I40" s="851"/>
      <c r="J40" s="352"/>
      <c r="K40" s="1859"/>
      <c r="L40" s="1858"/>
      <c r="M40" s="1858"/>
      <c r="N40" s="1840"/>
      <c r="O40" s="1858"/>
      <c r="P40" s="1858"/>
      <c r="Q40" s="1858"/>
      <c r="R40" s="1858"/>
      <c r="S40" s="1858"/>
      <c r="T40" s="1858"/>
      <c r="U40" s="1838"/>
    </row>
    <row r="41" spans="1:21" ht="13" hidden="1" thickBot="1" x14ac:dyDescent="0.3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838"/>
      <c r="I41" s="851"/>
      <c r="J41" s="1187"/>
      <c r="K41" s="1859"/>
      <c r="L41" s="1858"/>
      <c r="M41" s="1858"/>
      <c r="N41" s="1840"/>
      <c r="O41" s="1858"/>
      <c r="P41" s="1858"/>
      <c r="Q41" s="1858"/>
      <c r="R41" s="1858"/>
      <c r="S41" s="1858"/>
      <c r="T41" s="1858"/>
      <c r="U41" s="1838"/>
    </row>
    <row r="42" spans="1:21" ht="13" hidden="1" thickBot="1" x14ac:dyDescent="0.3">
      <c r="A42" s="842"/>
      <c r="B42" s="1182"/>
      <c r="C42" s="1183"/>
      <c r="D42" s="409"/>
      <c r="E42" s="409"/>
      <c r="F42" s="409"/>
      <c r="G42" s="1662"/>
      <c r="H42" s="1838"/>
      <c r="I42" s="851"/>
      <c r="J42" s="1187"/>
      <c r="K42" s="1859"/>
      <c r="L42" s="1858"/>
      <c r="M42" s="1858"/>
      <c r="N42" s="1840"/>
      <c r="O42" s="1858"/>
      <c r="P42" s="1858"/>
      <c r="Q42" s="1858"/>
      <c r="R42" s="1858"/>
      <c r="S42" s="1858"/>
      <c r="T42" s="1858"/>
      <c r="U42" s="1838"/>
    </row>
    <row r="43" spans="1:21" ht="32" hidden="1" thickBot="1" x14ac:dyDescent="0.3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1">H44</f>
        <v>0</v>
      </c>
      <c r="I43" s="851">
        <f t="shared" si="1"/>
        <v>659.56200000000001</v>
      </c>
      <c r="J43" s="353">
        <f t="shared" si="1"/>
        <v>725.51900000000001</v>
      </c>
      <c r="K43" s="1858"/>
      <c r="L43" s="1858"/>
      <c r="M43" s="1858"/>
      <c r="N43" s="1181"/>
      <c r="O43" s="1858"/>
      <c r="P43" s="1858"/>
      <c r="Q43" s="1858"/>
      <c r="R43" s="1858"/>
      <c r="S43" s="1858"/>
      <c r="T43" s="1858"/>
      <c r="U43" s="1678"/>
    </row>
    <row r="44" spans="1:21" ht="13" hidden="1" thickBot="1" x14ac:dyDescent="0.3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1"/>
        <v>0</v>
      </c>
      <c r="I44" s="851">
        <f t="shared" si="1"/>
        <v>659.56200000000001</v>
      </c>
      <c r="J44" s="353">
        <f t="shared" si="1"/>
        <v>725.51900000000001</v>
      </c>
      <c r="K44" s="1858"/>
      <c r="L44" s="1858"/>
      <c r="M44" s="1858"/>
      <c r="N44" s="1181"/>
      <c r="O44" s="1858"/>
      <c r="P44" s="1858"/>
      <c r="Q44" s="1858"/>
      <c r="R44" s="1858"/>
      <c r="S44" s="1858"/>
      <c r="T44" s="1858"/>
      <c r="U44" s="1678"/>
    </row>
    <row r="45" spans="1:21" ht="21.5" hidden="1" thickBot="1" x14ac:dyDescent="0.3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1"/>
        <v>0</v>
      </c>
      <c r="I45" s="851">
        <f t="shared" si="1"/>
        <v>659.56200000000001</v>
      </c>
      <c r="J45" s="353">
        <f t="shared" si="1"/>
        <v>725.51900000000001</v>
      </c>
      <c r="K45" s="1858"/>
      <c r="L45" s="1858"/>
      <c r="M45" s="1858"/>
      <c r="N45" s="1181"/>
      <c r="O45" s="1858"/>
      <c r="P45" s="1858"/>
      <c r="Q45" s="1858"/>
      <c r="R45" s="1858"/>
      <c r="S45" s="1858"/>
      <c r="T45" s="1858"/>
      <c r="U45" s="1678"/>
    </row>
    <row r="46" spans="1:21" ht="13" hidden="1" thickBot="1" x14ac:dyDescent="0.3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1858">
        <v>0</v>
      </c>
      <c r="L46" s="1858"/>
      <c r="M46" s="1858"/>
      <c r="N46" s="1181"/>
      <c r="O46" s="1858"/>
      <c r="P46" s="1858"/>
      <c r="Q46" s="1858"/>
      <c r="R46" s="1858"/>
      <c r="S46" s="1858"/>
      <c r="T46" s="1858"/>
      <c r="U46" s="1678"/>
    </row>
    <row r="47" spans="1:21" ht="21.5" hidden="1" thickBot="1" x14ac:dyDescent="0.3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2">I48</f>
        <v>0</v>
      </c>
      <c r="J47" s="354">
        <f t="shared" si="2"/>
        <v>0</v>
      </c>
      <c r="K47" s="1858"/>
      <c r="L47" s="1858"/>
      <c r="M47" s="1858"/>
      <c r="N47" s="1178"/>
      <c r="O47" s="1858"/>
      <c r="P47" s="1858"/>
      <c r="Q47" s="1858"/>
      <c r="R47" s="1858"/>
      <c r="S47" s="1858"/>
      <c r="T47" s="1858"/>
      <c r="U47" s="1677"/>
    </row>
    <row r="48" spans="1:21" ht="21.5" hidden="1" thickBot="1" x14ac:dyDescent="0.3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2"/>
        <v>0</v>
      </c>
      <c r="I48" s="851">
        <f t="shared" si="2"/>
        <v>0</v>
      </c>
      <c r="J48" s="352">
        <f t="shared" si="2"/>
        <v>0</v>
      </c>
      <c r="K48" s="1858"/>
      <c r="L48" s="1858"/>
      <c r="M48" s="1858"/>
      <c r="N48" s="1181">
        <f t="shared" ref="N48:N51" si="3">N49</f>
        <v>0</v>
      </c>
      <c r="O48" s="1858"/>
      <c r="P48" s="1858"/>
      <c r="Q48" s="1858"/>
      <c r="R48" s="1858"/>
      <c r="S48" s="1858"/>
      <c r="T48" s="1858"/>
      <c r="U48" s="1678">
        <f t="shared" ref="U48:U51" si="4">U49</f>
        <v>0</v>
      </c>
    </row>
    <row r="49" spans="1:27" ht="21.5" hidden="1" thickBot="1" x14ac:dyDescent="0.3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2"/>
        <v>0</v>
      </c>
      <c r="I49" s="851">
        <f t="shared" si="2"/>
        <v>0</v>
      </c>
      <c r="J49" s="352">
        <f t="shared" si="2"/>
        <v>0</v>
      </c>
      <c r="K49" s="1858"/>
      <c r="L49" s="1858"/>
      <c r="M49" s="1858"/>
      <c r="N49" s="1181">
        <f t="shared" si="3"/>
        <v>0</v>
      </c>
      <c r="O49" s="1858"/>
      <c r="P49" s="1858"/>
      <c r="Q49" s="1858"/>
      <c r="R49" s="1858"/>
      <c r="S49" s="1858"/>
      <c r="T49" s="1858"/>
      <c r="U49" s="1678">
        <f t="shared" si="4"/>
        <v>0</v>
      </c>
    </row>
    <row r="50" spans="1:27" ht="13" hidden="1" thickBot="1" x14ac:dyDescent="0.3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2"/>
        <v>0</v>
      </c>
      <c r="I50" s="851">
        <f t="shared" si="2"/>
        <v>0</v>
      </c>
      <c r="J50" s="352">
        <f t="shared" si="2"/>
        <v>0</v>
      </c>
      <c r="K50" s="1858"/>
      <c r="L50" s="1858"/>
      <c r="M50" s="1858"/>
      <c r="N50" s="1181">
        <f t="shared" si="3"/>
        <v>0</v>
      </c>
      <c r="O50" s="1858"/>
      <c r="P50" s="1858"/>
      <c r="Q50" s="1858"/>
      <c r="R50" s="1858"/>
      <c r="S50" s="1858"/>
      <c r="T50" s="1858"/>
      <c r="U50" s="1678">
        <f t="shared" si="4"/>
        <v>0</v>
      </c>
    </row>
    <row r="51" spans="1:27" ht="21.5" hidden="1" thickBot="1" x14ac:dyDescent="0.3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2"/>
        <v>0</v>
      </c>
      <c r="I51" s="851">
        <f t="shared" si="2"/>
        <v>0</v>
      </c>
      <c r="J51" s="352">
        <f t="shared" si="2"/>
        <v>0</v>
      </c>
      <c r="K51" s="1858"/>
      <c r="L51" s="1858"/>
      <c r="M51" s="1858"/>
      <c r="N51" s="1181">
        <f t="shared" si="3"/>
        <v>0</v>
      </c>
      <c r="O51" s="1858"/>
      <c r="P51" s="1858"/>
      <c r="Q51" s="1858"/>
      <c r="R51" s="1858"/>
      <c r="S51" s="1858"/>
      <c r="T51" s="1858"/>
      <c r="U51" s="1678">
        <f t="shared" si="4"/>
        <v>0</v>
      </c>
    </row>
    <row r="52" spans="1:27" ht="13" hidden="1" thickBot="1" x14ac:dyDescent="0.3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K52" s="1858"/>
      <c r="L52" s="1858"/>
      <c r="M52" s="1858"/>
      <c r="N52" s="1194"/>
      <c r="O52" s="1858"/>
      <c r="P52" s="1858"/>
      <c r="Q52" s="1858"/>
      <c r="R52" s="1858"/>
      <c r="S52" s="1858"/>
      <c r="T52" s="1858"/>
      <c r="U52" s="1681"/>
    </row>
    <row r="53" spans="1:27" ht="23.5" hidden="1" thickBot="1" x14ac:dyDescent="0.3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H54+H130+H165+H222+H357+H372+H399+H418+H120</f>
        <v>91786.85</v>
      </c>
      <c r="I53" s="848">
        <f>I54+I130+I165+I222+I357+I372+I399+I418+I120</f>
        <v>33621.64</v>
      </c>
      <c r="J53" s="293">
        <f>J54+J130+J165+J222+J357+J372+J399+J418+J120</f>
        <v>31233.512999999999</v>
      </c>
      <c r="K53" s="1858"/>
      <c r="L53" s="1858"/>
      <c r="M53" s="1858"/>
      <c r="N53" s="1170">
        <f>N54+N130+N165+N222+N357+N372+N399+N418+N120</f>
        <v>93102.224999999991</v>
      </c>
      <c r="O53" s="1858"/>
      <c r="P53" s="1858"/>
      <c r="Q53" s="1858"/>
      <c r="R53" s="1858"/>
      <c r="S53" s="1858"/>
      <c r="T53" s="1858"/>
      <c r="U53" s="1675">
        <f>U54+U130+U165+U222+U357+U372+U399+U418+U120</f>
        <v>88833.353000000003</v>
      </c>
    </row>
    <row r="54" spans="1:27" ht="13" hidden="1" thickBot="1" x14ac:dyDescent="0.3">
      <c r="A54" s="1841"/>
      <c r="B54" s="1842" t="s">
        <v>431</v>
      </c>
      <c r="C54" s="1843"/>
      <c r="D54" s="1844" t="s">
        <v>456</v>
      </c>
      <c r="E54" s="1844" t="s">
        <v>459</v>
      </c>
      <c r="F54" s="1844"/>
      <c r="G54" s="1845"/>
      <c r="H54" s="1674">
        <f>H55+H93+H100+H86</f>
        <v>22967.204000000002</v>
      </c>
      <c r="I54" s="1846">
        <f>I55+I93+I100</f>
        <v>15821.640000000001</v>
      </c>
      <c r="J54" s="1847">
        <f>J55+J93+J100</f>
        <v>16796.02</v>
      </c>
      <c r="K54" s="1858"/>
      <c r="L54" s="1858"/>
      <c r="M54" s="1858"/>
      <c r="N54" s="1167">
        <f>N55+N93+N100+N86</f>
        <v>22329.050999999999</v>
      </c>
      <c r="O54" s="1858"/>
      <c r="P54" s="1858"/>
      <c r="Q54" s="1858"/>
      <c r="R54" s="1858"/>
      <c r="S54" s="1858"/>
      <c r="T54" s="1858"/>
      <c r="U54" s="1674">
        <f>U55+U93+U100+U86</f>
        <v>22649.812000000002</v>
      </c>
    </row>
    <row r="55" spans="1:27" ht="34.5" x14ac:dyDescent="0.25">
      <c r="A55" s="1848"/>
      <c r="B55" s="1849" t="s">
        <v>105</v>
      </c>
      <c r="C55" s="1850"/>
      <c r="D55" s="1361" t="s">
        <v>456</v>
      </c>
      <c r="E55" s="1361" t="s">
        <v>452</v>
      </c>
      <c r="F55" s="1361"/>
      <c r="G55" s="1851"/>
      <c r="H55" s="1852">
        <f>H56</f>
        <v>19041.704000000002</v>
      </c>
      <c r="I55" s="1853">
        <f>I56</f>
        <v>15223.140000000001</v>
      </c>
      <c r="J55" s="1854">
        <f>J56</f>
        <v>16197.52</v>
      </c>
      <c r="K55" s="1855">
        <f>K61+K63+K65+K68+K71+K78+K85</f>
        <v>17500.908000000003</v>
      </c>
      <c r="L55" s="1855">
        <f>18156.908</f>
        <v>18156.907999999999</v>
      </c>
      <c r="M55" s="1855">
        <f>L55-K55</f>
        <v>655.99999999999636</v>
      </c>
      <c r="N55" s="1856">
        <f>N56</f>
        <v>18529.050999999999</v>
      </c>
      <c r="O55" s="1855"/>
      <c r="P55" s="1855"/>
      <c r="Q55" s="1855"/>
      <c r="R55" s="1855"/>
      <c r="S55" s="1855"/>
      <c r="T55" s="1855"/>
      <c r="U55" s="1852">
        <f>U56</f>
        <v>18769.812000000002</v>
      </c>
      <c r="V55" s="237"/>
      <c r="AA55" s="1857"/>
    </row>
    <row r="56" spans="1:27" ht="28.5" customHeight="1" x14ac:dyDescent="0.25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H57+H74</f>
        <v>19041.704000000002</v>
      </c>
      <c r="I56" s="851">
        <f>I57+I74</f>
        <v>15223.140000000001</v>
      </c>
      <c r="J56" s="353">
        <f>J57+J74</f>
        <v>16197.52</v>
      </c>
      <c r="K56" s="1858"/>
      <c r="L56" s="1858"/>
      <c r="M56" s="1858"/>
      <c r="N56" s="1181">
        <f>N57+N74</f>
        <v>18529.050999999999</v>
      </c>
      <c r="O56" s="1858"/>
      <c r="P56" s="1858"/>
      <c r="Q56" s="1858"/>
      <c r="R56" s="1858"/>
      <c r="S56" s="1858"/>
      <c r="T56" s="1858"/>
      <c r="U56" s="1678">
        <f>U57+U74</f>
        <v>18769.812000000002</v>
      </c>
      <c r="V56" s="237"/>
    </row>
    <row r="57" spans="1:27" ht="30.75" customHeight="1" x14ac:dyDescent="0.25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17468.59</v>
      </c>
      <c r="I57" s="851">
        <f>I58</f>
        <v>13595.477000000001</v>
      </c>
      <c r="J57" s="353">
        <f>J58</f>
        <v>14414.787</v>
      </c>
      <c r="K57" s="1858"/>
      <c r="L57" s="1858"/>
      <c r="M57" s="1858"/>
      <c r="N57" s="1181">
        <f>N58</f>
        <v>16893.011999999999</v>
      </c>
      <c r="O57" s="1858"/>
      <c r="P57" s="1858"/>
      <c r="Q57" s="1858"/>
      <c r="R57" s="1858"/>
      <c r="S57" s="1858"/>
      <c r="T57" s="1858"/>
      <c r="U57" s="1678">
        <f>U58</f>
        <v>17068.332000000002</v>
      </c>
    </row>
    <row r="58" spans="1:27" x14ac:dyDescent="0.25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H59+H66+H69+H72</f>
        <v>17468.59</v>
      </c>
      <c r="I58" s="851">
        <f>I59+I66+I69+I72</f>
        <v>13595.477000000001</v>
      </c>
      <c r="J58" s="353">
        <f>J59+J66+J69+J72</f>
        <v>14414.787</v>
      </c>
      <c r="K58" s="1858"/>
      <c r="L58" s="1858"/>
      <c r="M58" s="1858"/>
      <c r="N58" s="1181">
        <f>N59+N66+N69+N72</f>
        <v>16893.011999999999</v>
      </c>
      <c r="O58" s="1858"/>
      <c r="P58" s="1858"/>
      <c r="Q58" s="1858"/>
      <c r="R58" s="1858"/>
      <c r="S58" s="1858"/>
      <c r="T58" s="1858"/>
      <c r="U58" s="1678">
        <f>U59+U66+U69+U72</f>
        <v>17068.332000000002</v>
      </c>
    </row>
    <row r="59" spans="1:27" x14ac:dyDescent="0.25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H61+H63+H65</f>
        <v>17093.27</v>
      </c>
      <c r="I59" s="851">
        <f>I61+I63</f>
        <v>13595.477000000001</v>
      </c>
      <c r="J59" s="353">
        <f>J61+J63</f>
        <v>14414.787</v>
      </c>
      <c r="K59" s="1858"/>
      <c r="L59" s="1858"/>
      <c r="M59" s="1858"/>
      <c r="N59" s="1181">
        <f>N61+N63+N65</f>
        <v>16893.011999999999</v>
      </c>
      <c r="O59" s="1858"/>
      <c r="P59" s="1858"/>
      <c r="Q59" s="1858"/>
      <c r="R59" s="1858"/>
      <c r="S59" s="1858"/>
      <c r="T59" s="1858"/>
      <c r="U59" s="1678">
        <f>U61+U63+U65</f>
        <v>17068.332000000002</v>
      </c>
    </row>
    <row r="60" spans="1:27" ht="39" x14ac:dyDescent="0.25">
      <c r="A60" s="842"/>
      <c r="B60" s="49" t="s">
        <v>1063</v>
      </c>
      <c r="C60" s="1188"/>
      <c r="D60" s="409" t="s">
        <v>456</v>
      </c>
      <c r="E60" s="409" t="s">
        <v>452</v>
      </c>
      <c r="F60" s="409" t="s">
        <v>152</v>
      </c>
      <c r="G60" s="1662" t="s">
        <v>1062</v>
      </c>
      <c r="H60" s="1678">
        <f>H61</f>
        <v>13914.111999999999</v>
      </c>
      <c r="I60" s="851"/>
      <c r="J60" s="1187"/>
      <c r="K60" s="1858"/>
      <c r="L60" s="1858"/>
      <c r="M60" s="1858"/>
      <c r="N60" s="1181">
        <f t="shared" ref="N60:U60" si="5">N61</f>
        <v>14470.677</v>
      </c>
      <c r="O60" s="1858">
        <f t="shared" si="5"/>
        <v>0</v>
      </c>
      <c r="P60" s="1858">
        <f t="shared" si="5"/>
        <v>0</v>
      </c>
      <c r="Q60" s="1858">
        <f t="shared" si="5"/>
        <v>0</v>
      </c>
      <c r="R60" s="1858">
        <f t="shared" si="5"/>
        <v>0</v>
      </c>
      <c r="S60" s="1858">
        <f t="shared" si="5"/>
        <v>0</v>
      </c>
      <c r="T60" s="1858">
        <f t="shared" si="5"/>
        <v>0</v>
      </c>
      <c r="U60" s="1678">
        <f t="shared" si="5"/>
        <v>15049.504000000001</v>
      </c>
    </row>
    <row r="61" spans="1:27" x14ac:dyDescent="0.25">
      <c r="A61" s="842"/>
      <c r="B61" s="1182" t="s">
        <v>571</v>
      </c>
      <c r="C61" s="1183"/>
      <c r="D61" s="409" t="s">
        <v>456</v>
      </c>
      <c r="E61" s="409" t="s">
        <v>452</v>
      </c>
      <c r="F61" s="409" t="s">
        <v>152</v>
      </c>
      <c r="G61" s="1662" t="s">
        <v>5</v>
      </c>
      <c r="H61" s="1678">
        <v>13914.111999999999</v>
      </c>
      <c r="I61" s="851">
        <v>8998.8070000000007</v>
      </c>
      <c r="J61" s="352">
        <v>9997.6880000000001</v>
      </c>
      <c r="K61" s="1858">
        <f>11012.345+22.735+0.6+3325.728-618.8</f>
        <v>13742.608</v>
      </c>
      <c r="L61" s="1858"/>
      <c r="M61" s="1858"/>
      <c r="N61" s="1181">
        <v>14470.677</v>
      </c>
      <c r="O61" s="1858"/>
      <c r="P61" s="1858"/>
      <c r="Q61" s="1858"/>
      <c r="R61" s="1858"/>
      <c r="S61" s="1858"/>
      <c r="T61" s="1858"/>
      <c r="U61" s="1678">
        <v>15049.504000000001</v>
      </c>
    </row>
    <row r="62" spans="1:27" x14ac:dyDescent="0.25">
      <c r="A62" s="842"/>
      <c r="B62" s="753" t="s">
        <v>948</v>
      </c>
      <c r="C62" s="1183"/>
      <c r="D62" s="409" t="s">
        <v>456</v>
      </c>
      <c r="E62" s="409" t="s">
        <v>452</v>
      </c>
      <c r="F62" s="409" t="s">
        <v>152</v>
      </c>
      <c r="G62" s="1662" t="s">
        <v>955</v>
      </c>
      <c r="H62" s="1678"/>
      <c r="I62" s="851"/>
      <c r="J62" s="352"/>
      <c r="K62" s="1858"/>
      <c r="L62" s="1858"/>
      <c r="M62" s="1858"/>
      <c r="N62" s="1181"/>
      <c r="O62" s="1858"/>
      <c r="P62" s="1858"/>
      <c r="Q62" s="1858"/>
      <c r="R62" s="1858"/>
      <c r="S62" s="1858"/>
      <c r="T62" s="1858"/>
      <c r="U62" s="1678"/>
    </row>
    <row r="63" spans="1:27" ht="21" x14ac:dyDescent="0.25">
      <c r="A63" s="842"/>
      <c r="B63" s="1182" t="s">
        <v>454</v>
      </c>
      <c r="C63" s="1183"/>
      <c r="D63" s="409" t="s">
        <v>456</v>
      </c>
      <c r="E63" s="409" t="s">
        <v>452</v>
      </c>
      <c r="F63" s="409" t="s">
        <v>152</v>
      </c>
      <c r="G63" s="1662" t="s">
        <v>1</v>
      </c>
      <c r="H63" s="1678">
        <v>3169.1579999999999</v>
      </c>
      <c r="I63" s="851">
        <v>4596.67</v>
      </c>
      <c r="J63" s="352">
        <v>4417.0990000000002</v>
      </c>
      <c r="K63" s="1859">
        <f>1845.107-350.262-37.2</f>
        <v>1457.645</v>
      </c>
      <c r="L63" s="1858"/>
      <c r="M63" s="1858"/>
      <c r="N63" s="1181">
        <v>2412.335</v>
      </c>
      <c r="O63" s="1858"/>
      <c r="P63" s="1858"/>
      <c r="Q63" s="1858"/>
      <c r="R63" s="1858"/>
      <c r="S63" s="1858"/>
      <c r="T63" s="1858"/>
      <c r="U63" s="1678">
        <f>2508.828-500</f>
        <v>2008.828</v>
      </c>
    </row>
    <row r="64" spans="1:27" x14ac:dyDescent="0.25">
      <c r="A64" s="842"/>
      <c r="B64" s="1198" t="s">
        <v>1068</v>
      </c>
      <c r="C64" s="1183"/>
      <c r="D64" s="409" t="s">
        <v>456</v>
      </c>
      <c r="E64" s="409" t="s">
        <v>452</v>
      </c>
      <c r="F64" s="409" t="s">
        <v>152</v>
      </c>
      <c r="G64" s="1662" t="s">
        <v>1064</v>
      </c>
      <c r="H64" s="1678">
        <f t="shared" ref="H64:U64" si="6">H65</f>
        <v>10</v>
      </c>
      <c r="I64" s="851">
        <f t="shared" si="6"/>
        <v>0</v>
      </c>
      <c r="J64" s="352">
        <f t="shared" si="6"/>
        <v>0</v>
      </c>
      <c r="K64" s="1859">
        <f t="shared" si="6"/>
        <v>10</v>
      </c>
      <c r="L64" s="1858">
        <f t="shared" si="6"/>
        <v>0</v>
      </c>
      <c r="M64" s="1858">
        <f t="shared" si="6"/>
        <v>0</v>
      </c>
      <c r="N64" s="1181">
        <f t="shared" si="6"/>
        <v>10</v>
      </c>
      <c r="O64" s="1858">
        <f t="shared" si="6"/>
        <v>0</v>
      </c>
      <c r="P64" s="1858">
        <f t="shared" si="6"/>
        <v>0</v>
      </c>
      <c r="Q64" s="1858">
        <f t="shared" si="6"/>
        <v>0</v>
      </c>
      <c r="R64" s="1858">
        <f t="shared" si="6"/>
        <v>0</v>
      </c>
      <c r="S64" s="1858">
        <f t="shared" si="6"/>
        <v>0</v>
      </c>
      <c r="T64" s="1858">
        <f t="shared" si="6"/>
        <v>0</v>
      </c>
      <c r="U64" s="1678">
        <f t="shared" si="6"/>
        <v>10</v>
      </c>
    </row>
    <row r="65" spans="1:21" x14ac:dyDescent="0.25">
      <c r="A65" s="842"/>
      <c r="B65" s="1198" t="s">
        <v>457</v>
      </c>
      <c r="C65" s="1183"/>
      <c r="D65" s="409" t="s">
        <v>456</v>
      </c>
      <c r="E65" s="409" t="s">
        <v>452</v>
      </c>
      <c r="F65" s="409" t="s">
        <v>152</v>
      </c>
      <c r="G65" s="1662" t="s">
        <v>91</v>
      </c>
      <c r="H65" s="1678">
        <v>10</v>
      </c>
      <c r="I65" s="851"/>
      <c r="J65" s="352"/>
      <c r="K65" s="1859">
        <v>10</v>
      </c>
      <c r="L65" s="1858"/>
      <c r="M65" s="1858"/>
      <c r="N65" s="1181">
        <v>10</v>
      </c>
      <c r="O65" s="1858"/>
      <c r="P65" s="1858"/>
      <c r="Q65" s="1858"/>
      <c r="R65" s="1858"/>
      <c r="S65" s="1858"/>
      <c r="T65" s="1858"/>
      <c r="U65" s="1678">
        <v>10</v>
      </c>
    </row>
    <row r="66" spans="1:21" ht="21" x14ac:dyDescent="0.25">
      <c r="A66" s="842"/>
      <c r="B66" s="1199" t="s">
        <v>151</v>
      </c>
      <c r="C66" s="1188"/>
      <c r="D66" s="409" t="s">
        <v>456</v>
      </c>
      <c r="E66" s="409" t="s">
        <v>452</v>
      </c>
      <c r="F66" s="409" t="s">
        <v>623</v>
      </c>
      <c r="G66" s="1662"/>
      <c r="H66" s="1682">
        <f>H68</f>
        <v>54.32</v>
      </c>
      <c r="I66" s="529">
        <f>I68</f>
        <v>0</v>
      </c>
      <c r="J66" s="269">
        <f>J68</f>
        <v>0</v>
      </c>
      <c r="K66" s="1858"/>
      <c r="L66" s="1858"/>
      <c r="M66" s="1858"/>
      <c r="N66" s="1200">
        <f>N68</f>
        <v>0</v>
      </c>
      <c r="O66" s="1858"/>
      <c r="P66" s="1858"/>
      <c r="Q66" s="1858"/>
      <c r="R66" s="1858"/>
      <c r="S66" s="1858"/>
      <c r="T66" s="1858"/>
      <c r="U66" s="1682">
        <f>U68</f>
        <v>0</v>
      </c>
    </row>
    <row r="67" spans="1:21" x14ac:dyDescent="0.25">
      <c r="A67" s="842"/>
      <c r="B67" s="1199" t="s">
        <v>1069</v>
      </c>
      <c r="C67" s="1188"/>
      <c r="D67" s="409" t="s">
        <v>456</v>
      </c>
      <c r="E67" s="409" t="s">
        <v>452</v>
      </c>
      <c r="F67" s="409" t="s">
        <v>623</v>
      </c>
      <c r="G67" s="1662" t="s">
        <v>1066</v>
      </c>
      <c r="H67" s="1682">
        <f t="shared" ref="H67:U67" si="7">H68</f>
        <v>54.32</v>
      </c>
      <c r="I67" s="529">
        <f t="shared" si="7"/>
        <v>0</v>
      </c>
      <c r="J67" s="269">
        <f t="shared" si="7"/>
        <v>0</v>
      </c>
      <c r="K67" s="1858">
        <f t="shared" si="7"/>
        <v>50.6</v>
      </c>
      <c r="L67" s="1858">
        <f t="shared" si="7"/>
        <v>0</v>
      </c>
      <c r="M67" s="1858">
        <f t="shared" si="7"/>
        <v>0</v>
      </c>
      <c r="N67" s="1200">
        <f t="shared" si="7"/>
        <v>0</v>
      </c>
      <c r="O67" s="1858">
        <f t="shared" si="7"/>
        <v>0</v>
      </c>
      <c r="P67" s="1858">
        <f t="shared" si="7"/>
        <v>0</v>
      </c>
      <c r="Q67" s="1858">
        <f t="shared" si="7"/>
        <v>0</v>
      </c>
      <c r="R67" s="1858">
        <f t="shared" si="7"/>
        <v>0</v>
      </c>
      <c r="S67" s="1858">
        <f t="shared" si="7"/>
        <v>0</v>
      </c>
      <c r="T67" s="1858">
        <f t="shared" si="7"/>
        <v>0</v>
      </c>
      <c r="U67" s="1682">
        <f t="shared" si="7"/>
        <v>0</v>
      </c>
    </row>
    <row r="68" spans="1:21" x14ac:dyDescent="0.25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623</v>
      </c>
      <c r="G68" s="1662" t="s">
        <v>120</v>
      </c>
      <c r="H68" s="1682">
        <v>54.32</v>
      </c>
      <c r="I68" s="529"/>
      <c r="J68" s="269"/>
      <c r="K68" s="1858">
        <v>50.6</v>
      </c>
      <c r="L68" s="1858"/>
      <c r="M68" s="1858"/>
      <c r="N68" s="1200">
        <v>0</v>
      </c>
      <c r="O68" s="1858"/>
      <c r="P68" s="1858"/>
      <c r="Q68" s="1858"/>
      <c r="R68" s="1858"/>
      <c r="S68" s="1858"/>
      <c r="T68" s="1858"/>
      <c r="U68" s="1682">
        <v>0</v>
      </c>
    </row>
    <row r="69" spans="1:21" ht="21" x14ac:dyDescent="0.25">
      <c r="A69" s="842"/>
      <c r="B69" s="1201" t="s">
        <v>149</v>
      </c>
      <c r="C69" s="1188"/>
      <c r="D69" s="409" t="s">
        <v>456</v>
      </c>
      <c r="E69" s="409" t="s">
        <v>452</v>
      </c>
      <c r="F69" s="409" t="s">
        <v>148</v>
      </c>
      <c r="G69" s="1662"/>
      <c r="H69" s="1682">
        <f>H71</f>
        <v>321</v>
      </c>
      <c r="I69" s="529">
        <f>I71</f>
        <v>0</v>
      </c>
      <c r="J69" s="269">
        <f>J71</f>
        <v>0</v>
      </c>
      <c r="K69" s="1858"/>
      <c r="L69" s="1858"/>
      <c r="M69" s="1858"/>
      <c r="N69" s="1200">
        <f>N71</f>
        <v>0</v>
      </c>
      <c r="O69" s="1858"/>
      <c r="P69" s="1858"/>
      <c r="Q69" s="1858"/>
      <c r="R69" s="1858"/>
      <c r="S69" s="1858"/>
      <c r="T69" s="1858"/>
      <c r="U69" s="1682">
        <f>U71</f>
        <v>0</v>
      </c>
    </row>
    <row r="70" spans="1:21" x14ac:dyDescent="0.25">
      <c r="A70" s="842"/>
      <c r="B70" s="1201" t="s">
        <v>1069</v>
      </c>
      <c r="C70" s="1188"/>
      <c r="D70" s="409" t="s">
        <v>456</v>
      </c>
      <c r="E70" s="409" t="s">
        <v>452</v>
      </c>
      <c r="F70" s="409" t="s">
        <v>148</v>
      </c>
      <c r="G70" s="1662" t="s">
        <v>1066</v>
      </c>
      <c r="H70" s="1682">
        <f t="shared" ref="H70:U70" si="8">H71</f>
        <v>321</v>
      </c>
      <c r="I70" s="529">
        <f t="shared" si="8"/>
        <v>0</v>
      </c>
      <c r="J70" s="269">
        <f t="shared" si="8"/>
        <v>0</v>
      </c>
      <c r="K70" s="1858">
        <f t="shared" si="8"/>
        <v>307.5</v>
      </c>
      <c r="L70" s="1858">
        <f t="shared" si="8"/>
        <v>0</v>
      </c>
      <c r="M70" s="1858">
        <f t="shared" si="8"/>
        <v>0</v>
      </c>
      <c r="N70" s="1200">
        <f t="shared" si="8"/>
        <v>0</v>
      </c>
      <c r="O70" s="1858">
        <f t="shared" si="8"/>
        <v>0</v>
      </c>
      <c r="P70" s="1858">
        <f t="shared" si="8"/>
        <v>0</v>
      </c>
      <c r="Q70" s="1858">
        <f t="shared" si="8"/>
        <v>0</v>
      </c>
      <c r="R70" s="1858">
        <f t="shared" si="8"/>
        <v>0</v>
      </c>
      <c r="S70" s="1858">
        <f t="shared" si="8"/>
        <v>0</v>
      </c>
      <c r="T70" s="1858">
        <f t="shared" si="8"/>
        <v>0</v>
      </c>
      <c r="U70" s="1682">
        <f t="shared" si="8"/>
        <v>0</v>
      </c>
    </row>
    <row r="71" spans="1:21" x14ac:dyDescent="0.25">
      <c r="A71" s="842"/>
      <c r="B71" s="1182" t="s">
        <v>575</v>
      </c>
      <c r="C71" s="1183"/>
      <c r="D71" s="409" t="s">
        <v>456</v>
      </c>
      <c r="E71" s="409" t="s">
        <v>452</v>
      </c>
      <c r="F71" s="409" t="s">
        <v>148</v>
      </c>
      <c r="G71" s="1662" t="s">
        <v>120</v>
      </c>
      <c r="H71" s="1682">
        <v>321</v>
      </c>
      <c r="I71" s="529"/>
      <c r="J71" s="269"/>
      <c r="K71" s="1858">
        <v>307.5</v>
      </c>
      <c r="L71" s="1858"/>
      <c r="M71" s="1858"/>
      <c r="N71" s="1200">
        <v>0</v>
      </c>
      <c r="O71" s="1858"/>
      <c r="P71" s="1858"/>
      <c r="Q71" s="1858"/>
      <c r="R71" s="1858"/>
      <c r="S71" s="1858"/>
      <c r="T71" s="1858"/>
      <c r="U71" s="1682">
        <v>0</v>
      </c>
    </row>
    <row r="72" spans="1:21" ht="31.5" hidden="1" x14ac:dyDescent="0.25">
      <c r="A72" s="842"/>
      <c r="B72" s="1202" t="s">
        <v>145</v>
      </c>
      <c r="C72" s="1183"/>
      <c r="D72" s="409" t="s">
        <v>456</v>
      </c>
      <c r="E72" s="409" t="s">
        <v>452</v>
      </c>
      <c r="F72" s="409" t="s">
        <v>144</v>
      </c>
      <c r="G72" s="1662"/>
      <c r="H72" s="1682">
        <f>H73</f>
        <v>0</v>
      </c>
      <c r="I72" s="529">
        <f>I73</f>
        <v>0</v>
      </c>
      <c r="J72" s="269">
        <f>J73</f>
        <v>0</v>
      </c>
      <c r="K72" s="1858"/>
      <c r="L72" s="1858"/>
      <c r="M72" s="1858"/>
      <c r="N72" s="1200">
        <f>N73</f>
        <v>0</v>
      </c>
      <c r="O72" s="1858"/>
      <c r="P72" s="1858"/>
      <c r="Q72" s="1858"/>
      <c r="R72" s="1858"/>
      <c r="S72" s="1858"/>
      <c r="T72" s="1858"/>
      <c r="U72" s="1682">
        <f>U73</f>
        <v>0</v>
      </c>
    </row>
    <row r="73" spans="1:21" hidden="1" x14ac:dyDescent="0.25">
      <c r="A73" s="842"/>
      <c r="B73" s="1182" t="s">
        <v>575</v>
      </c>
      <c r="C73" s="1183"/>
      <c r="D73" s="409" t="s">
        <v>456</v>
      </c>
      <c r="E73" s="409" t="s">
        <v>452</v>
      </c>
      <c r="F73" s="409" t="s">
        <v>144</v>
      </c>
      <c r="G73" s="1662" t="s">
        <v>120</v>
      </c>
      <c r="H73" s="1682">
        <v>0</v>
      </c>
      <c r="I73" s="529"/>
      <c r="J73" s="269"/>
      <c r="K73" s="1858"/>
      <c r="L73" s="1858"/>
      <c r="M73" s="1858"/>
      <c r="N73" s="1200">
        <v>0</v>
      </c>
      <c r="O73" s="1858"/>
      <c r="P73" s="1858"/>
      <c r="Q73" s="1858"/>
      <c r="R73" s="1858"/>
      <c r="S73" s="1858"/>
      <c r="T73" s="1858"/>
      <c r="U73" s="1682">
        <v>0</v>
      </c>
    </row>
    <row r="74" spans="1:21" ht="31.5" x14ac:dyDescent="0.25">
      <c r="A74" s="842"/>
      <c r="B74" s="1203" t="s">
        <v>111</v>
      </c>
      <c r="C74" s="1183"/>
      <c r="D74" s="409" t="s">
        <v>456</v>
      </c>
      <c r="E74" s="409" t="s">
        <v>452</v>
      </c>
      <c r="F74" s="1204" t="s">
        <v>110</v>
      </c>
      <c r="G74" s="1662"/>
      <c r="H74" s="1682">
        <f>H75</f>
        <v>1573.114</v>
      </c>
      <c r="I74" s="529">
        <f t="shared" ref="I74:J75" si="9">I75</f>
        <v>1627.663</v>
      </c>
      <c r="J74" s="269">
        <f t="shared" si="9"/>
        <v>1782.7329999999999</v>
      </c>
      <c r="K74" s="1858"/>
      <c r="L74" s="1858"/>
      <c r="M74" s="1858"/>
      <c r="N74" s="1200">
        <f>N75</f>
        <v>1636.039</v>
      </c>
      <c r="O74" s="1858"/>
      <c r="P74" s="1858"/>
      <c r="Q74" s="1858"/>
      <c r="R74" s="1858"/>
      <c r="S74" s="1858"/>
      <c r="T74" s="1858"/>
      <c r="U74" s="1682">
        <f>U75</f>
        <v>1701.48</v>
      </c>
    </row>
    <row r="75" spans="1:21" x14ac:dyDescent="0.25">
      <c r="A75" s="842"/>
      <c r="B75" s="1197" t="s">
        <v>109</v>
      </c>
      <c r="C75" s="1183"/>
      <c r="D75" s="409" t="s">
        <v>456</v>
      </c>
      <c r="E75" s="409" t="s">
        <v>452</v>
      </c>
      <c r="F75" s="1204" t="s">
        <v>108</v>
      </c>
      <c r="G75" s="1662"/>
      <c r="H75" s="1682">
        <f>H76</f>
        <v>1573.114</v>
      </c>
      <c r="I75" s="529">
        <f t="shared" si="9"/>
        <v>1627.663</v>
      </c>
      <c r="J75" s="269">
        <f t="shared" si="9"/>
        <v>1782.7329999999999</v>
      </c>
      <c r="K75" s="1858"/>
      <c r="L75" s="1858"/>
      <c r="M75" s="1858"/>
      <c r="N75" s="1200">
        <f>N76</f>
        <v>1636.039</v>
      </c>
      <c r="O75" s="1858"/>
      <c r="P75" s="1858"/>
      <c r="Q75" s="1858"/>
      <c r="R75" s="1858"/>
      <c r="S75" s="1858"/>
      <c r="T75" s="1858"/>
      <c r="U75" s="1682">
        <f>U76</f>
        <v>1701.48</v>
      </c>
    </row>
    <row r="76" spans="1:21" ht="21" x14ac:dyDescent="0.25">
      <c r="A76" s="842"/>
      <c r="B76" s="1205" t="s">
        <v>107</v>
      </c>
      <c r="C76" s="1183"/>
      <c r="D76" s="409" t="s">
        <v>456</v>
      </c>
      <c r="E76" s="409" t="s">
        <v>452</v>
      </c>
      <c r="F76" s="1204" t="s">
        <v>104</v>
      </c>
      <c r="G76" s="1662"/>
      <c r="H76" s="1682">
        <f>H78</f>
        <v>1573.114</v>
      </c>
      <c r="I76" s="529">
        <f>I78</f>
        <v>1627.663</v>
      </c>
      <c r="J76" s="269">
        <f>J78</f>
        <v>1782.7329999999999</v>
      </c>
      <c r="K76" s="1858"/>
      <c r="L76" s="1858"/>
      <c r="M76" s="1858"/>
      <c r="N76" s="1200">
        <f>N78</f>
        <v>1636.039</v>
      </c>
      <c r="O76" s="1858"/>
      <c r="P76" s="1858"/>
      <c r="Q76" s="1858"/>
      <c r="R76" s="1858"/>
      <c r="S76" s="1858"/>
      <c r="T76" s="1858"/>
      <c r="U76" s="1682">
        <f>U78</f>
        <v>1701.48</v>
      </c>
    </row>
    <row r="77" spans="1:21" ht="39" x14ac:dyDescent="0.25">
      <c r="A77" s="842"/>
      <c r="B77" s="49" t="s">
        <v>1063</v>
      </c>
      <c r="C77" s="1183"/>
      <c r="D77" s="409" t="s">
        <v>456</v>
      </c>
      <c r="E77" s="409" t="s">
        <v>452</v>
      </c>
      <c r="F77" s="1204" t="s">
        <v>104</v>
      </c>
      <c r="G77" s="1662" t="s">
        <v>1062</v>
      </c>
      <c r="H77" s="1682">
        <f t="shared" ref="H77:U77" si="10">H78</f>
        <v>1573.114</v>
      </c>
      <c r="I77" s="529">
        <f t="shared" si="10"/>
        <v>1627.663</v>
      </c>
      <c r="J77" s="269">
        <f t="shared" si="10"/>
        <v>1782.7329999999999</v>
      </c>
      <c r="K77" s="1858">
        <f t="shared" si="10"/>
        <v>1512.6</v>
      </c>
      <c r="L77" s="1858">
        <f t="shared" si="10"/>
        <v>0</v>
      </c>
      <c r="M77" s="1858">
        <f t="shared" si="10"/>
        <v>0</v>
      </c>
      <c r="N77" s="1200">
        <f t="shared" si="10"/>
        <v>1636.039</v>
      </c>
      <c r="O77" s="1858">
        <f t="shared" si="10"/>
        <v>0</v>
      </c>
      <c r="P77" s="1858">
        <f t="shared" si="10"/>
        <v>0</v>
      </c>
      <c r="Q77" s="1858">
        <f t="shared" si="10"/>
        <v>0</v>
      </c>
      <c r="R77" s="1858">
        <f t="shared" si="10"/>
        <v>0</v>
      </c>
      <c r="S77" s="1858">
        <f t="shared" si="10"/>
        <v>0</v>
      </c>
      <c r="T77" s="1858">
        <f t="shared" si="10"/>
        <v>0</v>
      </c>
      <c r="U77" s="1682">
        <f t="shared" si="10"/>
        <v>1701.48</v>
      </c>
    </row>
    <row r="78" spans="1:21" x14ac:dyDescent="0.25">
      <c r="A78" s="842"/>
      <c r="B78" s="1182" t="s">
        <v>571</v>
      </c>
      <c r="C78" s="1183"/>
      <c r="D78" s="409" t="s">
        <v>456</v>
      </c>
      <c r="E78" s="409" t="s">
        <v>452</v>
      </c>
      <c r="F78" s="1204" t="s">
        <v>104</v>
      </c>
      <c r="G78" s="1662" t="s">
        <v>5</v>
      </c>
      <c r="H78" s="1682">
        <v>1573.114</v>
      </c>
      <c r="I78" s="529">
        <v>1627.663</v>
      </c>
      <c r="J78" s="269">
        <v>1782.7329999999999</v>
      </c>
      <c r="K78" s="1858">
        <f>1161.751+350.849</f>
        <v>1512.6</v>
      </c>
      <c r="L78" s="1858"/>
      <c r="M78" s="1858"/>
      <c r="N78" s="1200">
        <v>1636.039</v>
      </c>
      <c r="O78" s="1858"/>
      <c r="P78" s="1858"/>
      <c r="Q78" s="1858"/>
      <c r="R78" s="1858"/>
      <c r="S78" s="1858"/>
      <c r="T78" s="1858"/>
      <c r="U78" s="1682">
        <v>1701.48</v>
      </c>
    </row>
    <row r="79" spans="1:21" s="760" customFormat="1" ht="23" x14ac:dyDescent="0.3">
      <c r="A79" s="842"/>
      <c r="B79" s="1206" t="s">
        <v>122</v>
      </c>
      <c r="C79" s="1207"/>
      <c r="D79" s="408" t="s">
        <v>456</v>
      </c>
      <c r="E79" s="408" t="s">
        <v>585</v>
      </c>
      <c r="F79" s="763"/>
      <c r="G79" s="1661"/>
      <c r="H79" s="1683">
        <f>H80</f>
        <v>419.73</v>
      </c>
      <c r="I79" s="841"/>
      <c r="J79" s="276"/>
      <c r="K79" s="1860"/>
      <c r="L79" s="1860"/>
      <c r="M79" s="1860"/>
      <c r="N79" s="1208">
        <f t="shared" ref="N79:U82" si="11">N80</f>
        <v>0</v>
      </c>
      <c r="O79" s="1860">
        <f t="shared" si="11"/>
        <v>0</v>
      </c>
      <c r="P79" s="1860">
        <f t="shared" si="11"/>
        <v>0</v>
      </c>
      <c r="Q79" s="1860">
        <f t="shared" si="11"/>
        <v>0</v>
      </c>
      <c r="R79" s="1860">
        <f t="shared" si="11"/>
        <v>0</v>
      </c>
      <c r="S79" s="1860">
        <f t="shared" si="11"/>
        <v>0</v>
      </c>
      <c r="T79" s="1860">
        <f t="shared" si="11"/>
        <v>0</v>
      </c>
      <c r="U79" s="1683">
        <f t="shared" si="11"/>
        <v>0</v>
      </c>
    </row>
    <row r="80" spans="1:21" ht="21" x14ac:dyDescent="0.25">
      <c r="A80" s="842"/>
      <c r="B80" s="1209" t="s">
        <v>588</v>
      </c>
      <c r="C80" s="1183"/>
      <c r="D80" s="409" t="s">
        <v>456</v>
      </c>
      <c r="E80" s="409" t="s">
        <v>585</v>
      </c>
      <c r="F80" s="1204" t="s">
        <v>157</v>
      </c>
      <c r="G80" s="1662"/>
      <c r="H80" s="1682">
        <f>H81</f>
        <v>419.73</v>
      </c>
      <c r="I80" s="529"/>
      <c r="J80" s="269"/>
      <c r="K80" s="1858"/>
      <c r="L80" s="1858"/>
      <c r="M80" s="1858"/>
      <c r="N80" s="1200">
        <f t="shared" si="11"/>
        <v>0</v>
      </c>
      <c r="O80" s="1858">
        <f t="shared" si="11"/>
        <v>0</v>
      </c>
      <c r="P80" s="1858">
        <f t="shared" si="11"/>
        <v>0</v>
      </c>
      <c r="Q80" s="1858">
        <f t="shared" si="11"/>
        <v>0</v>
      </c>
      <c r="R80" s="1858">
        <f t="shared" si="11"/>
        <v>0</v>
      </c>
      <c r="S80" s="1858">
        <f t="shared" si="11"/>
        <v>0</v>
      </c>
      <c r="T80" s="1858">
        <f t="shared" si="11"/>
        <v>0</v>
      </c>
      <c r="U80" s="1682">
        <f t="shared" si="11"/>
        <v>0</v>
      </c>
    </row>
    <row r="81" spans="1:21" ht="21" x14ac:dyDescent="0.25">
      <c r="A81" s="842"/>
      <c r="B81" s="1209" t="s">
        <v>587</v>
      </c>
      <c r="C81" s="1183"/>
      <c r="D81" s="409" t="s">
        <v>456</v>
      </c>
      <c r="E81" s="409" t="s">
        <v>585</v>
      </c>
      <c r="F81" s="1204" t="s">
        <v>155</v>
      </c>
      <c r="G81" s="1662"/>
      <c r="H81" s="1682">
        <f>H82</f>
        <v>419.73</v>
      </c>
      <c r="I81" s="529"/>
      <c r="J81" s="269"/>
      <c r="K81" s="1858"/>
      <c r="L81" s="1858"/>
      <c r="M81" s="1858"/>
      <c r="N81" s="1200">
        <f t="shared" si="11"/>
        <v>0</v>
      </c>
      <c r="O81" s="1858">
        <f t="shared" si="11"/>
        <v>0</v>
      </c>
      <c r="P81" s="1858">
        <f t="shared" si="11"/>
        <v>0</v>
      </c>
      <c r="Q81" s="1858">
        <f t="shared" si="11"/>
        <v>0</v>
      </c>
      <c r="R81" s="1858">
        <f t="shared" si="11"/>
        <v>0</v>
      </c>
      <c r="S81" s="1858">
        <f t="shared" si="11"/>
        <v>0</v>
      </c>
      <c r="T81" s="1858">
        <f t="shared" si="11"/>
        <v>0</v>
      </c>
      <c r="U81" s="1682">
        <f t="shared" si="11"/>
        <v>0</v>
      </c>
    </row>
    <row r="82" spans="1:21" x14ac:dyDescent="0.25">
      <c r="A82" s="842"/>
      <c r="B82" s="1209" t="s">
        <v>582</v>
      </c>
      <c r="C82" s="1183"/>
      <c r="D82" s="409" t="s">
        <v>456</v>
      </c>
      <c r="E82" s="409" t="s">
        <v>585</v>
      </c>
      <c r="F82" s="1204" t="s">
        <v>154</v>
      </c>
      <c r="G82" s="1662"/>
      <c r="H82" s="1682">
        <f>H83</f>
        <v>419.73</v>
      </c>
      <c r="I82" s="529"/>
      <c r="J82" s="269"/>
      <c r="K82" s="1858"/>
      <c r="L82" s="1858"/>
      <c r="M82" s="1858"/>
      <c r="N82" s="1200">
        <f t="shared" si="11"/>
        <v>0</v>
      </c>
      <c r="O82" s="1858">
        <f t="shared" si="11"/>
        <v>0</v>
      </c>
      <c r="P82" s="1858">
        <f t="shared" si="11"/>
        <v>0</v>
      </c>
      <c r="Q82" s="1858">
        <f t="shared" si="11"/>
        <v>0</v>
      </c>
      <c r="R82" s="1858">
        <f t="shared" si="11"/>
        <v>0</v>
      </c>
      <c r="S82" s="1858">
        <f t="shared" si="11"/>
        <v>0</v>
      </c>
      <c r="T82" s="1858">
        <f t="shared" si="11"/>
        <v>0</v>
      </c>
      <c r="U82" s="1682">
        <f t="shared" si="11"/>
        <v>0</v>
      </c>
    </row>
    <row r="83" spans="1:21" ht="21" x14ac:dyDescent="0.25">
      <c r="A83" s="842"/>
      <c r="B83" s="1209" t="s">
        <v>586</v>
      </c>
      <c r="C83" s="1183"/>
      <c r="D83" s="409" t="s">
        <v>456</v>
      </c>
      <c r="E83" s="409" t="s">
        <v>585</v>
      </c>
      <c r="F83" s="1204" t="s">
        <v>129</v>
      </c>
      <c r="G83" s="1662"/>
      <c r="H83" s="1682">
        <f>H85</f>
        <v>419.73</v>
      </c>
      <c r="I83" s="529"/>
      <c r="J83" s="269"/>
      <c r="K83" s="1858"/>
      <c r="L83" s="1858"/>
      <c r="M83" s="1858"/>
      <c r="N83" s="1200">
        <f t="shared" ref="N83:U83" si="12">N85</f>
        <v>0</v>
      </c>
      <c r="O83" s="1858">
        <f t="shared" si="12"/>
        <v>0</v>
      </c>
      <c r="P83" s="1858">
        <f t="shared" si="12"/>
        <v>0</v>
      </c>
      <c r="Q83" s="1858">
        <f t="shared" si="12"/>
        <v>0</v>
      </c>
      <c r="R83" s="1858">
        <f t="shared" si="12"/>
        <v>0</v>
      </c>
      <c r="S83" s="1858">
        <f t="shared" si="12"/>
        <v>0</v>
      </c>
      <c r="T83" s="1858">
        <f t="shared" si="12"/>
        <v>0</v>
      </c>
      <c r="U83" s="1682">
        <f t="shared" si="12"/>
        <v>0</v>
      </c>
    </row>
    <row r="84" spans="1:21" x14ac:dyDescent="0.25">
      <c r="A84" s="842"/>
      <c r="B84" s="1209" t="s">
        <v>1069</v>
      </c>
      <c r="C84" s="1183"/>
      <c r="D84" s="409" t="s">
        <v>456</v>
      </c>
      <c r="E84" s="409" t="s">
        <v>585</v>
      </c>
      <c r="F84" s="1204" t="s">
        <v>129</v>
      </c>
      <c r="G84" s="1662" t="s">
        <v>1066</v>
      </c>
      <c r="H84" s="1682">
        <f t="shared" ref="H84:U84" si="13">H85</f>
        <v>419.73</v>
      </c>
      <c r="I84" s="529">
        <f t="shared" si="13"/>
        <v>0</v>
      </c>
      <c r="J84" s="269">
        <f t="shared" si="13"/>
        <v>0</v>
      </c>
      <c r="K84" s="1858">
        <f t="shared" si="13"/>
        <v>419.95499999999998</v>
      </c>
      <c r="L84" s="1858">
        <f t="shared" si="13"/>
        <v>0</v>
      </c>
      <c r="M84" s="1858">
        <f t="shared" si="13"/>
        <v>0</v>
      </c>
      <c r="N84" s="1200">
        <f t="shared" si="13"/>
        <v>0</v>
      </c>
      <c r="O84" s="1858">
        <f t="shared" si="13"/>
        <v>0</v>
      </c>
      <c r="P84" s="1858">
        <f t="shared" si="13"/>
        <v>0</v>
      </c>
      <c r="Q84" s="1858">
        <f t="shared" si="13"/>
        <v>0</v>
      </c>
      <c r="R84" s="1858">
        <f t="shared" si="13"/>
        <v>0</v>
      </c>
      <c r="S84" s="1858">
        <f t="shared" si="13"/>
        <v>0</v>
      </c>
      <c r="T84" s="1858">
        <f t="shared" si="13"/>
        <v>0</v>
      </c>
      <c r="U84" s="1682">
        <f t="shared" si="13"/>
        <v>0</v>
      </c>
    </row>
    <row r="85" spans="1:21" x14ac:dyDescent="0.25">
      <c r="A85" s="842"/>
      <c r="B85" s="1198" t="s">
        <v>575</v>
      </c>
      <c r="C85" s="1183"/>
      <c r="D85" s="409" t="s">
        <v>456</v>
      </c>
      <c r="E85" s="409" t="s">
        <v>585</v>
      </c>
      <c r="F85" s="1204" t="s">
        <v>129</v>
      </c>
      <c r="G85" s="1662" t="s">
        <v>120</v>
      </c>
      <c r="H85" s="1682">
        <v>419.73</v>
      </c>
      <c r="I85" s="529"/>
      <c r="J85" s="269"/>
      <c r="K85" s="1858">
        <v>419.95499999999998</v>
      </c>
      <c r="L85" s="1858"/>
      <c r="M85" s="1858"/>
      <c r="N85" s="1200">
        <v>0</v>
      </c>
      <c r="O85" s="1858"/>
      <c r="P85" s="1858"/>
      <c r="Q85" s="1858"/>
      <c r="R85" s="1858"/>
      <c r="S85" s="1858"/>
      <c r="T85" s="1858"/>
      <c r="U85" s="1682">
        <v>0</v>
      </c>
    </row>
    <row r="86" spans="1:21" s="760" customFormat="1" ht="13" x14ac:dyDescent="0.3">
      <c r="A86" s="842"/>
      <c r="B86" s="1210" t="s">
        <v>419</v>
      </c>
      <c r="C86" s="408"/>
      <c r="D86" s="408" t="s">
        <v>456</v>
      </c>
      <c r="E86" s="408" t="s">
        <v>506</v>
      </c>
      <c r="F86" s="763"/>
      <c r="G86" s="1661"/>
      <c r="H86" s="1683">
        <f>H87</f>
        <v>415.5</v>
      </c>
      <c r="I86" s="841"/>
      <c r="J86" s="276"/>
      <c r="K86" s="1860"/>
      <c r="L86" s="1860"/>
      <c r="M86" s="1860"/>
      <c r="N86" s="1208">
        <f>N87</f>
        <v>0</v>
      </c>
      <c r="O86" s="1860"/>
      <c r="P86" s="1860"/>
      <c r="Q86" s="1860"/>
      <c r="R86" s="1860"/>
      <c r="S86" s="1860"/>
      <c r="T86" s="1860"/>
      <c r="U86" s="1683">
        <f>U87</f>
        <v>0</v>
      </c>
    </row>
    <row r="87" spans="1:21" ht="21" x14ac:dyDescent="0.25">
      <c r="A87" s="1179"/>
      <c r="B87" s="762" t="s">
        <v>499</v>
      </c>
      <c r="C87" s="409"/>
      <c r="D87" s="409" t="s">
        <v>456</v>
      </c>
      <c r="E87" s="409" t="s">
        <v>506</v>
      </c>
      <c r="F87" s="409" t="s">
        <v>89</v>
      </c>
      <c r="G87" s="1662"/>
      <c r="H87" s="1682">
        <f>H88</f>
        <v>415.5</v>
      </c>
      <c r="I87" s="529"/>
      <c r="J87" s="269"/>
      <c r="K87" s="1858"/>
      <c r="L87" s="1858"/>
      <c r="M87" s="1858"/>
      <c r="N87" s="1200">
        <f>N88</f>
        <v>0</v>
      </c>
      <c r="O87" s="1858"/>
      <c r="P87" s="1858"/>
      <c r="Q87" s="1858"/>
      <c r="R87" s="1858"/>
      <c r="S87" s="1858"/>
      <c r="T87" s="1858"/>
      <c r="U87" s="1682">
        <f>U88</f>
        <v>0</v>
      </c>
    </row>
    <row r="88" spans="1:21" x14ac:dyDescent="0.25">
      <c r="A88" s="842"/>
      <c r="B88" s="709" t="s">
        <v>109</v>
      </c>
      <c r="C88" s="409"/>
      <c r="D88" s="409" t="s">
        <v>456</v>
      </c>
      <c r="E88" s="409" t="s">
        <v>506</v>
      </c>
      <c r="F88" s="409" t="s">
        <v>581</v>
      </c>
      <c r="G88" s="1662"/>
      <c r="H88" s="1682">
        <f>H89</f>
        <v>415.5</v>
      </c>
      <c r="I88" s="529"/>
      <c r="J88" s="269"/>
      <c r="K88" s="1858"/>
      <c r="L88" s="1858"/>
      <c r="M88" s="1858"/>
      <c r="N88" s="1200">
        <f>N89</f>
        <v>0</v>
      </c>
      <c r="O88" s="1858"/>
      <c r="P88" s="1858"/>
      <c r="Q88" s="1858"/>
      <c r="R88" s="1858"/>
      <c r="S88" s="1858"/>
      <c r="T88" s="1858"/>
      <c r="U88" s="1682">
        <f>U89</f>
        <v>0</v>
      </c>
    </row>
    <row r="89" spans="1:21" x14ac:dyDescent="0.25">
      <c r="A89" s="842"/>
      <c r="B89" s="709" t="s">
        <v>109</v>
      </c>
      <c r="C89" s="409"/>
      <c r="D89" s="409" t="s">
        <v>456</v>
      </c>
      <c r="E89" s="409" t="s">
        <v>506</v>
      </c>
      <c r="F89" s="409" t="s">
        <v>82</v>
      </c>
      <c r="G89" s="1662"/>
      <c r="H89" s="1682">
        <f>H90</f>
        <v>415.5</v>
      </c>
      <c r="I89" s="529"/>
      <c r="J89" s="269"/>
      <c r="K89" s="1858"/>
      <c r="L89" s="1858"/>
      <c r="M89" s="1858"/>
      <c r="N89" s="1200">
        <f>N90</f>
        <v>0</v>
      </c>
      <c r="O89" s="1858"/>
      <c r="P89" s="1858"/>
      <c r="Q89" s="1858"/>
      <c r="R89" s="1858"/>
      <c r="S89" s="1858"/>
      <c r="T89" s="1858"/>
      <c r="U89" s="1682">
        <f>U90</f>
        <v>0</v>
      </c>
    </row>
    <row r="90" spans="1:21" ht="21" x14ac:dyDescent="0.25">
      <c r="A90" s="842"/>
      <c r="B90" s="1209" t="s">
        <v>788</v>
      </c>
      <c r="C90" s="409"/>
      <c r="D90" s="409" t="s">
        <v>456</v>
      </c>
      <c r="E90" s="409" t="s">
        <v>506</v>
      </c>
      <c r="F90" s="409" t="s">
        <v>789</v>
      </c>
      <c r="G90" s="1662"/>
      <c r="H90" s="1682">
        <f>H92</f>
        <v>415.5</v>
      </c>
      <c r="I90" s="529"/>
      <c r="J90" s="269"/>
      <c r="K90" s="1858"/>
      <c r="L90" s="1858"/>
      <c r="M90" s="1858"/>
      <c r="N90" s="1200">
        <f>N92</f>
        <v>0</v>
      </c>
      <c r="O90" s="1858"/>
      <c r="P90" s="1858"/>
      <c r="Q90" s="1858"/>
      <c r="R90" s="1858"/>
      <c r="S90" s="1858"/>
      <c r="T90" s="1858"/>
      <c r="U90" s="1682">
        <f>U92</f>
        <v>0</v>
      </c>
    </row>
    <row r="91" spans="1:21" x14ac:dyDescent="0.25">
      <c r="A91" s="842"/>
      <c r="B91" s="753" t="s">
        <v>948</v>
      </c>
      <c r="C91" s="409"/>
      <c r="D91" s="409" t="s">
        <v>456</v>
      </c>
      <c r="E91" s="409" t="s">
        <v>506</v>
      </c>
      <c r="F91" s="409" t="s">
        <v>789</v>
      </c>
      <c r="G91" s="1662" t="s">
        <v>955</v>
      </c>
      <c r="H91" s="1682">
        <f t="shared" ref="H91:U91" si="14">H92</f>
        <v>415.5</v>
      </c>
      <c r="I91" s="529">
        <f t="shared" si="14"/>
        <v>0</v>
      </c>
      <c r="J91" s="269">
        <f t="shared" si="14"/>
        <v>0</v>
      </c>
      <c r="K91" s="1858">
        <f t="shared" si="14"/>
        <v>0</v>
      </c>
      <c r="L91" s="1858">
        <f t="shared" si="14"/>
        <v>0</v>
      </c>
      <c r="M91" s="1858">
        <f t="shared" si="14"/>
        <v>0</v>
      </c>
      <c r="N91" s="1200">
        <f t="shared" si="14"/>
        <v>0</v>
      </c>
      <c r="O91" s="1858">
        <f t="shared" si="14"/>
        <v>0</v>
      </c>
      <c r="P91" s="1858">
        <f t="shared" si="14"/>
        <v>0</v>
      </c>
      <c r="Q91" s="1858">
        <f t="shared" si="14"/>
        <v>0</v>
      </c>
      <c r="R91" s="1858">
        <f t="shared" si="14"/>
        <v>0</v>
      </c>
      <c r="S91" s="1858">
        <f t="shared" si="14"/>
        <v>0</v>
      </c>
      <c r="T91" s="1858">
        <f t="shared" si="14"/>
        <v>0</v>
      </c>
      <c r="U91" s="1682">
        <f t="shared" si="14"/>
        <v>0</v>
      </c>
    </row>
    <row r="92" spans="1:21" ht="21" x14ac:dyDescent="0.25">
      <c r="A92" s="842"/>
      <c r="B92" s="1182" t="s">
        <v>454</v>
      </c>
      <c r="C92" s="409"/>
      <c r="D92" s="409" t="s">
        <v>456</v>
      </c>
      <c r="E92" s="409" t="s">
        <v>506</v>
      </c>
      <c r="F92" s="409" t="s">
        <v>789</v>
      </c>
      <c r="G92" s="1662" t="s">
        <v>1</v>
      </c>
      <c r="H92" s="1682">
        <v>415.5</v>
      </c>
      <c r="I92" s="529"/>
      <c r="J92" s="269"/>
      <c r="K92" s="1858"/>
      <c r="L92" s="1858"/>
      <c r="M92" s="1858"/>
      <c r="N92" s="1200">
        <v>0</v>
      </c>
      <c r="O92" s="1858"/>
      <c r="P92" s="1858"/>
      <c r="Q92" s="1858"/>
      <c r="R92" s="1858"/>
      <c r="S92" s="1858"/>
      <c r="T92" s="1858"/>
      <c r="U92" s="1682">
        <v>0</v>
      </c>
    </row>
    <row r="93" spans="1:21" x14ac:dyDescent="0.25">
      <c r="A93" s="842"/>
      <c r="B93" s="1184" t="s">
        <v>68</v>
      </c>
      <c r="C93" s="1177"/>
      <c r="D93" s="408" t="s">
        <v>456</v>
      </c>
      <c r="E93" s="408" t="s">
        <v>464</v>
      </c>
      <c r="F93" s="408"/>
      <c r="G93" s="1661"/>
      <c r="H93" s="1683">
        <f t="shared" ref="H93:J96" si="15">H94</f>
        <v>2900</v>
      </c>
      <c r="I93" s="841">
        <f t="shared" si="15"/>
        <v>0</v>
      </c>
      <c r="J93" s="276">
        <f t="shared" si="15"/>
        <v>0</v>
      </c>
      <c r="K93" s="1858"/>
      <c r="L93" s="1858"/>
      <c r="M93" s="1858"/>
      <c r="N93" s="1208">
        <f t="shared" ref="N93:N96" si="16">N94</f>
        <v>3200</v>
      </c>
      <c r="O93" s="1858"/>
      <c r="P93" s="1858"/>
      <c r="Q93" s="1858"/>
      <c r="R93" s="1858"/>
      <c r="S93" s="1858"/>
      <c r="T93" s="1858"/>
      <c r="U93" s="1683">
        <f t="shared" ref="U93:U96" si="17">U94</f>
        <v>3180</v>
      </c>
    </row>
    <row r="94" spans="1:21" ht="21" x14ac:dyDescent="0.25">
      <c r="A94" s="1179"/>
      <c r="B94" s="753" t="s">
        <v>499</v>
      </c>
      <c r="C94" s="1180"/>
      <c r="D94" s="409" t="s">
        <v>456</v>
      </c>
      <c r="E94" s="409" t="s">
        <v>464</v>
      </c>
      <c r="F94" s="409" t="s">
        <v>89</v>
      </c>
      <c r="G94" s="1662"/>
      <c r="H94" s="1682">
        <f t="shared" si="15"/>
        <v>2900</v>
      </c>
      <c r="I94" s="529">
        <f t="shared" si="15"/>
        <v>0</v>
      </c>
      <c r="J94" s="269">
        <f t="shared" si="15"/>
        <v>0</v>
      </c>
      <c r="K94" s="1858"/>
      <c r="L94" s="1858"/>
      <c r="M94" s="1858"/>
      <c r="N94" s="1200">
        <f t="shared" si="16"/>
        <v>3200</v>
      </c>
      <c r="O94" s="1858"/>
      <c r="P94" s="1858"/>
      <c r="Q94" s="1858"/>
      <c r="R94" s="1858"/>
      <c r="S94" s="1858"/>
      <c r="T94" s="1858"/>
      <c r="U94" s="1682">
        <f t="shared" si="17"/>
        <v>3180</v>
      </c>
    </row>
    <row r="95" spans="1:21" x14ac:dyDescent="0.25">
      <c r="A95" s="842"/>
      <c r="B95" s="1180" t="s">
        <v>109</v>
      </c>
      <c r="C95" s="1180"/>
      <c r="D95" s="409" t="s">
        <v>456</v>
      </c>
      <c r="E95" s="409" t="s">
        <v>464</v>
      </c>
      <c r="F95" s="409" t="s">
        <v>581</v>
      </c>
      <c r="G95" s="1662"/>
      <c r="H95" s="1682">
        <f t="shared" si="15"/>
        <v>2900</v>
      </c>
      <c r="I95" s="529">
        <f t="shared" si="15"/>
        <v>0</v>
      </c>
      <c r="J95" s="269">
        <f t="shared" si="15"/>
        <v>0</v>
      </c>
      <c r="K95" s="1858"/>
      <c r="L95" s="1858"/>
      <c r="M95" s="1858"/>
      <c r="N95" s="1200">
        <f t="shared" si="16"/>
        <v>3200</v>
      </c>
      <c r="O95" s="1858"/>
      <c r="P95" s="1858"/>
      <c r="Q95" s="1858"/>
      <c r="R95" s="1858"/>
      <c r="S95" s="1858"/>
      <c r="T95" s="1858"/>
      <c r="U95" s="1682">
        <f t="shared" si="17"/>
        <v>3180</v>
      </c>
    </row>
    <row r="96" spans="1:21" x14ac:dyDescent="0.25">
      <c r="A96" s="842"/>
      <c r="B96" s="1180" t="s">
        <v>109</v>
      </c>
      <c r="C96" s="1180"/>
      <c r="D96" s="409" t="s">
        <v>456</v>
      </c>
      <c r="E96" s="409" t="s">
        <v>464</v>
      </c>
      <c r="F96" s="409" t="s">
        <v>82</v>
      </c>
      <c r="G96" s="1662"/>
      <c r="H96" s="1682">
        <f t="shared" si="15"/>
        <v>2900</v>
      </c>
      <c r="I96" s="529">
        <f t="shared" si="15"/>
        <v>0</v>
      </c>
      <c r="J96" s="269">
        <f t="shared" si="15"/>
        <v>0</v>
      </c>
      <c r="K96" s="1858"/>
      <c r="L96" s="1858"/>
      <c r="M96" s="1858"/>
      <c r="N96" s="1200">
        <f t="shared" si="16"/>
        <v>3200</v>
      </c>
      <c r="O96" s="1858"/>
      <c r="P96" s="1858"/>
      <c r="Q96" s="1858"/>
      <c r="R96" s="1858"/>
      <c r="S96" s="1858"/>
      <c r="T96" s="1858"/>
      <c r="U96" s="1682">
        <f t="shared" si="17"/>
        <v>3180</v>
      </c>
    </row>
    <row r="97" spans="1:21" ht="21" x14ac:dyDescent="0.25">
      <c r="A97" s="842"/>
      <c r="B97" s="1180" t="s">
        <v>72</v>
      </c>
      <c r="C97" s="1180"/>
      <c r="D97" s="409" t="s">
        <v>456</v>
      </c>
      <c r="E97" s="409" t="s">
        <v>464</v>
      </c>
      <c r="F97" s="409" t="s">
        <v>67</v>
      </c>
      <c r="G97" s="1662"/>
      <c r="H97" s="1682">
        <f>H99</f>
        <v>2900</v>
      </c>
      <c r="I97" s="529">
        <f>I99</f>
        <v>0</v>
      </c>
      <c r="J97" s="269">
        <f>J99</f>
        <v>0</v>
      </c>
      <c r="K97" s="1858"/>
      <c r="L97" s="1858"/>
      <c r="M97" s="1858"/>
      <c r="N97" s="1200">
        <f>N99</f>
        <v>3200</v>
      </c>
      <c r="O97" s="1858"/>
      <c r="P97" s="1858"/>
      <c r="Q97" s="1858"/>
      <c r="R97" s="1858"/>
      <c r="S97" s="1858"/>
      <c r="T97" s="1858"/>
      <c r="U97" s="1682">
        <f>U99</f>
        <v>3180</v>
      </c>
    </row>
    <row r="98" spans="1:21" x14ac:dyDescent="0.25">
      <c r="A98" s="842"/>
      <c r="B98" s="1180" t="s">
        <v>1068</v>
      </c>
      <c r="C98" s="1180"/>
      <c r="D98" s="409" t="s">
        <v>456</v>
      </c>
      <c r="E98" s="409" t="s">
        <v>464</v>
      </c>
      <c r="F98" s="409" t="s">
        <v>67</v>
      </c>
      <c r="G98" s="1662" t="s">
        <v>1064</v>
      </c>
      <c r="H98" s="1682">
        <f t="shared" ref="H98:U98" si="18">H99</f>
        <v>2900</v>
      </c>
      <c r="I98" s="529">
        <f t="shared" si="18"/>
        <v>0</v>
      </c>
      <c r="J98" s="269">
        <f t="shared" si="18"/>
        <v>0</v>
      </c>
      <c r="K98" s="1858">
        <f t="shared" si="18"/>
        <v>0</v>
      </c>
      <c r="L98" s="1858">
        <f t="shared" si="18"/>
        <v>0</v>
      </c>
      <c r="M98" s="1858">
        <f t="shared" si="18"/>
        <v>0</v>
      </c>
      <c r="N98" s="1200">
        <f t="shared" si="18"/>
        <v>3200</v>
      </c>
      <c r="O98" s="1858">
        <f t="shared" si="18"/>
        <v>0</v>
      </c>
      <c r="P98" s="1858">
        <f t="shared" si="18"/>
        <v>0</v>
      </c>
      <c r="Q98" s="1858">
        <f t="shared" si="18"/>
        <v>0</v>
      </c>
      <c r="R98" s="1858">
        <f t="shared" si="18"/>
        <v>0</v>
      </c>
      <c r="S98" s="1858">
        <f t="shared" si="18"/>
        <v>0</v>
      </c>
      <c r="T98" s="1858">
        <f t="shared" si="18"/>
        <v>0</v>
      </c>
      <c r="U98" s="1682">
        <f t="shared" si="18"/>
        <v>3180</v>
      </c>
    </row>
    <row r="99" spans="1:21" ht="13.5" customHeight="1" x14ac:dyDescent="0.25">
      <c r="A99" s="842"/>
      <c r="B99" s="1182" t="s">
        <v>580</v>
      </c>
      <c r="C99" s="1183"/>
      <c r="D99" s="409" t="s">
        <v>456</v>
      </c>
      <c r="E99" s="409" t="s">
        <v>464</v>
      </c>
      <c r="F99" s="409" t="s">
        <v>67</v>
      </c>
      <c r="G99" s="1662" t="s">
        <v>579</v>
      </c>
      <c r="H99" s="1682">
        <v>2900</v>
      </c>
      <c r="I99" s="529"/>
      <c r="J99" s="269"/>
      <c r="K99" s="1858"/>
      <c r="L99" s="1858"/>
      <c r="M99" s="1858"/>
      <c r="N99" s="1200">
        <v>3200</v>
      </c>
      <c r="O99" s="1858"/>
      <c r="P99" s="1858"/>
      <c r="Q99" s="1858"/>
      <c r="R99" s="1858"/>
      <c r="S99" s="1858"/>
      <c r="T99" s="1858"/>
      <c r="U99" s="1682">
        <v>3180</v>
      </c>
    </row>
    <row r="100" spans="1:21" x14ac:dyDescent="0.25">
      <c r="A100" s="842"/>
      <c r="B100" s="1184" t="s">
        <v>93</v>
      </c>
      <c r="C100" s="1177"/>
      <c r="D100" s="408" t="s">
        <v>456</v>
      </c>
      <c r="E100" s="408" t="s">
        <v>573</v>
      </c>
      <c r="F100" s="408"/>
      <c r="G100" s="1661"/>
      <c r="H100" s="1683">
        <f>H101+H110</f>
        <v>610</v>
      </c>
      <c r="I100" s="841">
        <f>I101+I110</f>
        <v>598.5</v>
      </c>
      <c r="J100" s="276">
        <f>J101+J110</f>
        <v>598.5</v>
      </c>
      <c r="K100" s="1858"/>
      <c r="L100" s="1858"/>
      <c r="M100" s="1858"/>
      <c r="N100" s="1208">
        <f>N106+N108+N109</f>
        <v>600</v>
      </c>
      <c r="O100" s="1858"/>
      <c r="P100" s="1858"/>
      <c r="Q100" s="1858"/>
      <c r="R100" s="1858"/>
      <c r="S100" s="1858"/>
      <c r="T100" s="1858"/>
      <c r="U100" s="1683">
        <f>U106+U108+U109</f>
        <v>700</v>
      </c>
    </row>
    <row r="101" spans="1:21" x14ac:dyDescent="0.25">
      <c r="A101" s="1179"/>
      <c r="B101" s="753" t="s">
        <v>102</v>
      </c>
      <c r="C101" s="1180"/>
      <c r="D101" s="409" t="s">
        <v>456</v>
      </c>
      <c r="E101" s="409" t="s">
        <v>573</v>
      </c>
      <c r="F101" s="409" t="s">
        <v>101</v>
      </c>
      <c r="G101" s="1662"/>
      <c r="H101" s="1682">
        <f t="shared" ref="H101:J103" si="19">H102</f>
        <v>610</v>
      </c>
      <c r="I101" s="529">
        <f t="shared" si="19"/>
        <v>0</v>
      </c>
      <c r="J101" s="269">
        <f t="shared" si="19"/>
        <v>0</v>
      </c>
      <c r="K101" s="1858"/>
      <c r="L101" s="1858"/>
      <c r="M101" s="1858"/>
      <c r="N101" s="1200">
        <f t="shared" ref="N101:N103" si="20">N102</f>
        <v>560</v>
      </c>
      <c r="O101" s="1858"/>
      <c r="P101" s="1858"/>
      <c r="Q101" s="1858"/>
      <c r="R101" s="1858"/>
      <c r="S101" s="1858"/>
      <c r="T101" s="1858"/>
      <c r="U101" s="1682">
        <f t="shared" ref="U101:U103" si="21">U102</f>
        <v>660</v>
      </c>
    </row>
    <row r="102" spans="1:21" x14ac:dyDescent="0.25">
      <c r="A102" s="1179"/>
      <c r="B102" s="753" t="s">
        <v>109</v>
      </c>
      <c r="C102" s="1180"/>
      <c r="D102" s="409" t="s">
        <v>456</v>
      </c>
      <c r="E102" s="409" t="s">
        <v>573</v>
      </c>
      <c r="F102" s="409" t="s">
        <v>100</v>
      </c>
      <c r="G102" s="1662"/>
      <c r="H102" s="1682">
        <f t="shared" si="19"/>
        <v>610</v>
      </c>
      <c r="I102" s="529">
        <f t="shared" si="19"/>
        <v>0</v>
      </c>
      <c r="J102" s="269">
        <f t="shared" si="19"/>
        <v>0</v>
      </c>
      <c r="K102" s="1858"/>
      <c r="L102" s="1858"/>
      <c r="M102" s="1858"/>
      <c r="N102" s="1200">
        <f t="shared" si="20"/>
        <v>560</v>
      </c>
      <c r="O102" s="1858"/>
      <c r="P102" s="1858"/>
      <c r="Q102" s="1858"/>
      <c r="R102" s="1858"/>
      <c r="S102" s="1858"/>
      <c r="T102" s="1858"/>
      <c r="U102" s="1682">
        <f t="shared" si="21"/>
        <v>660</v>
      </c>
    </row>
    <row r="103" spans="1:21" x14ac:dyDescent="0.25">
      <c r="A103" s="1179"/>
      <c r="B103" s="753" t="s">
        <v>109</v>
      </c>
      <c r="C103" s="1180"/>
      <c r="D103" s="409" t="s">
        <v>456</v>
      </c>
      <c r="E103" s="409" t="s">
        <v>573</v>
      </c>
      <c r="F103" s="409" t="s">
        <v>99</v>
      </c>
      <c r="G103" s="1662"/>
      <c r="H103" s="1682">
        <f t="shared" si="19"/>
        <v>610</v>
      </c>
      <c r="I103" s="529">
        <f t="shared" si="19"/>
        <v>0</v>
      </c>
      <c r="J103" s="269">
        <f t="shared" si="19"/>
        <v>0</v>
      </c>
      <c r="K103" s="1858"/>
      <c r="L103" s="1858"/>
      <c r="M103" s="1858"/>
      <c r="N103" s="1200">
        <f t="shared" si="20"/>
        <v>560</v>
      </c>
      <c r="O103" s="1858"/>
      <c r="P103" s="1858"/>
      <c r="Q103" s="1858"/>
      <c r="R103" s="1858"/>
      <c r="S103" s="1858"/>
      <c r="T103" s="1858"/>
      <c r="U103" s="1682">
        <f t="shared" si="21"/>
        <v>660</v>
      </c>
    </row>
    <row r="104" spans="1:21" x14ac:dyDescent="0.25">
      <c r="A104" s="1179"/>
      <c r="B104" s="753" t="s">
        <v>577</v>
      </c>
      <c r="C104" s="1180"/>
      <c r="D104" s="409" t="s">
        <v>456</v>
      </c>
      <c r="E104" s="409" t="s">
        <v>573</v>
      </c>
      <c r="F104" s="409" t="s">
        <v>92</v>
      </c>
      <c r="G104" s="1662"/>
      <c r="H104" s="1682">
        <f>H106+H109+H108</f>
        <v>610</v>
      </c>
      <c r="I104" s="529">
        <f>I106+I109</f>
        <v>0</v>
      </c>
      <c r="J104" s="269">
        <f>J106+J109</f>
        <v>0</v>
      </c>
      <c r="K104" s="1858">
        <v>500</v>
      </c>
      <c r="L104" s="1858" t="s">
        <v>959</v>
      </c>
      <c r="M104" s="1858"/>
      <c r="N104" s="1200">
        <f>N106+N109</f>
        <v>560</v>
      </c>
      <c r="O104" s="1858"/>
      <c r="P104" s="1858"/>
      <c r="Q104" s="1858"/>
      <c r="R104" s="1858"/>
      <c r="S104" s="1858"/>
      <c r="T104" s="1858"/>
      <c r="U104" s="1682">
        <f>U106+U109</f>
        <v>660</v>
      </c>
    </row>
    <row r="105" spans="1:21" x14ac:dyDescent="0.25">
      <c r="A105" s="1179"/>
      <c r="B105" s="753" t="s">
        <v>948</v>
      </c>
      <c r="C105" s="1180"/>
      <c r="D105" s="409" t="s">
        <v>456</v>
      </c>
      <c r="E105" s="409" t="s">
        <v>573</v>
      </c>
      <c r="F105" s="409" t="s">
        <v>92</v>
      </c>
      <c r="G105" s="1662" t="s">
        <v>955</v>
      </c>
      <c r="H105" s="1682">
        <f t="shared" ref="H105:U105" si="22">H106</f>
        <v>500</v>
      </c>
      <c r="I105" s="529">
        <f t="shared" si="22"/>
        <v>0</v>
      </c>
      <c r="J105" s="269">
        <f t="shared" si="22"/>
        <v>0</v>
      </c>
      <c r="K105" s="1858">
        <f t="shared" si="22"/>
        <v>0</v>
      </c>
      <c r="L105" s="1858">
        <f t="shared" si="22"/>
        <v>0</v>
      </c>
      <c r="M105" s="1858">
        <f t="shared" si="22"/>
        <v>0</v>
      </c>
      <c r="N105" s="1200">
        <f t="shared" si="22"/>
        <v>550</v>
      </c>
      <c r="O105" s="1858">
        <f t="shared" si="22"/>
        <v>0</v>
      </c>
      <c r="P105" s="1858">
        <f t="shared" si="22"/>
        <v>0</v>
      </c>
      <c r="Q105" s="1858">
        <f t="shared" si="22"/>
        <v>0</v>
      </c>
      <c r="R105" s="1858">
        <f t="shared" si="22"/>
        <v>0</v>
      </c>
      <c r="S105" s="1858">
        <f t="shared" si="22"/>
        <v>0</v>
      </c>
      <c r="T105" s="1858">
        <f t="shared" si="22"/>
        <v>0</v>
      </c>
      <c r="U105" s="1682">
        <f t="shared" si="22"/>
        <v>650</v>
      </c>
    </row>
    <row r="106" spans="1:21" ht="21" x14ac:dyDescent="0.25">
      <c r="A106" s="842"/>
      <c r="B106" s="1182" t="s">
        <v>454</v>
      </c>
      <c r="C106" s="1183"/>
      <c r="D106" s="409" t="s">
        <v>456</v>
      </c>
      <c r="E106" s="409" t="s">
        <v>573</v>
      </c>
      <c r="F106" s="409" t="s">
        <v>92</v>
      </c>
      <c r="G106" s="1662" t="s">
        <v>1</v>
      </c>
      <c r="H106" s="1682">
        <v>500</v>
      </c>
      <c r="I106" s="529"/>
      <c r="J106" s="269"/>
      <c r="K106" s="1858"/>
      <c r="L106" s="1858"/>
      <c r="M106" s="1858"/>
      <c r="N106" s="1200">
        <v>550</v>
      </c>
      <c r="O106" s="1858"/>
      <c r="P106" s="1858"/>
      <c r="Q106" s="1858"/>
      <c r="R106" s="1858"/>
      <c r="S106" s="1858"/>
      <c r="T106" s="1858"/>
      <c r="U106" s="1682">
        <v>650</v>
      </c>
    </row>
    <row r="107" spans="1:21" x14ac:dyDescent="0.25">
      <c r="A107" s="842"/>
      <c r="B107" s="1182" t="s">
        <v>1068</v>
      </c>
      <c r="C107" s="1183"/>
      <c r="D107" s="409" t="s">
        <v>456</v>
      </c>
      <c r="E107" s="409" t="s">
        <v>573</v>
      </c>
      <c r="F107" s="409" t="s">
        <v>92</v>
      </c>
      <c r="G107" s="1662" t="s">
        <v>1064</v>
      </c>
      <c r="H107" s="1682">
        <f>H108+H109</f>
        <v>110</v>
      </c>
      <c r="I107" s="529"/>
      <c r="J107" s="269"/>
      <c r="K107" s="1858"/>
      <c r="L107" s="1858"/>
      <c r="M107" s="1858"/>
      <c r="N107" s="1200">
        <f t="shared" ref="N107:U107" si="23">N108+N109</f>
        <v>50</v>
      </c>
      <c r="O107" s="1858">
        <f t="shared" si="23"/>
        <v>0</v>
      </c>
      <c r="P107" s="1858">
        <f t="shared" si="23"/>
        <v>0</v>
      </c>
      <c r="Q107" s="1858">
        <f t="shared" si="23"/>
        <v>0</v>
      </c>
      <c r="R107" s="1858">
        <f t="shared" si="23"/>
        <v>0</v>
      </c>
      <c r="S107" s="1858">
        <f t="shared" si="23"/>
        <v>0</v>
      </c>
      <c r="T107" s="1858">
        <f t="shared" si="23"/>
        <v>0</v>
      </c>
      <c r="U107" s="1682">
        <f t="shared" si="23"/>
        <v>50</v>
      </c>
    </row>
    <row r="108" spans="1:21" x14ac:dyDescent="0.25">
      <c r="A108" s="842"/>
      <c r="B108" s="1182" t="s">
        <v>1003</v>
      </c>
      <c r="C108" s="1183"/>
      <c r="D108" s="409" t="s">
        <v>456</v>
      </c>
      <c r="E108" s="409" t="s">
        <v>573</v>
      </c>
      <c r="F108" s="409" t="s">
        <v>92</v>
      </c>
      <c r="G108" s="1662" t="s">
        <v>95</v>
      </c>
      <c r="H108" s="1682">
        <v>100</v>
      </c>
      <c r="I108" s="529"/>
      <c r="J108" s="269"/>
      <c r="K108" s="1858"/>
      <c r="L108" s="1858"/>
      <c r="M108" s="1858"/>
      <c r="N108" s="1200">
        <v>40</v>
      </c>
      <c r="O108" s="1858"/>
      <c r="P108" s="1858"/>
      <c r="Q108" s="1858"/>
      <c r="R108" s="1858"/>
      <c r="S108" s="1858"/>
      <c r="T108" s="1858"/>
      <c r="U108" s="1682">
        <v>40</v>
      </c>
    </row>
    <row r="109" spans="1:21" x14ac:dyDescent="0.25">
      <c r="A109" s="842"/>
      <c r="B109" s="1182" t="s">
        <v>457</v>
      </c>
      <c r="C109" s="1183"/>
      <c r="D109" s="409" t="s">
        <v>456</v>
      </c>
      <c r="E109" s="409" t="s">
        <v>573</v>
      </c>
      <c r="F109" s="409" t="s">
        <v>92</v>
      </c>
      <c r="G109" s="1662" t="s">
        <v>91</v>
      </c>
      <c r="H109" s="1682">
        <v>10</v>
      </c>
      <c r="I109" s="529"/>
      <c r="J109" s="269"/>
      <c r="K109" s="1858"/>
      <c r="L109" s="1858"/>
      <c r="M109" s="1858"/>
      <c r="N109" s="1200">
        <v>10</v>
      </c>
      <c r="O109" s="1858"/>
      <c r="P109" s="1858"/>
      <c r="Q109" s="1858"/>
      <c r="R109" s="1858"/>
      <c r="S109" s="1858"/>
      <c r="T109" s="1858"/>
      <c r="U109" s="1682">
        <v>10</v>
      </c>
    </row>
    <row r="110" spans="1:21" ht="21" hidden="1" x14ac:dyDescent="0.25">
      <c r="A110" s="1211"/>
      <c r="B110" s="753" t="s">
        <v>499</v>
      </c>
      <c r="C110" s="1177"/>
      <c r="D110" s="408" t="s">
        <v>456</v>
      </c>
      <c r="E110" s="408" t="s">
        <v>573</v>
      </c>
      <c r="F110" s="409" t="s">
        <v>89</v>
      </c>
      <c r="G110" s="1661"/>
      <c r="H110" s="1683">
        <f t="shared" ref="H110:J111" si="24">H111</f>
        <v>0</v>
      </c>
      <c r="I110" s="841">
        <f t="shared" si="24"/>
        <v>598.5</v>
      </c>
      <c r="J110" s="276">
        <f t="shared" si="24"/>
        <v>598.5</v>
      </c>
      <c r="K110" s="1858"/>
      <c r="L110" s="1858"/>
      <c r="M110" s="1858"/>
      <c r="N110" s="1208">
        <f t="shared" ref="N110:N111" si="25">N111</f>
        <v>0</v>
      </c>
      <c r="O110" s="1858"/>
      <c r="P110" s="1858"/>
      <c r="Q110" s="1858"/>
      <c r="R110" s="1858"/>
      <c r="S110" s="1858"/>
      <c r="T110" s="1858"/>
      <c r="U110" s="1683">
        <f t="shared" ref="U110:U111" si="26">U111</f>
        <v>0</v>
      </c>
    </row>
    <row r="111" spans="1:21" hidden="1" x14ac:dyDescent="0.25">
      <c r="A111" s="1179"/>
      <c r="B111" s="753" t="s">
        <v>109</v>
      </c>
      <c r="C111" s="1180"/>
      <c r="D111" s="409" t="s">
        <v>456</v>
      </c>
      <c r="E111" s="409" t="s">
        <v>573</v>
      </c>
      <c r="F111" s="409" t="s">
        <v>84</v>
      </c>
      <c r="G111" s="1662"/>
      <c r="H111" s="1682">
        <f t="shared" si="24"/>
        <v>0</v>
      </c>
      <c r="I111" s="529">
        <f t="shared" si="24"/>
        <v>598.5</v>
      </c>
      <c r="J111" s="269">
        <f t="shared" si="24"/>
        <v>598.5</v>
      </c>
      <c r="K111" s="1858"/>
      <c r="L111" s="1858"/>
      <c r="M111" s="1858"/>
      <c r="N111" s="1200">
        <f t="shared" si="25"/>
        <v>0</v>
      </c>
      <c r="O111" s="1858"/>
      <c r="P111" s="1858"/>
      <c r="Q111" s="1858"/>
      <c r="R111" s="1858"/>
      <c r="S111" s="1858"/>
      <c r="T111" s="1858"/>
      <c r="U111" s="1682">
        <f t="shared" si="26"/>
        <v>0</v>
      </c>
    </row>
    <row r="112" spans="1:21" hidden="1" x14ac:dyDescent="0.25">
      <c r="A112" s="1179"/>
      <c r="B112" s="753" t="s">
        <v>109</v>
      </c>
      <c r="C112" s="1180"/>
      <c r="D112" s="409" t="s">
        <v>456</v>
      </c>
      <c r="E112" s="409" t="s">
        <v>573</v>
      </c>
      <c r="F112" s="409" t="s">
        <v>82</v>
      </c>
      <c r="G112" s="1662"/>
      <c r="H112" s="1682">
        <f>H113</f>
        <v>0</v>
      </c>
      <c r="I112" s="529">
        <f>I117</f>
        <v>598.5</v>
      </c>
      <c r="J112" s="269">
        <f>J117</f>
        <v>598.5</v>
      </c>
      <c r="K112" s="1858"/>
      <c r="L112" s="1858"/>
      <c r="M112" s="1858"/>
      <c r="N112" s="1200">
        <f>N117</f>
        <v>0</v>
      </c>
      <c r="O112" s="1858"/>
      <c r="P112" s="1858"/>
      <c r="Q112" s="1858"/>
      <c r="R112" s="1858"/>
      <c r="S112" s="1858"/>
      <c r="T112" s="1858"/>
      <c r="U112" s="1682">
        <f>U117</f>
        <v>0</v>
      </c>
    </row>
    <row r="113" spans="1:25" ht="33" hidden="1" customHeight="1" x14ac:dyDescent="0.25">
      <c r="A113" s="1179"/>
      <c r="B113" s="753" t="s">
        <v>1004</v>
      </c>
      <c r="C113" s="1180"/>
      <c r="D113" s="409" t="s">
        <v>456</v>
      </c>
      <c r="E113" s="409" t="s">
        <v>573</v>
      </c>
      <c r="F113" s="409" t="s">
        <v>1005</v>
      </c>
      <c r="G113" s="1662"/>
      <c r="H113" s="1682">
        <f>H114</f>
        <v>0</v>
      </c>
      <c r="I113" s="529">
        <f>I114</f>
        <v>0</v>
      </c>
      <c r="J113" s="269">
        <f>J114</f>
        <v>0</v>
      </c>
      <c r="K113" s="1858"/>
      <c r="L113" s="1858"/>
      <c r="M113" s="1858"/>
      <c r="N113" s="1200">
        <f>N114</f>
        <v>0</v>
      </c>
      <c r="O113" s="1858"/>
      <c r="P113" s="1858"/>
      <c r="Q113" s="1858"/>
      <c r="R113" s="1858"/>
      <c r="S113" s="1858"/>
      <c r="T113" s="1858"/>
      <c r="U113" s="1682">
        <f>U114</f>
        <v>0</v>
      </c>
    </row>
    <row r="114" spans="1:25" hidden="1" x14ac:dyDescent="0.25">
      <c r="A114" s="842"/>
      <c r="B114" s="1182" t="s">
        <v>571</v>
      </c>
      <c r="C114" s="1183"/>
      <c r="D114" s="409" t="s">
        <v>456</v>
      </c>
      <c r="E114" s="409" t="s">
        <v>573</v>
      </c>
      <c r="F114" s="409" t="s">
        <v>1005</v>
      </c>
      <c r="G114" s="1662" t="s">
        <v>5</v>
      </c>
      <c r="H114" s="1682"/>
      <c r="I114" s="529"/>
      <c r="J114" s="269"/>
      <c r="K114" s="1858"/>
      <c r="L114" s="1858"/>
      <c r="M114" s="1858"/>
      <c r="N114" s="1200"/>
      <c r="O114" s="1858"/>
      <c r="P114" s="1858"/>
      <c r="Q114" s="1858"/>
      <c r="R114" s="1858"/>
      <c r="S114" s="1858"/>
      <c r="T114" s="1858"/>
      <c r="U114" s="1682"/>
    </row>
    <row r="115" spans="1:25" ht="21" hidden="1" x14ac:dyDescent="0.25">
      <c r="A115" s="842"/>
      <c r="B115" s="1199" t="s">
        <v>151</v>
      </c>
      <c r="C115" s="1188"/>
      <c r="D115" s="409" t="s">
        <v>456</v>
      </c>
      <c r="E115" s="409" t="s">
        <v>452</v>
      </c>
      <c r="F115" s="409" t="s">
        <v>150</v>
      </c>
      <c r="G115" s="1662"/>
      <c r="H115" s="1682">
        <f>H116</f>
        <v>0</v>
      </c>
      <c r="I115" s="529">
        <f>I116</f>
        <v>0</v>
      </c>
      <c r="J115" s="269">
        <f>J116</f>
        <v>0</v>
      </c>
      <c r="K115" s="1858"/>
      <c r="L115" s="1858"/>
      <c r="M115" s="1858"/>
      <c r="N115" s="1200">
        <f>N116</f>
        <v>0</v>
      </c>
      <c r="O115" s="1858"/>
      <c r="P115" s="1858"/>
      <c r="Q115" s="1858"/>
      <c r="R115" s="1858"/>
      <c r="S115" s="1858"/>
      <c r="T115" s="1858"/>
      <c r="U115" s="1682">
        <f>U116</f>
        <v>0</v>
      </c>
    </row>
    <row r="116" spans="1:25" hidden="1" x14ac:dyDescent="0.25">
      <c r="A116" s="842"/>
      <c r="B116" s="1182" t="s">
        <v>575</v>
      </c>
      <c r="C116" s="1183"/>
      <c r="D116" s="409" t="s">
        <v>456</v>
      </c>
      <c r="E116" s="409" t="s">
        <v>452</v>
      </c>
      <c r="F116" s="409" t="s">
        <v>150</v>
      </c>
      <c r="G116" s="1662" t="s">
        <v>120</v>
      </c>
      <c r="H116" s="1682"/>
      <c r="I116" s="529"/>
      <c r="J116" s="269"/>
      <c r="K116" s="1858"/>
      <c r="L116" s="1858"/>
      <c r="M116" s="1858"/>
      <c r="N116" s="1200"/>
      <c r="O116" s="1858"/>
      <c r="P116" s="1858"/>
      <c r="Q116" s="1858"/>
      <c r="R116" s="1858"/>
      <c r="S116" s="1858"/>
      <c r="T116" s="1858"/>
      <c r="U116" s="1682"/>
    </row>
    <row r="117" spans="1:25" ht="52" hidden="1" x14ac:dyDescent="0.25">
      <c r="A117" s="842"/>
      <c r="B117" s="398" t="s">
        <v>574</v>
      </c>
      <c r="C117" s="1188"/>
      <c r="D117" s="409" t="s">
        <v>456</v>
      </c>
      <c r="E117" s="409" t="s">
        <v>573</v>
      </c>
      <c r="F117" s="409" t="s">
        <v>127</v>
      </c>
      <c r="G117" s="1662"/>
      <c r="H117" s="1682">
        <f>H118+H119</f>
        <v>0</v>
      </c>
      <c r="I117" s="529">
        <f>I118+I119</f>
        <v>598.5</v>
      </c>
      <c r="J117" s="269">
        <f>J118+J119</f>
        <v>598.5</v>
      </c>
      <c r="K117" s="1858"/>
      <c r="L117" s="1858"/>
      <c r="M117" s="1858"/>
      <c r="N117" s="1200">
        <f>N118+N119</f>
        <v>0</v>
      </c>
      <c r="O117" s="1858"/>
      <c r="P117" s="1858"/>
      <c r="Q117" s="1858"/>
      <c r="R117" s="1858"/>
      <c r="S117" s="1858"/>
      <c r="T117" s="1858"/>
      <c r="U117" s="1682">
        <f>U118+U119</f>
        <v>0</v>
      </c>
    </row>
    <row r="118" spans="1:25" hidden="1" x14ac:dyDescent="0.25">
      <c r="A118" s="842"/>
      <c r="B118" s="1182" t="s">
        <v>571</v>
      </c>
      <c r="C118" s="1183"/>
      <c r="D118" s="409" t="s">
        <v>456</v>
      </c>
      <c r="E118" s="409" t="s">
        <v>573</v>
      </c>
      <c r="F118" s="409" t="s">
        <v>127</v>
      </c>
      <c r="G118" s="1662" t="s">
        <v>5</v>
      </c>
      <c r="H118" s="1682"/>
      <c r="I118" s="529">
        <v>561.29999999999995</v>
      </c>
      <c r="J118" s="269">
        <v>561.29999999999995</v>
      </c>
      <c r="K118" s="1858"/>
      <c r="L118" s="1858"/>
      <c r="M118" s="1858"/>
      <c r="N118" s="1200"/>
      <c r="O118" s="1858"/>
      <c r="P118" s="1858"/>
      <c r="Q118" s="1858"/>
      <c r="R118" s="1858"/>
      <c r="S118" s="1858"/>
      <c r="T118" s="1858"/>
      <c r="U118" s="1682"/>
    </row>
    <row r="119" spans="1:25" ht="21" hidden="1" x14ac:dyDescent="0.25">
      <c r="A119" s="842"/>
      <c r="B119" s="1182" t="s">
        <v>454</v>
      </c>
      <c r="C119" s="1183"/>
      <c r="D119" s="409" t="s">
        <v>456</v>
      </c>
      <c r="E119" s="409" t="s">
        <v>573</v>
      </c>
      <c r="F119" s="409" t="s">
        <v>127</v>
      </c>
      <c r="G119" s="1662" t="s">
        <v>1</v>
      </c>
      <c r="H119" s="1682"/>
      <c r="I119" s="529">
        <v>37.200000000000003</v>
      </c>
      <c r="J119" s="269">
        <v>37.200000000000003</v>
      </c>
      <c r="K119" s="1858"/>
      <c r="L119" s="1858"/>
      <c r="M119" s="1858"/>
      <c r="N119" s="1200"/>
      <c r="O119" s="1858"/>
      <c r="P119" s="1858"/>
      <c r="Q119" s="1858"/>
      <c r="R119" s="1858"/>
      <c r="S119" s="1858"/>
      <c r="T119" s="1858"/>
      <c r="U119" s="1682"/>
    </row>
    <row r="120" spans="1:25" x14ac:dyDescent="0.25">
      <c r="A120" s="842"/>
      <c r="B120" s="1252" t="s">
        <v>412</v>
      </c>
      <c r="C120" s="1183"/>
      <c r="D120" s="408" t="s">
        <v>488</v>
      </c>
      <c r="E120" s="408" t="s">
        <v>459</v>
      </c>
      <c r="F120" s="409"/>
      <c r="G120" s="1662"/>
      <c r="H120" s="1683">
        <f>H121</f>
        <v>844.2</v>
      </c>
      <c r="I120" s="841">
        <f t="shared" ref="I120:J124" si="27">I121</f>
        <v>0</v>
      </c>
      <c r="J120" s="276">
        <f t="shared" si="27"/>
        <v>0</v>
      </c>
      <c r="K120" s="1858"/>
      <c r="L120" s="1858"/>
      <c r="M120" s="1858"/>
      <c r="N120" s="1208">
        <f>N121</f>
        <v>874.4</v>
      </c>
      <c r="O120" s="1858"/>
      <c r="P120" s="1858"/>
      <c r="Q120" s="1858"/>
      <c r="R120" s="1858"/>
      <c r="S120" s="1858"/>
      <c r="T120" s="1858"/>
      <c r="U120" s="1683">
        <f>U121</f>
        <v>0</v>
      </c>
      <c r="V120" s="1861">
        <v>834.7</v>
      </c>
      <c r="W120" s="1861">
        <v>844.2</v>
      </c>
      <c r="X120" s="1861">
        <v>874.4</v>
      </c>
      <c r="Y120" s="239" t="s">
        <v>444</v>
      </c>
    </row>
    <row r="121" spans="1:25" x14ac:dyDescent="0.25">
      <c r="A121" s="842"/>
      <c r="B121" s="1252" t="s">
        <v>6</v>
      </c>
      <c r="C121" s="1183"/>
      <c r="D121" s="408" t="s">
        <v>488</v>
      </c>
      <c r="E121" s="408" t="s">
        <v>495</v>
      </c>
      <c r="F121" s="409"/>
      <c r="G121" s="1662"/>
      <c r="H121" s="1683">
        <f>H122</f>
        <v>844.2</v>
      </c>
      <c r="I121" s="841">
        <f t="shared" si="27"/>
        <v>0</v>
      </c>
      <c r="J121" s="276">
        <f t="shared" si="27"/>
        <v>0</v>
      </c>
      <c r="K121" s="1862">
        <v>727.8</v>
      </c>
      <c r="L121" s="1858"/>
      <c r="M121" s="1858"/>
      <c r="N121" s="1208">
        <f>N122</f>
        <v>874.4</v>
      </c>
      <c r="O121" s="1858"/>
      <c r="P121" s="1858"/>
      <c r="Q121" s="1858"/>
      <c r="R121" s="1858"/>
      <c r="S121" s="1858"/>
      <c r="T121" s="1858"/>
      <c r="U121" s="1683">
        <f>U122</f>
        <v>0</v>
      </c>
    </row>
    <row r="122" spans="1:25" ht="21" x14ac:dyDescent="0.25">
      <c r="A122" s="842"/>
      <c r="B122" s="753" t="s">
        <v>499</v>
      </c>
      <c r="C122" s="1183"/>
      <c r="D122" s="408" t="s">
        <v>488</v>
      </c>
      <c r="E122" s="408" t="s">
        <v>495</v>
      </c>
      <c r="F122" s="409" t="s">
        <v>89</v>
      </c>
      <c r="G122" s="1662"/>
      <c r="H122" s="1683">
        <f>H123</f>
        <v>844.2</v>
      </c>
      <c r="I122" s="841">
        <f t="shared" si="27"/>
        <v>0</v>
      </c>
      <c r="J122" s="276">
        <f t="shared" si="27"/>
        <v>0</v>
      </c>
      <c r="K122" s="1858"/>
      <c r="L122" s="1858"/>
      <c r="M122" s="1858"/>
      <c r="N122" s="1208">
        <f>N123</f>
        <v>874.4</v>
      </c>
      <c r="O122" s="1858"/>
      <c r="P122" s="1858"/>
      <c r="Q122" s="1858"/>
      <c r="R122" s="1858"/>
      <c r="S122" s="1858"/>
      <c r="T122" s="1858"/>
      <c r="U122" s="1683">
        <f>U123</f>
        <v>0</v>
      </c>
    </row>
    <row r="123" spans="1:25" x14ac:dyDescent="0.25">
      <c r="A123" s="842"/>
      <c r="B123" s="753" t="s">
        <v>109</v>
      </c>
      <c r="C123" s="1183"/>
      <c r="D123" s="409" t="s">
        <v>488</v>
      </c>
      <c r="E123" s="409" t="s">
        <v>495</v>
      </c>
      <c r="F123" s="409" t="s">
        <v>84</v>
      </c>
      <c r="G123" s="1662"/>
      <c r="H123" s="1682">
        <f>H124</f>
        <v>844.2</v>
      </c>
      <c r="I123" s="529">
        <f t="shared" si="27"/>
        <v>0</v>
      </c>
      <c r="J123" s="269">
        <f t="shared" si="27"/>
        <v>0</v>
      </c>
      <c r="K123" s="1858"/>
      <c r="L123" s="1858"/>
      <c r="M123" s="1858"/>
      <c r="N123" s="1200">
        <f>N124</f>
        <v>874.4</v>
      </c>
      <c r="O123" s="1858"/>
      <c r="P123" s="1858"/>
      <c r="Q123" s="1858"/>
      <c r="R123" s="1858"/>
      <c r="S123" s="1858"/>
      <c r="T123" s="1858"/>
      <c r="U123" s="1682">
        <f>U124</f>
        <v>0</v>
      </c>
    </row>
    <row r="124" spans="1:25" x14ac:dyDescent="0.25">
      <c r="A124" s="842"/>
      <c r="B124" s="753" t="s">
        <v>109</v>
      </c>
      <c r="C124" s="1183"/>
      <c r="D124" s="409" t="s">
        <v>488</v>
      </c>
      <c r="E124" s="409" t="s">
        <v>495</v>
      </c>
      <c r="F124" s="409" t="s">
        <v>82</v>
      </c>
      <c r="G124" s="1662"/>
      <c r="H124" s="1682">
        <f>H125</f>
        <v>844.2</v>
      </c>
      <c r="I124" s="529">
        <f t="shared" si="27"/>
        <v>0</v>
      </c>
      <c r="J124" s="269">
        <f t="shared" si="27"/>
        <v>0</v>
      </c>
      <c r="K124" s="1858"/>
      <c r="L124" s="1858"/>
      <c r="M124" s="1858"/>
      <c r="N124" s="1200">
        <f>N125</f>
        <v>874.4</v>
      </c>
      <c r="O124" s="1858"/>
      <c r="P124" s="1858"/>
      <c r="Q124" s="1858"/>
      <c r="R124" s="1858"/>
      <c r="S124" s="1858"/>
      <c r="T124" s="1858"/>
      <c r="U124" s="1682">
        <f>U125</f>
        <v>0</v>
      </c>
    </row>
    <row r="125" spans="1:25" ht="21" x14ac:dyDescent="0.25">
      <c r="A125" s="842"/>
      <c r="B125" s="1213" t="s">
        <v>8</v>
      </c>
      <c r="C125" s="1183"/>
      <c r="D125" s="409" t="s">
        <v>488</v>
      </c>
      <c r="E125" s="409" t="s">
        <v>495</v>
      </c>
      <c r="F125" s="409" t="s">
        <v>2</v>
      </c>
      <c r="G125" s="1662"/>
      <c r="H125" s="1682">
        <f>H127+H129</f>
        <v>844.2</v>
      </c>
      <c r="I125" s="529">
        <f>I127+I129</f>
        <v>0</v>
      </c>
      <c r="J125" s="269">
        <f>J127+J129</f>
        <v>0</v>
      </c>
      <c r="K125" s="1858"/>
      <c r="L125" s="1858"/>
      <c r="M125" s="1858"/>
      <c r="N125" s="1200">
        <f>N127+N129</f>
        <v>874.4</v>
      </c>
      <c r="O125" s="1858"/>
      <c r="P125" s="1858"/>
      <c r="Q125" s="1858"/>
      <c r="R125" s="1858"/>
      <c r="S125" s="1858"/>
      <c r="T125" s="1858"/>
      <c r="U125" s="1682">
        <f>U127+U129</f>
        <v>0</v>
      </c>
    </row>
    <row r="126" spans="1:25" ht="39" x14ac:dyDescent="0.25">
      <c r="A126" s="842"/>
      <c r="B126" s="49" t="s">
        <v>1063</v>
      </c>
      <c r="C126" s="1183"/>
      <c r="D126" s="409" t="s">
        <v>488</v>
      </c>
      <c r="E126" s="409" t="s">
        <v>495</v>
      </c>
      <c r="F126" s="409" t="s">
        <v>2</v>
      </c>
      <c r="G126" s="1662" t="s">
        <v>1062</v>
      </c>
      <c r="H126" s="1682">
        <f t="shared" ref="H126:U126" si="28">H127</f>
        <v>839.40899999999999</v>
      </c>
      <c r="I126" s="529">
        <f t="shared" si="28"/>
        <v>0</v>
      </c>
      <c r="J126" s="269">
        <f t="shared" si="28"/>
        <v>0</v>
      </c>
      <c r="K126" s="1858">
        <f t="shared" si="28"/>
        <v>0</v>
      </c>
      <c r="L126" s="1858">
        <f t="shared" si="28"/>
        <v>0</v>
      </c>
      <c r="M126" s="1858">
        <f t="shared" si="28"/>
        <v>0</v>
      </c>
      <c r="N126" s="1200">
        <f t="shared" si="28"/>
        <v>872.98599999999999</v>
      </c>
      <c r="O126" s="1858">
        <f t="shared" si="28"/>
        <v>0</v>
      </c>
      <c r="P126" s="1858">
        <f t="shared" si="28"/>
        <v>0</v>
      </c>
      <c r="Q126" s="1858">
        <f t="shared" si="28"/>
        <v>0</v>
      </c>
      <c r="R126" s="1858">
        <f t="shared" si="28"/>
        <v>0</v>
      </c>
      <c r="S126" s="1858">
        <f t="shared" si="28"/>
        <v>0</v>
      </c>
      <c r="T126" s="1858">
        <f t="shared" si="28"/>
        <v>0</v>
      </c>
      <c r="U126" s="1682">
        <f t="shared" si="28"/>
        <v>0</v>
      </c>
    </row>
    <row r="127" spans="1:25" x14ac:dyDescent="0.25">
      <c r="A127" s="842"/>
      <c r="B127" s="1182" t="s">
        <v>571</v>
      </c>
      <c r="C127" s="1183"/>
      <c r="D127" s="409" t="s">
        <v>488</v>
      </c>
      <c r="E127" s="409" t="s">
        <v>495</v>
      </c>
      <c r="F127" s="409" t="s">
        <v>2</v>
      </c>
      <c r="G127" s="1662" t="s">
        <v>5</v>
      </c>
      <c r="H127" s="1682">
        <v>839.40899999999999</v>
      </c>
      <c r="I127" s="529"/>
      <c r="J127" s="269"/>
      <c r="K127" s="1858"/>
      <c r="L127" s="1858"/>
      <c r="M127" s="1858"/>
      <c r="N127" s="1200">
        <v>872.98599999999999</v>
      </c>
      <c r="O127" s="1858"/>
      <c r="P127" s="1858"/>
      <c r="Q127" s="1858"/>
      <c r="R127" s="1858"/>
      <c r="S127" s="1858"/>
      <c r="T127" s="1858"/>
      <c r="U127" s="1682">
        <f>U129</f>
        <v>0</v>
      </c>
      <c r="V127" s="2">
        <v>807.12400000000002</v>
      </c>
      <c r="W127" s="2">
        <v>816.62400000000002</v>
      </c>
      <c r="X127" s="2">
        <v>846.82399999999996</v>
      </c>
    </row>
    <row r="128" spans="1:25" x14ac:dyDescent="0.25">
      <c r="A128" s="842"/>
      <c r="B128" s="753" t="s">
        <v>948</v>
      </c>
      <c r="C128" s="1183"/>
      <c r="D128" s="409" t="s">
        <v>488</v>
      </c>
      <c r="E128" s="409" t="s">
        <v>495</v>
      </c>
      <c r="F128" s="409" t="s">
        <v>2</v>
      </c>
      <c r="G128" s="1662" t="s">
        <v>955</v>
      </c>
      <c r="H128" s="1682">
        <f t="shared" ref="H128:U128" si="29">H129</f>
        <v>4.7910000000000004</v>
      </c>
      <c r="I128" s="529">
        <f t="shared" si="29"/>
        <v>0</v>
      </c>
      <c r="J128" s="269">
        <f t="shared" si="29"/>
        <v>0</v>
      </c>
      <c r="K128" s="1858">
        <f t="shared" si="29"/>
        <v>0</v>
      </c>
      <c r="L128" s="1858">
        <f t="shared" si="29"/>
        <v>0</v>
      </c>
      <c r="M128" s="1858">
        <f t="shared" si="29"/>
        <v>0</v>
      </c>
      <c r="N128" s="1200">
        <f t="shared" si="29"/>
        <v>1.4139999999999999</v>
      </c>
      <c r="O128" s="1858">
        <f t="shared" si="29"/>
        <v>0</v>
      </c>
      <c r="P128" s="1858">
        <f t="shared" si="29"/>
        <v>0</v>
      </c>
      <c r="Q128" s="1858">
        <f t="shared" si="29"/>
        <v>0</v>
      </c>
      <c r="R128" s="1858">
        <f t="shared" si="29"/>
        <v>0</v>
      </c>
      <c r="S128" s="1858">
        <f t="shared" si="29"/>
        <v>0</v>
      </c>
      <c r="T128" s="1858">
        <f t="shared" si="29"/>
        <v>0</v>
      </c>
      <c r="U128" s="1682">
        <f t="shared" si="29"/>
        <v>0</v>
      </c>
      <c r="V128" s="2"/>
      <c r="W128" s="2"/>
      <c r="X128" s="2"/>
    </row>
    <row r="129" spans="1:24" ht="21" x14ac:dyDescent="0.25">
      <c r="A129" s="842"/>
      <c r="B129" s="1182" t="s">
        <v>454</v>
      </c>
      <c r="C129" s="1183"/>
      <c r="D129" s="409" t="s">
        <v>488</v>
      </c>
      <c r="E129" s="409" t="s">
        <v>495</v>
      </c>
      <c r="F129" s="409" t="s">
        <v>2</v>
      </c>
      <c r="G129" s="1662" t="s">
        <v>1</v>
      </c>
      <c r="H129" s="1682">
        <v>4.7910000000000004</v>
      </c>
      <c r="I129" s="529"/>
      <c r="J129" s="269"/>
      <c r="K129" s="1858"/>
      <c r="L129" s="1858"/>
      <c r="M129" s="1858"/>
      <c r="N129" s="1200">
        <v>1.4139999999999999</v>
      </c>
      <c r="O129" s="1858"/>
      <c r="P129" s="1858"/>
      <c r="Q129" s="1858"/>
      <c r="R129" s="1858"/>
      <c r="S129" s="1858"/>
      <c r="T129" s="1858"/>
      <c r="U129" s="1682">
        <v>0</v>
      </c>
      <c r="V129" s="2"/>
      <c r="W129" s="2"/>
      <c r="X129" s="2">
        <v>27.576000000000001</v>
      </c>
    </row>
    <row r="130" spans="1:24" x14ac:dyDescent="0.25">
      <c r="A130" s="1179"/>
      <c r="B130" s="1214" t="s">
        <v>407</v>
      </c>
      <c r="C130" s="1177"/>
      <c r="D130" s="408" t="s">
        <v>495</v>
      </c>
      <c r="E130" s="408" t="s">
        <v>459</v>
      </c>
      <c r="F130" s="408"/>
      <c r="G130" s="1661"/>
      <c r="H130" s="1683">
        <f>H132+H157</f>
        <v>433.04</v>
      </c>
      <c r="I130" s="841">
        <f>I131</f>
        <v>0</v>
      </c>
      <c r="J130" s="276">
        <f>J131</f>
        <v>0</v>
      </c>
      <c r="K130" s="1858"/>
      <c r="L130" s="1858"/>
      <c r="M130" s="1858"/>
      <c r="N130" s="1683">
        <f>N132+N157</f>
        <v>509.04</v>
      </c>
      <c r="O130" s="1858"/>
      <c r="P130" s="1858"/>
      <c r="Q130" s="1858"/>
      <c r="R130" s="1858"/>
      <c r="S130" s="1858"/>
      <c r="T130" s="1858"/>
      <c r="U130" s="1683">
        <f>U132+U157</f>
        <v>585.65</v>
      </c>
    </row>
    <row r="131" spans="1:24" ht="23" x14ac:dyDescent="0.25">
      <c r="A131" s="842"/>
      <c r="B131" s="1184" t="s">
        <v>570</v>
      </c>
      <c r="C131" s="1177"/>
      <c r="D131" s="408" t="s">
        <v>495</v>
      </c>
      <c r="E131" s="408" t="s">
        <v>539</v>
      </c>
      <c r="F131" s="408"/>
      <c r="G131" s="1661"/>
      <c r="H131" s="1683">
        <f>H132+H152</f>
        <v>426</v>
      </c>
      <c r="I131" s="841">
        <f>I132+I160</f>
        <v>0</v>
      </c>
      <c r="J131" s="276">
        <f>J132+J160</f>
        <v>0</v>
      </c>
      <c r="K131" s="1858"/>
      <c r="L131" s="1858"/>
      <c r="M131" s="1858"/>
      <c r="N131" s="1683">
        <f>N132</f>
        <v>502</v>
      </c>
      <c r="O131" s="1858"/>
      <c r="P131" s="1858"/>
      <c r="Q131" s="1858"/>
      <c r="R131" s="1858"/>
      <c r="S131" s="1858"/>
      <c r="T131" s="1858"/>
      <c r="U131" s="1683">
        <f>U132</f>
        <v>578.61</v>
      </c>
    </row>
    <row r="132" spans="1:24" ht="21" x14ac:dyDescent="0.25">
      <c r="A132" s="1179"/>
      <c r="B132" s="1205" t="s">
        <v>912</v>
      </c>
      <c r="C132" s="1215"/>
      <c r="D132" s="409" t="s">
        <v>495</v>
      </c>
      <c r="E132" s="409" t="s">
        <v>539</v>
      </c>
      <c r="F132" s="409" t="s">
        <v>240</v>
      </c>
      <c r="G132" s="1662"/>
      <c r="H132" s="1682">
        <f>H137+H145+H151</f>
        <v>426</v>
      </c>
      <c r="I132" s="529">
        <f>I133+I147</f>
        <v>0</v>
      </c>
      <c r="J132" s="269">
        <f>J133+J147</f>
        <v>0</v>
      </c>
      <c r="K132" s="1862">
        <f>K137+K145+K151</f>
        <v>0</v>
      </c>
      <c r="L132" s="1858"/>
      <c r="M132" s="1858"/>
      <c r="N132" s="1200">
        <f>N137+N145+N151</f>
        <v>502</v>
      </c>
      <c r="O132" s="1858"/>
      <c r="P132" s="1858"/>
      <c r="Q132" s="1858"/>
      <c r="R132" s="1858"/>
      <c r="S132" s="1858"/>
      <c r="T132" s="1858"/>
      <c r="U132" s="1682">
        <f>U137+U145+U151</f>
        <v>578.61</v>
      </c>
    </row>
    <row r="133" spans="1:24" ht="43" customHeight="1" x14ac:dyDescent="0.25">
      <c r="A133" s="1179"/>
      <c r="B133" s="1216" t="s">
        <v>926</v>
      </c>
      <c r="C133" s="1215"/>
      <c r="D133" s="1217" t="s">
        <v>495</v>
      </c>
      <c r="E133" s="1217" t="s">
        <v>539</v>
      </c>
      <c r="F133" s="1217" t="s">
        <v>238</v>
      </c>
      <c r="G133" s="1664"/>
      <c r="H133" s="1682">
        <f>H134+H142</f>
        <v>230</v>
      </c>
      <c r="I133" s="529">
        <f>I134+I142</f>
        <v>0</v>
      </c>
      <c r="J133" s="269">
        <f>J134+J142</f>
        <v>0</v>
      </c>
      <c r="K133" s="1858"/>
      <c r="L133" s="1858"/>
      <c r="M133" s="1858"/>
      <c r="N133" s="1200">
        <f>N134+N142</f>
        <v>290</v>
      </c>
      <c r="O133" s="1858"/>
      <c r="P133" s="1858"/>
      <c r="Q133" s="1858"/>
      <c r="R133" s="1858"/>
      <c r="S133" s="1858"/>
      <c r="T133" s="1858"/>
      <c r="U133" s="1682">
        <f>U134+U142</f>
        <v>350</v>
      </c>
    </row>
    <row r="134" spans="1:24" ht="21" x14ac:dyDescent="0.25">
      <c r="A134" s="1179"/>
      <c r="B134" s="1197" t="s">
        <v>236</v>
      </c>
      <c r="C134" s="1215"/>
      <c r="D134" s="1217" t="s">
        <v>495</v>
      </c>
      <c r="E134" s="1217" t="s">
        <v>539</v>
      </c>
      <c r="F134" s="1217" t="s">
        <v>235</v>
      </c>
      <c r="G134" s="1664"/>
      <c r="H134" s="1682">
        <f>H135+H138+H140</f>
        <v>10</v>
      </c>
      <c r="I134" s="529">
        <f>I135+I138+I140</f>
        <v>0</v>
      </c>
      <c r="J134" s="269">
        <f>J135+J138+J140</f>
        <v>0</v>
      </c>
      <c r="K134" s="1858"/>
      <c r="L134" s="1858"/>
      <c r="M134" s="1858"/>
      <c r="N134" s="1200">
        <f>N135+N138+N140</f>
        <v>20</v>
      </c>
      <c r="O134" s="1858"/>
      <c r="P134" s="1858"/>
      <c r="Q134" s="1858"/>
      <c r="R134" s="1858"/>
      <c r="S134" s="1858"/>
      <c r="T134" s="1858"/>
      <c r="U134" s="1682">
        <f>U135+U138+U140</f>
        <v>30</v>
      </c>
    </row>
    <row r="135" spans="1:24" ht="21" x14ac:dyDescent="0.25">
      <c r="A135" s="1179"/>
      <c r="B135" s="1218" t="s">
        <v>237</v>
      </c>
      <c r="C135" s="1215"/>
      <c r="D135" s="1217" t="s">
        <v>495</v>
      </c>
      <c r="E135" s="1217" t="s">
        <v>539</v>
      </c>
      <c r="F135" s="1217" t="s">
        <v>233</v>
      </c>
      <c r="G135" s="1664"/>
      <c r="H135" s="1682">
        <f>H137</f>
        <v>10</v>
      </c>
      <c r="I135" s="529">
        <f>I137</f>
        <v>0</v>
      </c>
      <c r="J135" s="269">
        <f>J137</f>
        <v>0</v>
      </c>
      <c r="K135" s="1858"/>
      <c r="L135" s="1858"/>
      <c r="M135" s="1858"/>
      <c r="N135" s="1200">
        <f>N137</f>
        <v>20</v>
      </c>
      <c r="O135" s="1858"/>
      <c r="P135" s="1858"/>
      <c r="Q135" s="1858"/>
      <c r="R135" s="1858"/>
      <c r="S135" s="1858"/>
      <c r="T135" s="1858"/>
      <c r="U135" s="1682">
        <f>U137</f>
        <v>30</v>
      </c>
    </row>
    <row r="136" spans="1:24" x14ac:dyDescent="0.25">
      <c r="A136" s="1179"/>
      <c r="B136" s="753" t="s">
        <v>948</v>
      </c>
      <c r="C136" s="1215"/>
      <c r="D136" s="1217" t="s">
        <v>495</v>
      </c>
      <c r="E136" s="1217" t="s">
        <v>539</v>
      </c>
      <c r="F136" s="1217" t="s">
        <v>233</v>
      </c>
      <c r="G136" s="1664" t="s">
        <v>955</v>
      </c>
      <c r="H136" s="1682">
        <f t="shared" ref="H136:U136" si="30">H137</f>
        <v>10</v>
      </c>
      <c r="I136" s="529">
        <f t="shared" si="30"/>
        <v>0</v>
      </c>
      <c r="J136" s="269">
        <f t="shared" si="30"/>
        <v>0</v>
      </c>
      <c r="K136" s="1858">
        <f t="shared" si="30"/>
        <v>0</v>
      </c>
      <c r="L136" s="1858">
        <f t="shared" si="30"/>
        <v>0</v>
      </c>
      <c r="M136" s="1858">
        <f t="shared" si="30"/>
        <v>0</v>
      </c>
      <c r="N136" s="1200">
        <f t="shared" si="30"/>
        <v>20</v>
      </c>
      <c r="O136" s="1858">
        <f t="shared" si="30"/>
        <v>0</v>
      </c>
      <c r="P136" s="1858">
        <f t="shared" si="30"/>
        <v>0</v>
      </c>
      <c r="Q136" s="1858">
        <f t="shared" si="30"/>
        <v>0</v>
      </c>
      <c r="R136" s="1858">
        <f t="shared" si="30"/>
        <v>0</v>
      </c>
      <c r="S136" s="1858">
        <f t="shared" si="30"/>
        <v>0</v>
      </c>
      <c r="T136" s="1858">
        <f t="shared" si="30"/>
        <v>0</v>
      </c>
      <c r="U136" s="1682">
        <f t="shared" si="30"/>
        <v>30</v>
      </c>
    </row>
    <row r="137" spans="1:24" ht="21" x14ac:dyDescent="0.25">
      <c r="A137" s="1179"/>
      <c r="B137" s="1182" t="s">
        <v>454</v>
      </c>
      <c r="C137" s="1183"/>
      <c r="D137" s="1217" t="s">
        <v>495</v>
      </c>
      <c r="E137" s="1217" t="s">
        <v>539</v>
      </c>
      <c r="F137" s="1217" t="s">
        <v>233</v>
      </c>
      <c r="G137" s="1662" t="s">
        <v>1</v>
      </c>
      <c r="H137" s="1682">
        <v>10</v>
      </c>
      <c r="I137" s="529"/>
      <c r="J137" s="269"/>
      <c r="K137" s="1858"/>
      <c r="L137" s="1858"/>
      <c r="M137" s="1858"/>
      <c r="N137" s="1200">
        <v>20</v>
      </c>
      <c r="O137" s="1858"/>
      <c r="P137" s="1858"/>
      <c r="Q137" s="1858"/>
      <c r="R137" s="1858"/>
      <c r="S137" s="1858"/>
      <c r="T137" s="1858"/>
      <c r="U137" s="1682">
        <v>30</v>
      </c>
    </row>
    <row r="138" spans="1:24" hidden="1" x14ac:dyDescent="0.25">
      <c r="A138" s="1179"/>
      <c r="B138" s="1219" t="s">
        <v>568</v>
      </c>
      <c r="C138" s="1215"/>
      <c r="D138" s="1217" t="s">
        <v>495</v>
      </c>
      <c r="E138" s="1217" t="s">
        <v>539</v>
      </c>
      <c r="F138" s="1217" t="s">
        <v>233</v>
      </c>
      <c r="G138" s="1664" t="s">
        <v>91</v>
      </c>
      <c r="H138" s="1682"/>
      <c r="I138" s="529">
        <f>I139</f>
        <v>0</v>
      </c>
      <c r="J138" s="269">
        <f>J139</f>
        <v>0</v>
      </c>
      <c r="K138" s="1858"/>
      <c r="L138" s="1858"/>
      <c r="M138" s="1858"/>
      <c r="N138" s="1200">
        <f>N139</f>
        <v>0</v>
      </c>
      <c r="O138" s="1858"/>
      <c r="P138" s="1858"/>
      <c r="Q138" s="1858"/>
      <c r="R138" s="1858"/>
      <c r="S138" s="1858"/>
      <c r="T138" s="1858"/>
      <c r="U138" s="1682">
        <f>U139</f>
        <v>0</v>
      </c>
    </row>
    <row r="139" spans="1:24" ht="21" hidden="1" x14ac:dyDescent="0.25">
      <c r="A139" s="1179"/>
      <c r="B139" s="1182" t="s">
        <v>454</v>
      </c>
      <c r="C139" s="1183"/>
      <c r="D139" s="1217" t="s">
        <v>495</v>
      </c>
      <c r="E139" s="1217" t="s">
        <v>539</v>
      </c>
      <c r="F139" s="1217" t="s">
        <v>567</v>
      </c>
      <c r="G139" s="1662" t="s">
        <v>1</v>
      </c>
      <c r="H139" s="1682"/>
      <c r="I139" s="529"/>
      <c r="J139" s="269"/>
      <c r="K139" s="1858"/>
      <c r="L139" s="1858"/>
      <c r="M139" s="1858"/>
      <c r="N139" s="1200"/>
      <c r="O139" s="1858"/>
      <c r="P139" s="1858"/>
      <c r="Q139" s="1858"/>
      <c r="R139" s="1858"/>
      <c r="S139" s="1858"/>
      <c r="T139" s="1858"/>
      <c r="U139" s="1682"/>
    </row>
    <row r="140" spans="1:24" hidden="1" x14ac:dyDescent="0.25">
      <c r="A140" s="1179"/>
      <c r="B140" s="1219" t="s">
        <v>566</v>
      </c>
      <c r="C140" s="1215"/>
      <c r="D140" s="1217" t="s">
        <v>495</v>
      </c>
      <c r="E140" s="1217" t="s">
        <v>539</v>
      </c>
      <c r="F140" s="1217" t="s">
        <v>565</v>
      </c>
      <c r="G140" s="1664"/>
      <c r="H140" s="1682">
        <f>H141</f>
        <v>0</v>
      </c>
      <c r="I140" s="529">
        <f>I141</f>
        <v>0</v>
      </c>
      <c r="J140" s="269">
        <f>J141</f>
        <v>0</v>
      </c>
      <c r="K140" s="1858"/>
      <c r="L140" s="1858"/>
      <c r="M140" s="1858"/>
      <c r="N140" s="1200">
        <f>N141</f>
        <v>0</v>
      </c>
      <c r="O140" s="1858"/>
      <c r="P140" s="1858"/>
      <c r="Q140" s="1858"/>
      <c r="R140" s="1858"/>
      <c r="S140" s="1858"/>
      <c r="T140" s="1858"/>
      <c r="U140" s="1682">
        <f>U141</f>
        <v>0</v>
      </c>
    </row>
    <row r="141" spans="1:24" ht="21" hidden="1" x14ac:dyDescent="0.25">
      <c r="A141" s="1179"/>
      <c r="B141" s="1182" t="s">
        <v>454</v>
      </c>
      <c r="C141" s="1183"/>
      <c r="D141" s="1217" t="s">
        <v>495</v>
      </c>
      <c r="E141" s="1217" t="s">
        <v>539</v>
      </c>
      <c r="F141" s="1217" t="s">
        <v>565</v>
      </c>
      <c r="G141" s="1662" t="s">
        <v>1</v>
      </c>
      <c r="H141" s="1682"/>
      <c r="I141" s="529"/>
      <c r="J141" s="269"/>
      <c r="K141" s="1858"/>
      <c r="L141" s="1858"/>
      <c r="M141" s="1858"/>
      <c r="N141" s="1200"/>
      <c r="O141" s="1858"/>
      <c r="P141" s="1858"/>
      <c r="Q141" s="1858"/>
      <c r="R141" s="1858"/>
      <c r="S141" s="1858"/>
      <c r="T141" s="1858"/>
      <c r="U141" s="1682"/>
    </row>
    <row r="142" spans="1:24" x14ac:dyDescent="0.25">
      <c r="A142" s="1179"/>
      <c r="B142" s="1219" t="s">
        <v>564</v>
      </c>
      <c r="C142" s="1215"/>
      <c r="D142" s="1217" t="s">
        <v>495</v>
      </c>
      <c r="E142" s="1217" t="s">
        <v>539</v>
      </c>
      <c r="F142" s="1217" t="s">
        <v>231</v>
      </c>
      <c r="G142" s="1664"/>
      <c r="H142" s="1682">
        <f>H143</f>
        <v>220</v>
      </c>
      <c r="I142" s="529">
        <f>I143</f>
        <v>0</v>
      </c>
      <c r="J142" s="269">
        <f>J143</f>
        <v>0</v>
      </c>
      <c r="K142" s="1858"/>
      <c r="L142" s="1858"/>
      <c r="M142" s="1858"/>
      <c r="N142" s="1200">
        <f>N143</f>
        <v>270</v>
      </c>
      <c r="O142" s="1858"/>
      <c r="P142" s="1858"/>
      <c r="Q142" s="1858"/>
      <c r="R142" s="1858"/>
      <c r="S142" s="1858"/>
      <c r="T142" s="1858"/>
      <c r="U142" s="1682">
        <f>U143</f>
        <v>320</v>
      </c>
    </row>
    <row r="143" spans="1:24" x14ac:dyDescent="0.25">
      <c r="A143" s="1179"/>
      <c r="B143" s="1117" t="s">
        <v>563</v>
      </c>
      <c r="C143" s="1188"/>
      <c r="D143" s="409" t="s">
        <v>495</v>
      </c>
      <c r="E143" s="409" t="s">
        <v>539</v>
      </c>
      <c r="F143" s="1217" t="s">
        <v>229</v>
      </c>
      <c r="G143" s="1664"/>
      <c r="H143" s="1682">
        <f>H145+H146</f>
        <v>220</v>
      </c>
      <c r="I143" s="529">
        <f>I145+I146</f>
        <v>0</v>
      </c>
      <c r="J143" s="269">
        <f>J145+J146</f>
        <v>0</v>
      </c>
      <c r="K143" s="1858"/>
      <c r="L143" s="1858"/>
      <c r="M143" s="1858"/>
      <c r="N143" s="1200">
        <f>N145+N146</f>
        <v>270</v>
      </c>
      <c r="O143" s="1858"/>
      <c r="P143" s="1858"/>
      <c r="Q143" s="1858"/>
      <c r="R143" s="1858"/>
      <c r="S143" s="1858"/>
      <c r="T143" s="1858"/>
      <c r="U143" s="1682">
        <f>U145+U146</f>
        <v>320</v>
      </c>
    </row>
    <row r="144" spans="1:24" x14ac:dyDescent="0.25">
      <c r="A144" s="1179"/>
      <c r="B144" s="753" t="s">
        <v>948</v>
      </c>
      <c r="C144" s="1188"/>
      <c r="D144" s="409" t="s">
        <v>495</v>
      </c>
      <c r="E144" s="409" t="s">
        <v>539</v>
      </c>
      <c r="F144" s="1217" t="s">
        <v>229</v>
      </c>
      <c r="G144" s="1664" t="s">
        <v>955</v>
      </c>
      <c r="H144" s="1682">
        <f t="shared" ref="H144:U144" si="31">H145</f>
        <v>220</v>
      </c>
      <c r="I144" s="529">
        <f t="shared" si="31"/>
        <v>0</v>
      </c>
      <c r="J144" s="269">
        <f t="shared" si="31"/>
        <v>0</v>
      </c>
      <c r="K144" s="1858">
        <f t="shared" si="31"/>
        <v>0</v>
      </c>
      <c r="L144" s="1858">
        <f t="shared" si="31"/>
        <v>0</v>
      </c>
      <c r="M144" s="1858">
        <f t="shared" si="31"/>
        <v>0</v>
      </c>
      <c r="N144" s="1200">
        <f t="shared" si="31"/>
        <v>270</v>
      </c>
      <c r="O144" s="1858">
        <f t="shared" si="31"/>
        <v>0</v>
      </c>
      <c r="P144" s="1858">
        <f t="shared" si="31"/>
        <v>0</v>
      </c>
      <c r="Q144" s="1858">
        <f t="shared" si="31"/>
        <v>0</v>
      </c>
      <c r="R144" s="1858">
        <f t="shared" si="31"/>
        <v>0</v>
      </c>
      <c r="S144" s="1858">
        <f t="shared" si="31"/>
        <v>0</v>
      </c>
      <c r="T144" s="1858">
        <f t="shared" si="31"/>
        <v>0</v>
      </c>
      <c r="U144" s="1682">
        <f t="shared" si="31"/>
        <v>320</v>
      </c>
    </row>
    <row r="145" spans="1:25" ht="21" x14ac:dyDescent="0.25">
      <c r="A145" s="1179"/>
      <c r="B145" s="1182" t="s">
        <v>454</v>
      </c>
      <c r="C145" s="1183"/>
      <c r="D145" s="409" t="s">
        <v>495</v>
      </c>
      <c r="E145" s="409" t="s">
        <v>539</v>
      </c>
      <c r="F145" s="1217" t="s">
        <v>229</v>
      </c>
      <c r="G145" s="1664">
        <v>240</v>
      </c>
      <c r="H145" s="1682">
        <v>220</v>
      </c>
      <c r="I145" s="529"/>
      <c r="J145" s="269"/>
      <c r="K145" s="1858"/>
      <c r="L145" s="1858"/>
      <c r="M145" s="1858"/>
      <c r="N145" s="1200">
        <v>270</v>
      </c>
      <c r="O145" s="1858"/>
      <c r="P145" s="1858"/>
      <c r="Q145" s="1858"/>
      <c r="R145" s="1858"/>
      <c r="S145" s="1858"/>
      <c r="T145" s="1858"/>
      <c r="U145" s="1682">
        <v>320</v>
      </c>
    </row>
    <row r="146" spans="1:25" ht="21" hidden="1" x14ac:dyDescent="0.25">
      <c r="A146" s="1179"/>
      <c r="B146" s="1183" t="s">
        <v>562</v>
      </c>
      <c r="C146" s="1183"/>
      <c r="D146" s="409" t="s">
        <v>495</v>
      </c>
      <c r="E146" s="409" t="s">
        <v>539</v>
      </c>
      <c r="F146" s="1217" t="s">
        <v>229</v>
      </c>
      <c r="G146" s="1664" t="s">
        <v>561</v>
      </c>
      <c r="H146" s="1682"/>
      <c r="I146" s="529"/>
      <c r="J146" s="269"/>
      <c r="K146" s="1858"/>
      <c r="L146" s="1858"/>
      <c r="M146" s="1858"/>
      <c r="N146" s="1200"/>
      <c r="O146" s="1858"/>
      <c r="P146" s="1858"/>
      <c r="Q146" s="1858"/>
      <c r="R146" s="1858"/>
      <c r="S146" s="1858"/>
      <c r="T146" s="1858"/>
      <c r="U146" s="1682"/>
    </row>
    <row r="147" spans="1:25" x14ac:dyDescent="0.25">
      <c r="A147" s="1179"/>
      <c r="B147" s="1219" t="s">
        <v>560</v>
      </c>
      <c r="C147" s="1215"/>
      <c r="D147" s="1217" t="s">
        <v>495</v>
      </c>
      <c r="E147" s="1217" t="s">
        <v>539</v>
      </c>
      <c r="F147" s="1217" t="s">
        <v>227</v>
      </c>
      <c r="G147" s="1664"/>
      <c r="H147" s="1682">
        <f>H148</f>
        <v>196</v>
      </c>
      <c r="I147" s="529">
        <f>I148</f>
        <v>0</v>
      </c>
      <c r="J147" s="269">
        <f>J148</f>
        <v>0</v>
      </c>
      <c r="K147" s="1858"/>
      <c r="L147" s="1858"/>
      <c r="M147" s="1858"/>
      <c r="N147" s="1200">
        <f>N148</f>
        <v>212</v>
      </c>
      <c r="O147" s="1858"/>
      <c r="P147" s="1858"/>
      <c r="Q147" s="1858"/>
      <c r="R147" s="1858"/>
      <c r="S147" s="1858"/>
      <c r="T147" s="1858"/>
      <c r="U147" s="1682">
        <f>U148</f>
        <v>228.61</v>
      </c>
    </row>
    <row r="148" spans="1:25" ht="21" x14ac:dyDescent="0.25">
      <c r="A148" s="1179"/>
      <c r="B148" s="1219" t="s">
        <v>559</v>
      </c>
      <c r="C148" s="1215"/>
      <c r="D148" s="1217" t="s">
        <v>495</v>
      </c>
      <c r="E148" s="1217" t="s">
        <v>539</v>
      </c>
      <c r="F148" s="1217" t="s">
        <v>225</v>
      </c>
      <c r="G148" s="1664"/>
      <c r="H148" s="1682">
        <f>H149</f>
        <v>196</v>
      </c>
      <c r="I148" s="529">
        <f>I149+I157</f>
        <v>0</v>
      </c>
      <c r="J148" s="269">
        <f>J149+J157</f>
        <v>0</v>
      </c>
      <c r="K148" s="1858"/>
      <c r="L148" s="1858"/>
      <c r="M148" s="1858"/>
      <c r="N148" s="1200">
        <f>N149</f>
        <v>212</v>
      </c>
      <c r="O148" s="1858"/>
      <c r="P148" s="1858"/>
      <c r="Q148" s="1858"/>
      <c r="R148" s="1858"/>
      <c r="S148" s="1858"/>
      <c r="T148" s="1858"/>
      <c r="U148" s="1682">
        <f>U149</f>
        <v>228.61</v>
      </c>
    </row>
    <row r="149" spans="1:25" x14ac:dyDescent="0.25">
      <c r="A149" s="1179"/>
      <c r="B149" s="1863" t="s">
        <v>224</v>
      </c>
      <c r="C149" s="1188"/>
      <c r="D149" s="1217" t="s">
        <v>495</v>
      </c>
      <c r="E149" s="1217" t="s">
        <v>539</v>
      </c>
      <c r="F149" s="1217" t="s">
        <v>220</v>
      </c>
      <c r="G149" s="1664"/>
      <c r="H149" s="1682">
        <f>H151</f>
        <v>196</v>
      </c>
      <c r="I149" s="529">
        <f>I151</f>
        <v>0</v>
      </c>
      <c r="J149" s="269">
        <f>J151</f>
        <v>0</v>
      </c>
      <c r="K149" s="1858"/>
      <c r="L149" s="1858"/>
      <c r="M149" s="1858"/>
      <c r="N149" s="1200">
        <f>N151</f>
        <v>212</v>
      </c>
      <c r="O149" s="1858"/>
      <c r="P149" s="1858"/>
      <c r="Q149" s="1858"/>
      <c r="R149" s="1858"/>
      <c r="S149" s="1858"/>
      <c r="T149" s="1858"/>
      <c r="U149" s="1682">
        <f>U151</f>
        <v>228.61</v>
      </c>
    </row>
    <row r="150" spans="1:25" x14ac:dyDescent="0.25">
      <c r="A150" s="1179"/>
      <c r="B150" s="753" t="s">
        <v>948</v>
      </c>
      <c r="C150" s="1188"/>
      <c r="D150" s="1217" t="s">
        <v>495</v>
      </c>
      <c r="E150" s="1217" t="s">
        <v>539</v>
      </c>
      <c r="F150" s="1217" t="s">
        <v>220</v>
      </c>
      <c r="G150" s="1664" t="s">
        <v>955</v>
      </c>
      <c r="H150" s="1682">
        <f t="shared" ref="H150:U150" si="32">H151</f>
        <v>196</v>
      </c>
      <c r="I150" s="529">
        <f t="shared" si="32"/>
        <v>0</v>
      </c>
      <c r="J150" s="269">
        <f t="shared" si="32"/>
        <v>0</v>
      </c>
      <c r="K150" s="1858">
        <f t="shared" si="32"/>
        <v>0</v>
      </c>
      <c r="L150" s="1858">
        <f t="shared" si="32"/>
        <v>0</v>
      </c>
      <c r="M150" s="1858">
        <f t="shared" si="32"/>
        <v>0</v>
      </c>
      <c r="N150" s="1200">
        <f t="shared" si="32"/>
        <v>212</v>
      </c>
      <c r="O150" s="1858">
        <f t="shared" si="32"/>
        <v>0</v>
      </c>
      <c r="P150" s="1858">
        <f t="shared" si="32"/>
        <v>0</v>
      </c>
      <c r="Q150" s="1858">
        <f t="shared" si="32"/>
        <v>0</v>
      </c>
      <c r="R150" s="1858">
        <f t="shared" si="32"/>
        <v>0</v>
      </c>
      <c r="S150" s="1858">
        <f t="shared" si="32"/>
        <v>0</v>
      </c>
      <c r="T150" s="1858">
        <f t="shared" si="32"/>
        <v>0</v>
      </c>
      <c r="U150" s="1682">
        <f t="shared" si="32"/>
        <v>228.61</v>
      </c>
    </row>
    <row r="151" spans="1:25" ht="21" x14ac:dyDescent="0.25">
      <c r="A151" s="1179"/>
      <c r="B151" s="1182" t="s">
        <v>454</v>
      </c>
      <c r="C151" s="1183"/>
      <c r="D151" s="1217" t="s">
        <v>495</v>
      </c>
      <c r="E151" s="1217" t="s">
        <v>539</v>
      </c>
      <c r="F151" s="1217" t="s">
        <v>220</v>
      </c>
      <c r="G151" s="1662" t="s">
        <v>1</v>
      </c>
      <c r="H151" s="1682">
        <v>196</v>
      </c>
      <c r="I151" s="529"/>
      <c r="J151" s="269"/>
      <c r="K151" s="1858"/>
      <c r="L151" s="1858"/>
      <c r="M151" s="1858"/>
      <c r="N151" s="1200">
        <v>212</v>
      </c>
      <c r="O151" s="1858"/>
      <c r="P151" s="1858"/>
      <c r="Q151" s="1858"/>
      <c r="R151" s="1858"/>
      <c r="S151" s="1858"/>
      <c r="T151" s="1858"/>
      <c r="U151" s="1682">
        <v>228.61</v>
      </c>
    </row>
    <row r="152" spans="1:25" ht="21" hidden="1" x14ac:dyDescent="0.25">
      <c r="A152" s="1179"/>
      <c r="B152" s="753" t="s">
        <v>499</v>
      </c>
      <c r="C152" s="1183"/>
      <c r="D152" s="1217" t="s">
        <v>495</v>
      </c>
      <c r="E152" s="1217" t="s">
        <v>539</v>
      </c>
      <c r="F152" s="409" t="s">
        <v>89</v>
      </c>
      <c r="G152" s="1662"/>
      <c r="H152" s="1682">
        <f>H153</f>
        <v>0</v>
      </c>
      <c r="I152" s="529"/>
      <c r="J152" s="269"/>
      <c r="K152" s="1858"/>
      <c r="L152" s="1858"/>
      <c r="M152" s="1858"/>
      <c r="N152" s="1200"/>
      <c r="O152" s="1858"/>
      <c r="P152" s="1858"/>
      <c r="Q152" s="1858"/>
      <c r="R152" s="1858"/>
      <c r="S152" s="1858"/>
      <c r="T152" s="1858"/>
      <c r="U152" s="1682"/>
    </row>
    <row r="153" spans="1:25" hidden="1" x14ac:dyDescent="0.25">
      <c r="A153" s="1179"/>
      <c r="B153" s="753" t="s">
        <v>109</v>
      </c>
      <c r="C153" s="1183"/>
      <c r="D153" s="1217" t="s">
        <v>495</v>
      </c>
      <c r="E153" s="1217" t="s">
        <v>539</v>
      </c>
      <c r="F153" s="409" t="s">
        <v>84</v>
      </c>
      <c r="G153" s="1662"/>
      <c r="H153" s="1682">
        <f>H154</f>
        <v>0</v>
      </c>
      <c r="I153" s="529"/>
      <c r="J153" s="269"/>
      <c r="K153" s="1858"/>
      <c r="L153" s="1858"/>
      <c r="M153" s="1858"/>
      <c r="N153" s="1200"/>
      <c r="O153" s="1858"/>
      <c r="P153" s="1858"/>
      <c r="Q153" s="1858"/>
      <c r="R153" s="1858"/>
      <c r="S153" s="1858"/>
      <c r="T153" s="1858"/>
      <c r="U153" s="1682"/>
    </row>
    <row r="154" spans="1:25" hidden="1" x14ac:dyDescent="0.25">
      <c r="A154" s="1179"/>
      <c r="B154" s="753" t="s">
        <v>109</v>
      </c>
      <c r="C154" s="1183"/>
      <c r="D154" s="1217" t="s">
        <v>495</v>
      </c>
      <c r="E154" s="1217" t="s">
        <v>539</v>
      </c>
      <c r="F154" s="409" t="s">
        <v>82</v>
      </c>
      <c r="G154" s="1662"/>
      <c r="H154" s="1682">
        <f>H155</f>
        <v>0</v>
      </c>
      <c r="I154" s="529"/>
      <c r="J154" s="269"/>
      <c r="K154" s="1858"/>
      <c r="L154" s="1858"/>
      <c r="M154" s="1858"/>
      <c r="N154" s="1200"/>
      <c r="O154" s="1858"/>
      <c r="P154" s="1858"/>
      <c r="Q154" s="1858"/>
      <c r="R154" s="1858"/>
      <c r="S154" s="1858"/>
      <c r="T154" s="1858"/>
      <c r="U154" s="1682"/>
    </row>
    <row r="155" spans="1:25" ht="25.5" hidden="1" customHeight="1" x14ac:dyDescent="0.25">
      <c r="A155" s="1179"/>
      <c r="B155" s="1182" t="s">
        <v>237</v>
      </c>
      <c r="C155" s="1183"/>
      <c r="D155" s="1217" t="s">
        <v>495</v>
      </c>
      <c r="E155" s="1217" t="s">
        <v>539</v>
      </c>
      <c r="F155" s="1217" t="s">
        <v>1006</v>
      </c>
      <c r="G155" s="1662"/>
      <c r="H155" s="1682">
        <f>H156</f>
        <v>0</v>
      </c>
      <c r="I155" s="529"/>
      <c r="J155" s="269"/>
      <c r="K155" s="1858"/>
      <c r="L155" s="1858"/>
      <c r="M155" s="1858"/>
      <c r="N155" s="1200"/>
      <c r="O155" s="1858"/>
      <c r="P155" s="1858"/>
      <c r="Q155" s="1858"/>
      <c r="R155" s="1858"/>
      <c r="S155" s="1858"/>
      <c r="T155" s="1858"/>
      <c r="U155" s="1682"/>
    </row>
    <row r="156" spans="1:25" hidden="1" x14ac:dyDescent="0.25">
      <c r="A156" s="1179"/>
      <c r="B156" s="1182" t="s">
        <v>457</v>
      </c>
      <c r="C156" s="1183"/>
      <c r="D156" s="1217" t="s">
        <v>495</v>
      </c>
      <c r="E156" s="1217" t="s">
        <v>539</v>
      </c>
      <c r="F156" s="1217" t="s">
        <v>1006</v>
      </c>
      <c r="G156" s="1662" t="s">
        <v>91</v>
      </c>
      <c r="H156" s="1682"/>
      <c r="I156" s="529"/>
      <c r="J156" s="269"/>
      <c r="K156" s="1858"/>
      <c r="L156" s="1858"/>
      <c r="M156" s="1858"/>
      <c r="N156" s="1200"/>
      <c r="O156" s="1858"/>
      <c r="P156" s="1858"/>
      <c r="Q156" s="1858"/>
      <c r="R156" s="1858"/>
      <c r="S156" s="1858"/>
      <c r="T156" s="1858"/>
      <c r="U156" s="1682"/>
    </row>
    <row r="157" spans="1:25" ht="27" customHeight="1" x14ac:dyDescent="0.25">
      <c r="A157" s="1179"/>
      <c r="B157" s="1214" t="s">
        <v>833</v>
      </c>
      <c r="C157" s="1188"/>
      <c r="D157" s="1221" t="s">
        <v>495</v>
      </c>
      <c r="E157" s="1221" t="s">
        <v>832</v>
      </c>
      <c r="F157" s="408"/>
      <c r="G157" s="1769"/>
      <c r="H157" s="1683">
        <f>H159</f>
        <v>7.04</v>
      </c>
      <c r="I157" s="529">
        <f>I159</f>
        <v>0</v>
      </c>
      <c r="J157" s="269">
        <f>J159</f>
        <v>0</v>
      </c>
      <c r="K157" s="1858"/>
      <c r="L157" s="1858"/>
      <c r="M157" s="1858"/>
      <c r="N157" s="1208">
        <f>N159</f>
        <v>7.04</v>
      </c>
      <c r="O157" s="1858"/>
      <c r="P157" s="1858"/>
      <c r="Q157" s="1858"/>
      <c r="R157" s="1858"/>
      <c r="S157" s="1858"/>
      <c r="T157" s="1858"/>
      <c r="U157" s="1683">
        <f>U159</f>
        <v>7.04</v>
      </c>
      <c r="V157" s="1861">
        <v>7.1</v>
      </c>
      <c r="W157" s="1861">
        <v>7.1</v>
      </c>
      <c r="X157" s="1861">
        <v>7.1</v>
      </c>
      <c r="Y157" s="239" t="s">
        <v>444</v>
      </c>
    </row>
    <row r="158" spans="1:25" ht="26.25" customHeight="1" x14ac:dyDescent="0.25">
      <c r="A158" s="1179"/>
      <c r="B158" s="753" t="s">
        <v>583</v>
      </c>
      <c r="C158" s="1188"/>
      <c r="D158" s="1217" t="s">
        <v>495</v>
      </c>
      <c r="E158" s="1217" t="s">
        <v>832</v>
      </c>
      <c r="F158" s="409" t="s">
        <v>157</v>
      </c>
      <c r="G158" s="1664"/>
      <c r="H158" s="1682">
        <f>H159</f>
        <v>7.04</v>
      </c>
      <c r="I158" s="529"/>
      <c r="J158" s="269"/>
      <c r="K158" s="1858"/>
      <c r="L158" s="1858"/>
      <c r="M158" s="1858"/>
      <c r="N158" s="1200">
        <f>N159</f>
        <v>7.04</v>
      </c>
      <c r="O158" s="1858"/>
      <c r="P158" s="1858"/>
      <c r="Q158" s="1858"/>
      <c r="R158" s="1858"/>
      <c r="S158" s="1858"/>
      <c r="T158" s="1858"/>
      <c r="U158" s="1682">
        <f>U159</f>
        <v>7.04</v>
      </c>
    </row>
    <row r="159" spans="1:25" ht="27.75" customHeight="1" x14ac:dyDescent="0.25">
      <c r="A159" s="1179"/>
      <c r="B159" s="1197" t="s">
        <v>156</v>
      </c>
      <c r="C159" s="1183"/>
      <c r="D159" s="1217" t="s">
        <v>495</v>
      </c>
      <c r="E159" s="1217" t="s">
        <v>832</v>
      </c>
      <c r="F159" s="409" t="s">
        <v>155</v>
      </c>
      <c r="G159" s="1662"/>
      <c r="H159" s="1682">
        <f>H160</f>
        <v>7.04</v>
      </c>
      <c r="I159" s="529"/>
      <c r="J159" s="269"/>
      <c r="K159" s="1858"/>
      <c r="L159" s="1858"/>
      <c r="M159" s="1858"/>
      <c r="N159" s="1200">
        <f>N160</f>
        <v>7.04</v>
      </c>
      <c r="O159" s="1858"/>
      <c r="P159" s="1858"/>
      <c r="Q159" s="1858"/>
      <c r="R159" s="1858"/>
      <c r="S159" s="1858"/>
      <c r="T159" s="1858"/>
      <c r="U159" s="1682">
        <f>U160</f>
        <v>7.04</v>
      </c>
    </row>
    <row r="160" spans="1:25" x14ac:dyDescent="0.25">
      <c r="A160" s="842"/>
      <c r="B160" s="1219" t="s">
        <v>109</v>
      </c>
      <c r="C160" s="1222"/>
      <c r="D160" s="409" t="s">
        <v>495</v>
      </c>
      <c r="E160" s="409" t="s">
        <v>832</v>
      </c>
      <c r="F160" s="409" t="s">
        <v>154</v>
      </c>
      <c r="G160" s="1662"/>
      <c r="H160" s="1682">
        <f>H161</f>
        <v>7.04</v>
      </c>
      <c r="I160" s="841">
        <f t="shared" ref="I160:J161" si="33">I161</f>
        <v>0</v>
      </c>
      <c r="J160" s="276">
        <f t="shared" si="33"/>
        <v>0</v>
      </c>
      <c r="K160" s="1858"/>
      <c r="L160" s="1858"/>
      <c r="M160" s="1858"/>
      <c r="N160" s="1200">
        <f>N161</f>
        <v>7.04</v>
      </c>
      <c r="O160" s="1858"/>
      <c r="P160" s="1858"/>
      <c r="Q160" s="1858"/>
      <c r="R160" s="1858"/>
      <c r="S160" s="1858"/>
      <c r="T160" s="1858"/>
      <c r="U160" s="1682">
        <f>U161</f>
        <v>7.04</v>
      </c>
    </row>
    <row r="161" spans="1:24" ht="31.5" x14ac:dyDescent="0.25">
      <c r="A161" s="1179"/>
      <c r="B161" s="1219" t="s">
        <v>834</v>
      </c>
      <c r="C161" s="1223"/>
      <c r="D161" s="409" t="s">
        <v>495</v>
      </c>
      <c r="E161" s="409" t="s">
        <v>832</v>
      </c>
      <c r="F161" s="409" t="s">
        <v>127</v>
      </c>
      <c r="G161" s="1662"/>
      <c r="H161" s="1682">
        <f>H162+H164</f>
        <v>7.04</v>
      </c>
      <c r="I161" s="529">
        <f t="shared" si="33"/>
        <v>0</v>
      </c>
      <c r="J161" s="269">
        <f t="shared" si="33"/>
        <v>0</v>
      </c>
      <c r="K161" s="1862">
        <f>K162+K164</f>
        <v>0</v>
      </c>
      <c r="L161" s="1858"/>
      <c r="M161" s="1858"/>
      <c r="N161" s="1200">
        <f>N162+N164</f>
        <v>7.04</v>
      </c>
      <c r="O161" s="1858"/>
      <c r="P161" s="1858"/>
      <c r="Q161" s="1858"/>
      <c r="R161" s="1858"/>
      <c r="S161" s="1858"/>
      <c r="T161" s="1858"/>
      <c r="U161" s="1682">
        <f>U162+U164</f>
        <v>7.04</v>
      </c>
    </row>
    <row r="162" spans="1:24" hidden="1" x14ac:dyDescent="0.25">
      <c r="A162" s="842"/>
      <c r="B162" s="753" t="s">
        <v>571</v>
      </c>
      <c r="C162" s="1224"/>
      <c r="D162" s="1217" t="s">
        <v>495</v>
      </c>
      <c r="E162" s="1217" t="s">
        <v>832</v>
      </c>
      <c r="F162" s="409" t="s">
        <v>127</v>
      </c>
      <c r="G162" s="1662" t="s">
        <v>5</v>
      </c>
      <c r="H162" s="1682"/>
      <c r="I162" s="529"/>
      <c r="J162" s="269"/>
      <c r="K162" s="1858"/>
      <c r="L162" s="1858"/>
      <c r="M162" s="1858"/>
      <c r="N162" s="1200"/>
      <c r="O162" s="1858"/>
      <c r="P162" s="1858"/>
      <c r="Q162" s="1858"/>
      <c r="R162" s="1858"/>
      <c r="S162" s="1858"/>
      <c r="T162" s="1858"/>
      <c r="U162" s="1682"/>
    </row>
    <row r="163" spans="1:24" x14ac:dyDescent="0.25">
      <c r="A163" s="842"/>
      <c r="B163" s="753" t="s">
        <v>948</v>
      </c>
      <c r="C163" s="1224"/>
      <c r="D163" s="1217" t="s">
        <v>495</v>
      </c>
      <c r="E163" s="1217" t="s">
        <v>832</v>
      </c>
      <c r="F163" s="409" t="s">
        <v>127</v>
      </c>
      <c r="G163" s="1662" t="s">
        <v>955</v>
      </c>
      <c r="H163" s="1682">
        <f t="shared" ref="H163:U163" si="34">H164</f>
        <v>7.04</v>
      </c>
      <c r="I163" s="529">
        <f t="shared" si="34"/>
        <v>0</v>
      </c>
      <c r="J163" s="269">
        <f t="shared" si="34"/>
        <v>0</v>
      </c>
      <c r="K163" s="1858">
        <f t="shared" si="34"/>
        <v>0</v>
      </c>
      <c r="L163" s="1858">
        <f t="shared" si="34"/>
        <v>0</v>
      </c>
      <c r="M163" s="1858">
        <f t="shared" si="34"/>
        <v>0</v>
      </c>
      <c r="N163" s="1200">
        <f t="shared" si="34"/>
        <v>7.04</v>
      </c>
      <c r="O163" s="1858">
        <f t="shared" si="34"/>
        <v>0</v>
      </c>
      <c r="P163" s="1858">
        <f t="shared" si="34"/>
        <v>0</v>
      </c>
      <c r="Q163" s="1858">
        <f t="shared" si="34"/>
        <v>0</v>
      </c>
      <c r="R163" s="1858">
        <f t="shared" si="34"/>
        <v>0</v>
      </c>
      <c r="S163" s="1858">
        <f t="shared" si="34"/>
        <v>0</v>
      </c>
      <c r="T163" s="1858">
        <f t="shared" si="34"/>
        <v>0</v>
      </c>
      <c r="U163" s="1682">
        <f t="shared" si="34"/>
        <v>7.04</v>
      </c>
    </row>
    <row r="164" spans="1:24" ht="21" x14ac:dyDescent="0.25">
      <c r="A164" s="1179"/>
      <c r="B164" s="1182" t="s">
        <v>454</v>
      </c>
      <c r="C164" s="1183"/>
      <c r="D164" s="1217" t="s">
        <v>495</v>
      </c>
      <c r="E164" s="1217" t="s">
        <v>832</v>
      </c>
      <c r="F164" s="409" t="s">
        <v>127</v>
      </c>
      <c r="G164" s="1662" t="s">
        <v>1</v>
      </c>
      <c r="H164" s="1682">
        <f>7.1-0.06</f>
        <v>7.04</v>
      </c>
      <c r="I164" s="529"/>
      <c r="J164" s="269"/>
      <c r="K164" s="1858"/>
      <c r="L164" s="1858"/>
      <c r="M164" s="1858"/>
      <c r="N164" s="1200">
        <f>7.1-0.06</f>
        <v>7.04</v>
      </c>
      <c r="O164" s="1858"/>
      <c r="P164" s="1858"/>
      <c r="Q164" s="1858"/>
      <c r="R164" s="1858"/>
      <c r="S164" s="1858"/>
      <c r="T164" s="1858"/>
      <c r="U164" s="1682">
        <f>7.1-0.06</f>
        <v>7.04</v>
      </c>
      <c r="V164" s="1861">
        <v>7.1</v>
      </c>
      <c r="W164" s="1861">
        <v>7.1</v>
      </c>
      <c r="X164" s="1861">
        <v>7.1</v>
      </c>
    </row>
    <row r="165" spans="1:24" x14ac:dyDescent="0.25">
      <c r="A165" s="1179"/>
      <c r="B165" s="1225" t="s">
        <v>396</v>
      </c>
      <c r="C165" s="1226"/>
      <c r="D165" s="1227" t="s">
        <v>452</v>
      </c>
      <c r="E165" s="1227" t="s">
        <v>459</v>
      </c>
      <c r="F165" s="1227"/>
      <c r="G165" s="1665"/>
      <c r="H165" s="1684">
        <f>H166+H203</f>
        <v>6207.5339999999997</v>
      </c>
      <c r="I165" s="853">
        <f>I166+I203</f>
        <v>0</v>
      </c>
      <c r="J165" s="400">
        <f>J166+J203</f>
        <v>0</v>
      </c>
      <c r="K165" s="1858"/>
      <c r="L165" s="1858"/>
      <c r="M165" s="1858"/>
      <c r="N165" s="1228">
        <f>N166+N203</f>
        <v>5133.3279999999995</v>
      </c>
      <c r="O165" s="1858"/>
      <c r="P165" s="1858"/>
      <c r="Q165" s="1858"/>
      <c r="R165" s="1858"/>
      <c r="S165" s="1858"/>
      <c r="T165" s="1858"/>
      <c r="U165" s="1684">
        <f>U166+U203</f>
        <v>3071.232</v>
      </c>
    </row>
    <row r="166" spans="1:24" x14ac:dyDescent="0.25">
      <c r="A166" s="1229"/>
      <c r="B166" s="1225" t="s">
        <v>60</v>
      </c>
      <c r="C166" s="1227"/>
      <c r="D166" s="1227" t="s">
        <v>452</v>
      </c>
      <c r="E166" s="1227" t="s">
        <v>539</v>
      </c>
      <c r="F166" s="1227"/>
      <c r="G166" s="1665"/>
      <c r="H166" s="1684">
        <f>H172+H175+H182+H185+H202+H178</f>
        <v>2080.3999999999996</v>
      </c>
      <c r="I166" s="853">
        <f>I167</f>
        <v>0</v>
      </c>
      <c r="J166" s="400">
        <f>J167</f>
        <v>0</v>
      </c>
      <c r="K166" s="1858"/>
      <c r="L166" s="1858"/>
      <c r="M166" s="1858"/>
      <c r="N166" s="1228">
        <f>N172+N175+N182+N185+N202+N178</f>
        <v>2246.1</v>
      </c>
      <c r="O166" s="1858"/>
      <c r="P166" s="1858"/>
      <c r="Q166" s="1858"/>
      <c r="R166" s="1858"/>
      <c r="S166" s="1858"/>
      <c r="T166" s="1858"/>
      <c r="U166" s="1684">
        <f>U172+U175+U182+U185+U202+U178</f>
        <v>1210</v>
      </c>
    </row>
    <row r="167" spans="1:24" ht="30" customHeight="1" x14ac:dyDescent="0.25">
      <c r="A167" s="1179"/>
      <c r="B167" s="1205" t="s">
        <v>927</v>
      </c>
      <c r="C167" s="409"/>
      <c r="D167" s="409" t="s">
        <v>452</v>
      </c>
      <c r="E167" s="409" t="s">
        <v>539</v>
      </c>
      <c r="F167" s="409" t="s">
        <v>218</v>
      </c>
      <c r="G167" s="1662"/>
      <c r="H167" s="1682">
        <f>H168+H179</f>
        <v>2080.4</v>
      </c>
      <c r="I167" s="529">
        <f>I168+I179</f>
        <v>0</v>
      </c>
      <c r="J167" s="270">
        <f>J168+J179</f>
        <v>0</v>
      </c>
      <c r="K167" s="1858"/>
      <c r="L167" s="1858"/>
      <c r="M167" s="1858"/>
      <c r="N167" s="1200">
        <f>N168+N179</f>
        <v>2246.1</v>
      </c>
      <c r="O167" s="1858"/>
      <c r="P167" s="1858"/>
      <c r="Q167" s="1858"/>
      <c r="R167" s="1858"/>
      <c r="S167" s="1858"/>
      <c r="T167" s="1858"/>
      <c r="U167" s="1682">
        <f>U168+U179</f>
        <v>1210</v>
      </c>
    </row>
    <row r="168" spans="1:24" ht="21" x14ac:dyDescent="0.25">
      <c r="A168" s="1179"/>
      <c r="B168" s="1205" t="s">
        <v>217</v>
      </c>
      <c r="C168" s="1217"/>
      <c r="D168" s="1217" t="s">
        <v>452</v>
      </c>
      <c r="E168" s="1217" t="s">
        <v>539</v>
      </c>
      <c r="F168" s="409" t="s">
        <v>216</v>
      </c>
      <c r="G168" s="1664"/>
      <c r="H168" s="1682">
        <f>H169</f>
        <v>1714.722</v>
      </c>
      <c r="I168" s="529">
        <f>I169</f>
        <v>0</v>
      </c>
      <c r="J168" s="270">
        <f>J169</f>
        <v>0</v>
      </c>
      <c r="K168" s="1862">
        <f>K172+K175+K182+K185+K202</f>
        <v>388.9</v>
      </c>
      <c r="L168" s="1858"/>
      <c r="M168" s="1858"/>
      <c r="N168" s="1200">
        <f>N169</f>
        <v>1726.1219999999998</v>
      </c>
      <c r="O168" s="1858"/>
      <c r="P168" s="1858"/>
      <c r="Q168" s="1858"/>
      <c r="R168" s="1858"/>
      <c r="S168" s="1858"/>
      <c r="T168" s="1858"/>
      <c r="U168" s="1682">
        <f>U169</f>
        <v>0</v>
      </c>
    </row>
    <row r="169" spans="1:24" ht="52.5" x14ac:dyDescent="0.25">
      <c r="A169" s="1179"/>
      <c r="B169" s="1197" t="s">
        <v>986</v>
      </c>
      <c r="C169" s="1217"/>
      <c r="D169" s="1217" t="s">
        <v>452</v>
      </c>
      <c r="E169" s="1217" t="s">
        <v>539</v>
      </c>
      <c r="F169" s="1217" t="s">
        <v>214</v>
      </c>
      <c r="G169" s="1664"/>
      <c r="H169" s="1682">
        <f>H170+H173+H178</f>
        <v>1714.722</v>
      </c>
      <c r="I169" s="529">
        <f>I170+I173+I178</f>
        <v>0</v>
      </c>
      <c r="J169" s="270">
        <f>J170+J173+J178</f>
        <v>0</v>
      </c>
      <c r="K169" s="1858"/>
      <c r="L169" s="1858"/>
      <c r="M169" s="1858"/>
      <c r="N169" s="1200">
        <f>N170+N173+N178</f>
        <v>1726.1219999999998</v>
      </c>
      <c r="O169" s="1858"/>
      <c r="P169" s="1858"/>
      <c r="Q169" s="1858"/>
      <c r="R169" s="1858"/>
      <c r="S169" s="1858"/>
      <c r="T169" s="1858"/>
      <c r="U169" s="1682">
        <f>U170+U173+U178</f>
        <v>0</v>
      </c>
    </row>
    <row r="170" spans="1:24" hidden="1" x14ac:dyDescent="0.25">
      <c r="A170" s="1179"/>
      <c r="B170" s="1197" t="s">
        <v>619</v>
      </c>
      <c r="C170" s="1217"/>
      <c r="D170" s="1217" t="s">
        <v>452</v>
      </c>
      <c r="E170" s="1217" t="s">
        <v>539</v>
      </c>
      <c r="F170" s="1217" t="s">
        <v>213</v>
      </c>
      <c r="G170" s="1662"/>
      <c r="H170" s="1682">
        <f>H172</f>
        <v>0</v>
      </c>
      <c r="I170" s="529">
        <f>I172</f>
        <v>0</v>
      </c>
      <c r="J170" s="270">
        <f>J172</f>
        <v>0</v>
      </c>
      <c r="K170" s="1858"/>
      <c r="L170" s="1858"/>
      <c r="M170" s="1858"/>
      <c r="N170" s="1200">
        <f>N172</f>
        <v>0</v>
      </c>
      <c r="O170" s="1858"/>
      <c r="P170" s="1858"/>
      <c r="Q170" s="1858"/>
      <c r="R170" s="1858"/>
      <c r="S170" s="1858"/>
      <c r="T170" s="1858"/>
      <c r="U170" s="1682">
        <f>U172</f>
        <v>0</v>
      </c>
    </row>
    <row r="171" spans="1:24" hidden="1" x14ac:dyDescent="0.25">
      <c r="A171" s="1179"/>
      <c r="B171" s="753" t="s">
        <v>948</v>
      </c>
      <c r="C171" s="1217"/>
      <c r="D171" s="1217" t="s">
        <v>452</v>
      </c>
      <c r="E171" s="1217" t="s">
        <v>539</v>
      </c>
      <c r="F171" s="1217" t="s">
        <v>213</v>
      </c>
      <c r="G171" s="1662" t="s">
        <v>955</v>
      </c>
      <c r="H171" s="1682">
        <f t="shared" ref="H171:U171" si="35">H172</f>
        <v>0</v>
      </c>
      <c r="I171" s="529">
        <f t="shared" si="35"/>
        <v>0</v>
      </c>
      <c r="J171" s="404">
        <f t="shared" si="35"/>
        <v>0</v>
      </c>
      <c r="K171" s="1858">
        <f t="shared" si="35"/>
        <v>0</v>
      </c>
      <c r="L171" s="1858">
        <f t="shared" si="35"/>
        <v>0</v>
      </c>
      <c r="M171" s="1858">
        <f t="shared" si="35"/>
        <v>0</v>
      </c>
      <c r="N171" s="1200">
        <f t="shared" si="35"/>
        <v>0</v>
      </c>
      <c r="O171" s="1858">
        <f t="shared" si="35"/>
        <v>0</v>
      </c>
      <c r="P171" s="1858">
        <f t="shared" si="35"/>
        <v>0</v>
      </c>
      <c r="Q171" s="1858">
        <f t="shared" si="35"/>
        <v>0</v>
      </c>
      <c r="R171" s="1858">
        <f t="shared" si="35"/>
        <v>0</v>
      </c>
      <c r="S171" s="1858">
        <f t="shared" si="35"/>
        <v>0</v>
      </c>
      <c r="T171" s="1858">
        <f t="shared" si="35"/>
        <v>0</v>
      </c>
      <c r="U171" s="1682">
        <f t="shared" si="35"/>
        <v>0</v>
      </c>
    </row>
    <row r="172" spans="1:24" ht="21" hidden="1" x14ac:dyDescent="0.25">
      <c r="A172" s="1179"/>
      <c r="B172" s="1182" t="s">
        <v>454</v>
      </c>
      <c r="C172" s="1217"/>
      <c r="D172" s="1217" t="s">
        <v>452</v>
      </c>
      <c r="E172" s="1217" t="s">
        <v>539</v>
      </c>
      <c r="F172" s="1217" t="s">
        <v>213</v>
      </c>
      <c r="G172" s="1662" t="s">
        <v>1</v>
      </c>
      <c r="H172" s="1682">
        <v>0</v>
      </c>
      <c r="I172" s="529"/>
      <c r="J172" s="269"/>
      <c r="K172" s="1858"/>
      <c r="L172" s="1858"/>
      <c r="M172" s="1858"/>
      <c r="N172" s="1200">
        <v>0</v>
      </c>
      <c r="O172" s="1858"/>
      <c r="P172" s="1858"/>
      <c r="Q172" s="1858"/>
      <c r="R172" s="1858"/>
      <c r="S172" s="1858"/>
      <c r="T172" s="1858"/>
      <c r="U172" s="1682">
        <v>0</v>
      </c>
      <c r="V172" s="237">
        <f>H166-V175-V182-V185</f>
        <v>-804.61400000000026</v>
      </c>
      <c r="W172" s="237"/>
      <c r="X172" s="237"/>
    </row>
    <row r="173" spans="1:24" ht="21" x14ac:dyDescent="0.25">
      <c r="A173" s="1179"/>
      <c r="B173" s="1197" t="s">
        <v>212</v>
      </c>
      <c r="C173" s="1217"/>
      <c r="D173" s="1217" t="s">
        <v>452</v>
      </c>
      <c r="E173" s="1217" t="s">
        <v>539</v>
      </c>
      <c r="F173" s="1217" t="s">
        <v>984</v>
      </c>
      <c r="G173" s="1662"/>
      <c r="H173" s="1682">
        <f>H175</f>
        <v>1331.5219999999999</v>
      </c>
      <c r="I173" s="529">
        <f>I175</f>
        <v>0</v>
      </c>
      <c r="J173" s="269">
        <f>J175</f>
        <v>0</v>
      </c>
      <c r="K173" s="1858"/>
      <c r="L173" s="1858"/>
      <c r="M173" s="1858"/>
      <c r="N173" s="1200">
        <f>N175</f>
        <v>1337.2219999999998</v>
      </c>
      <c r="O173" s="1858"/>
      <c r="P173" s="1858"/>
      <c r="Q173" s="1858"/>
      <c r="R173" s="1858"/>
      <c r="S173" s="1858"/>
      <c r="T173" s="1858"/>
      <c r="U173" s="1682">
        <f>U175</f>
        <v>0</v>
      </c>
    </row>
    <row r="174" spans="1:24" x14ac:dyDescent="0.25">
      <c r="A174" s="1179"/>
      <c r="B174" s="753" t="s">
        <v>948</v>
      </c>
      <c r="C174" s="1217"/>
      <c r="D174" s="1217" t="s">
        <v>452</v>
      </c>
      <c r="E174" s="1217" t="s">
        <v>539</v>
      </c>
      <c r="F174" s="1217" t="s">
        <v>984</v>
      </c>
      <c r="G174" s="1662" t="s">
        <v>955</v>
      </c>
      <c r="H174" s="1682">
        <f t="shared" ref="H174:U174" si="36">H175</f>
        <v>1331.5219999999999</v>
      </c>
      <c r="I174" s="529">
        <f t="shared" si="36"/>
        <v>0</v>
      </c>
      <c r="J174" s="269">
        <f t="shared" si="36"/>
        <v>0</v>
      </c>
      <c r="K174" s="1858">
        <f t="shared" si="36"/>
        <v>0</v>
      </c>
      <c r="L174" s="1858">
        <f t="shared" si="36"/>
        <v>0</v>
      </c>
      <c r="M174" s="1858">
        <f t="shared" si="36"/>
        <v>0</v>
      </c>
      <c r="N174" s="1200">
        <f t="shared" si="36"/>
        <v>1337.2219999999998</v>
      </c>
      <c r="O174" s="1858">
        <f t="shared" si="36"/>
        <v>0</v>
      </c>
      <c r="P174" s="1858">
        <f t="shared" si="36"/>
        <v>0</v>
      </c>
      <c r="Q174" s="1858">
        <f t="shared" si="36"/>
        <v>0</v>
      </c>
      <c r="R174" s="1858">
        <f t="shared" si="36"/>
        <v>0</v>
      </c>
      <c r="S174" s="1858">
        <f t="shared" si="36"/>
        <v>0</v>
      </c>
      <c r="T174" s="1858">
        <f t="shared" si="36"/>
        <v>0</v>
      </c>
      <c r="U174" s="1682">
        <f t="shared" si="36"/>
        <v>0</v>
      </c>
    </row>
    <row r="175" spans="1:24" ht="21" x14ac:dyDescent="0.25">
      <c r="A175" s="1179"/>
      <c r="B175" s="1182" t="s">
        <v>454</v>
      </c>
      <c r="C175" s="1217"/>
      <c r="D175" s="1217" t="s">
        <v>452</v>
      </c>
      <c r="E175" s="1217" t="s">
        <v>539</v>
      </c>
      <c r="F175" s="1217" t="s">
        <v>984</v>
      </c>
      <c r="G175" s="1662" t="s">
        <v>1</v>
      </c>
      <c r="H175" s="1682">
        <f>777.8+948.322-394.6</f>
        <v>1331.5219999999999</v>
      </c>
      <c r="I175" s="529"/>
      <c r="J175" s="269"/>
      <c r="K175" s="1858"/>
      <c r="L175" s="1858"/>
      <c r="M175" s="1858"/>
      <c r="N175" s="1200">
        <f>777.8+948.322-388.9</f>
        <v>1337.2219999999998</v>
      </c>
      <c r="O175" s="1858"/>
      <c r="P175" s="1858"/>
      <c r="Q175" s="1858"/>
      <c r="R175" s="1858"/>
      <c r="S175" s="1858"/>
      <c r="T175" s="1858"/>
      <c r="U175" s="1682">
        <v>0</v>
      </c>
      <c r="V175" s="1">
        <v>1695.0139999999999</v>
      </c>
      <c r="W175" s="1">
        <v>1726.1220000000001</v>
      </c>
      <c r="X175" s="1">
        <v>1726.1220000000001</v>
      </c>
    </row>
    <row r="176" spans="1:24" ht="26" x14ac:dyDescent="0.3">
      <c r="A176" s="1179"/>
      <c r="B176" s="336" t="s">
        <v>206</v>
      </c>
      <c r="C176" s="1217"/>
      <c r="D176" s="1217" t="s">
        <v>452</v>
      </c>
      <c r="E176" s="1217" t="s">
        <v>539</v>
      </c>
      <c r="F176" s="1217" t="s">
        <v>205</v>
      </c>
      <c r="G176" s="1662"/>
      <c r="H176" s="1682">
        <f>H177</f>
        <v>383.2</v>
      </c>
      <c r="I176" s="529">
        <f>I178</f>
        <v>0</v>
      </c>
      <c r="J176" s="269">
        <f>J178</f>
        <v>0</v>
      </c>
      <c r="K176" s="1858"/>
      <c r="L176" s="1858"/>
      <c r="M176" s="1858"/>
      <c r="N176" s="1200">
        <f>N177</f>
        <v>388.9</v>
      </c>
      <c r="O176" s="1858"/>
      <c r="P176" s="1858"/>
      <c r="Q176" s="1858"/>
      <c r="R176" s="1858"/>
      <c r="S176" s="1858"/>
      <c r="T176" s="1858"/>
      <c r="U176" s="1682">
        <f>U178</f>
        <v>0</v>
      </c>
    </row>
    <row r="177" spans="1:24" x14ac:dyDescent="0.25">
      <c r="A177" s="1179"/>
      <c r="B177" s="753" t="s">
        <v>948</v>
      </c>
      <c r="C177" s="1217"/>
      <c r="D177" s="1217" t="s">
        <v>452</v>
      </c>
      <c r="E177" s="1217" t="s">
        <v>539</v>
      </c>
      <c r="F177" s="1217" t="s">
        <v>205</v>
      </c>
      <c r="G177" s="1662" t="s">
        <v>955</v>
      </c>
      <c r="H177" s="1682">
        <f>H178</f>
        <v>383.2</v>
      </c>
      <c r="I177" s="529"/>
      <c r="J177" s="269"/>
      <c r="K177" s="1858"/>
      <c r="L177" s="1858"/>
      <c r="M177" s="1858"/>
      <c r="N177" s="1200">
        <f>N178</f>
        <v>388.9</v>
      </c>
      <c r="O177" s="1858"/>
      <c r="P177" s="1858"/>
      <c r="Q177" s="1858"/>
      <c r="R177" s="1858"/>
      <c r="S177" s="1858"/>
      <c r="T177" s="1858"/>
      <c r="U177" s="1682">
        <f>U178</f>
        <v>0</v>
      </c>
    </row>
    <row r="178" spans="1:24" ht="21" x14ac:dyDescent="0.25">
      <c r="A178" s="1179"/>
      <c r="B178" s="1182" t="s">
        <v>454</v>
      </c>
      <c r="C178" s="1217"/>
      <c r="D178" s="1217" t="s">
        <v>452</v>
      </c>
      <c r="E178" s="1217" t="s">
        <v>539</v>
      </c>
      <c r="F178" s="1217" t="s">
        <v>205</v>
      </c>
      <c r="G178" s="1662" t="s">
        <v>1</v>
      </c>
      <c r="H178" s="1682">
        <v>383.2</v>
      </c>
      <c r="I178" s="529"/>
      <c r="J178" s="269"/>
      <c r="K178" s="1858"/>
      <c r="L178" s="1858"/>
      <c r="M178" s="1858"/>
      <c r="N178" s="1200">
        <v>388.9</v>
      </c>
      <c r="O178" s="1858"/>
      <c r="P178" s="1858"/>
      <c r="Q178" s="1858"/>
      <c r="R178" s="1858"/>
      <c r="S178" s="1858"/>
      <c r="T178" s="1858"/>
      <c r="U178" s="1682">
        <v>0</v>
      </c>
    </row>
    <row r="179" spans="1:24" ht="31.5" x14ac:dyDescent="0.25">
      <c r="A179" s="1179"/>
      <c r="B179" s="1205" t="s">
        <v>837</v>
      </c>
      <c r="C179" s="1217"/>
      <c r="D179" s="1217" t="s">
        <v>452</v>
      </c>
      <c r="E179" s="1217" t="s">
        <v>539</v>
      </c>
      <c r="F179" s="409" t="s">
        <v>204</v>
      </c>
      <c r="G179" s="1662"/>
      <c r="H179" s="1682">
        <f>H180</f>
        <v>365.678</v>
      </c>
      <c r="I179" s="529">
        <f>I180</f>
        <v>0</v>
      </c>
      <c r="J179" s="269">
        <f>J180</f>
        <v>0</v>
      </c>
      <c r="K179" s="1858"/>
      <c r="L179" s="1858"/>
      <c r="M179" s="1858"/>
      <c r="N179" s="1200">
        <f>N180</f>
        <v>519.97799999999995</v>
      </c>
      <c r="O179" s="1858"/>
      <c r="P179" s="1858"/>
      <c r="Q179" s="1858"/>
      <c r="R179" s="1858"/>
      <c r="S179" s="1858"/>
      <c r="T179" s="1858"/>
      <c r="U179" s="1682">
        <f>U180</f>
        <v>1210</v>
      </c>
    </row>
    <row r="180" spans="1:24" x14ac:dyDescent="0.25">
      <c r="A180" s="1179"/>
      <c r="B180" s="1197" t="s">
        <v>203</v>
      </c>
      <c r="C180" s="1217"/>
      <c r="D180" s="1217" t="s">
        <v>452</v>
      </c>
      <c r="E180" s="1217" t="s">
        <v>539</v>
      </c>
      <c r="F180" s="1217" t="s">
        <v>202</v>
      </c>
      <c r="G180" s="1662"/>
      <c r="H180" s="1682">
        <f>H181+H183</f>
        <v>365.678</v>
      </c>
      <c r="I180" s="529">
        <f>I181+I183</f>
        <v>0</v>
      </c>
      <c r="J180" s="269">
        <f>J181+J183</f>
        <v>0</v>
      </c>
      <c r="K180" s="1858"/>
      <c r="L180" s="1858"/>
      <c r="M180" s="1858"/>
      <c r="N180" s="1200">
        <f>N181+N183</f>
        <v>519.97799999999995</v>
      </c>
      <c r="O180" s="1858"/>
      <c r="P180" s="1858"/>
      <c r="Q180" s="1858"/>
      <c r="R180" s="1858"/>
      <c r="S180" s="1858"/>
      <c r="T180" s="1858"/>
      <c r="U180" s="1682">
        <f>U181+U183</f>
        <v>1210</v>
      </c>
    </row>
    <row r="181" spans="1:24" hidden="1" x14ac:dyDescent="0.25">
      <c r="A181" s="1179"/>
      <c r="B181" s="1197" t="s">
        <v>619</v>
      </c>
      <c r="C181" s="1217"/>
      <c r="D181" s="1217" t="s">
        <v>452</v>
      </c>
      <c r="E181" s="1217" t="s">
        <v>539</v>
      </c>
      <c r="F181" s="1217" t="s">
        <v>200</v>
      </c>
      <c r="G181" s="1662"/>
      <c r="H181" s="1682">
        <f>H182</f>
        <v>0</v>
      </c>
      <c r="I181" s="529">
        <f>I182</f>
        <v>0</v>
      </c>
      <c r="J181" s="269">
        <f>J182</f>
        <v>0</v>
      </c>
      <c r="K181" s="1858"/>
      <c r="L181" s="1858"/>
      <c r="M181" s="1858"/>
      <c r="N181" s="1200">
        <f>N182</f>
        <v>0</v>
      </c>
      <c r="O181" s="1858"/>
      <c r="P181" s="1858"/>
      <c r="Q181" s="1858"/>
      <c r="R181" s="1858"/>
      <c r="S181" s="1858"/>
      <c r="T181" s="1858"/>
      <c r="U181" s="1682">
        <f>U182</f>
        <v>0</v>
      </c>
    </row>
    <row r="182" spans="1:24" ht="21" hidden="1" x14ac:dyDescent="0.25">
      <c r="A182" s="1179"/>
      <c r="B182" s="1182" t="s">
        <v>454</v>
      </c>
      <c r="C182" s="1217"/>
      <c r="D182" s="1217" t="s">
        <v>452</v>
      </c>
      <c r="E182" s="1217" t="s">
        <v>539</v>
      </c>
      <c r="F182" s="1217" t="s">
        <v>200</v>
      </c>
      <c r="G182" s="1662" t="s">
        <v>1</v>
      </c>
      <c r="H182" s="1682"/>
      <c r="I182" s="529"/>
      <c r="J182" s="269"/>
      <c r="K182" s="1858"/>
      <c r="L182" s="1858"/>
      <c r="M182" s="1858"/>
      <c r="N182" s="1200"/>
      <c r="O182" s="1858"/>
      <c r="P182" s="1858"/>
      <c r="Q182" s="1858"/>
      <c r="R182" s="1858"/>
      <c r="S182" s="1858"/>
      <c r="T182" s="1858"/>
      <c r="U182" s="1682"/>
      <c r="V182" s="1">
        <v>750</v>
      </c>
    </row>
    <row r="183" spans="1:24" ht="21" x14ac:dyDescent="0.25">
      <c r="A183" s="1179"/>
      <c r="B183" s="1197" t="s">
        <v>199</v>
      </c>
      <c r="C183" s="1217"/>
      <c r="D183" s="1217" t="s">
        <v>452</v>
      </c>
      <c r="E183" s="1217" t="s">
        <v>539</v>
      </c>
      <c r="F183" s="1217" t="s">
        <v>198</v>
      </c>
      <c r="G183" s="1662"/>
      <c r="H183" s="1682">
        <f>H185</f>
        <v>365.678</v>
      </c>
      <c r="I183" s="529">
        <f>I185</f>
        <v>0</v>
      </c>
      <c r="J183" s="269">
        <f>J185</f>
        <v>0</v>
      </c>
      <c r="K183" s="1858"/>
      <c r="L183" s="1858"/>
      <c r="M183" s="1858"/>
      <c r="N183" s="1200">
        <f>N185</f>
        <v>519.97799999999995</v>
      </c>
      <c r="O183" s="1858"/>
      <c r="P183" s="1858"/>
      <c r="Q183" s="1858"/>
      <c r="R183" s="1858"/>
      <c r="S183" s="1858"/>
      <c r="T183" s="1858"/>
      <c r="U183" s="1682">
        <f>U185</f>
        <v>1210</v>
      </c>
    </row>
    <row r="184" spans="1:24" x14ac:dyDescent="0.25">
      <c r="A184" s="1179"/>
      <c r="B184" s="753" t="s">
        <v>948</v>
      </c>
      <c r="C184" s="1217"/>
      <c r="D184" s="1217" t="s">
        <v>452</v>
      </c>
      <c r="E184" s="1217" t="s">
        <v>539</v>
      </c>
      <c r="F184" s="1217" t="s">
        <v>198</v>
      </c>
      <c r="G184" s="1662" t="s">
        <v>955</v>
      </c>
      <c r="H184" s="1682">
        <f t="shared" ref="H184:U184" si="37">H185</f>
        <v>365.678</v>
      </c>
      <c r="I184" s="529">
        <f t="shared" si="37"/>
        <v>0</v>
      </c>
      <c r="J184" s="269">
        <f t="shared" si="37"/>
        <v>0</v>
      </c>
      <c r="K184" s="1858">
        <f t="shared" si="37"/>
        <v>0</v>
      </c>
      <c r="L184" s="1858">
        <f t="shared" si="37"/>
        <v>0</v>
      </c>
      <c r="M184" s="1858">
        <f t="shared" si="37"/>
        <v>0</v>
      </c>
      <c r="N184" s="1200">
        <f t="shared" si="37"/>
        <v>519.97799999999995</v>
      </c>
      <c r="O184" s="1858">
        <f t="shared" si="37"/>
        <v>0</v>
      </c>
      <c r="P184" s="1858">
        <f t="shared" si="37"/>
        <v>0</v>
      </c>
      <c r="Q184" s="1858">
        <f t="shared" si="37"/>
        <v>0</v>
      </c>
      <c r="R184" s="1858">
        <f t="shared" si="37"/>
        <v>0</v>
      </c>
      <c r="S184" s="1858">
        <f t="shared" si="37"/>
        <v>0</v>
      </c>
      <c r="T184" s="1858">
        <f t="shared" si="37"/>
        <v>0</v>
      </c>
      <c r="U184" s="1682">
        <f t="shared" si="37"/>
        <v>1210</v>
      </c>
    </row>
    <row r="185" spans="1:24" ht="21" x14ac:dyDescent="0.25">
      <c r="A185" s="1179"/>
      <c r="B185" s="1182" t="s">
        <v>454</v>
      </c>
      <c r="C185" s="1217"/>
      <c r="D185" s="1217" t="s">
        <v>452</v>
      </c>
      <c r="E185" s="1217" t="s">
        <v>539</v>
      </c>
      <c r="F185" s="1217" t="s">
        <v>198</v>
      </c>
      <c r="G185" s="1662" t="s">
        <v>1</v>
      </c>
      <c r="H185" s="1682">
        <f>359.978+5.7</f>
        <v>365.678</v>
      </c>
      <c r="I185" s="529"/>
      <c r="J185" s="269"/>
      <c r="K185" s="1858"/>
      <c r="L185" s="1858"/>
      <c r="M185" s="1858"/>
      <c r="N185" s="1200">
        <v>519.97799999999995</v>
      </c>
      <c r="O185" s="1858"/>
      <c r="P185" s="1858"/>
      <c r="Q185" s="1858"/>
      <c r="R185" s="1858"/>
      <c r="S185" s="1858"/>
      <c r="T185" s="1858"/>
      <c r="U185" s="1682">
        <f>410+800</f>
        <v>1210</v>
      </c>
      <c r="V185" s="1">
        <v>440</v>
      </c>
      <c r="W185" s="1">
        <v>460</v>
      </c>
      <c r="X185" s="1">
        <v>520</v>
      </c>
    </row>
    <row r="186" spans="1:24" ht="31.5" hidden="1" x14ac:dyDescent="0.25">
      <c r="A186" s="842"/>
      <c r="B186" s="1230" t="s">
        <v>557</v>
      </c>
      <c r="C186" s="408"/>
      <c r="D186" s="408" t="s">
        <v>452</v>
      </c>
      <c r="E186" s="408" t="s">
        <v>539</v>
      </c>
      <c r="F186" s="408" t="s">
        <v>556</v>
      </c>
      <c r="G186" s="1661"/>
      <c r="H186" s="1683">
        <f>H187</f>
        <v>0</v>
      </c>
      <c r="I186" s="841">
        <f>I187</f>
        <v>0</v>
      </c>
      <c r="J186" s="276">
        <f>J187</f>
        <v>0</v>
      </c>
      <c r="K186" s="1858"/>
      <c r="L186" s="1858"/>
      <c r="M186" s="1858"/>
      <c r="N186" s="1208">
        <f>N187</f>
        <v>0</v>
      </c>
      <c r="O186" s="1858"/>
      <c r="P186" s="1858"/>
      <c r="Q186" s="1858"/>
      <c r="R186" s="1858"/>
      <c r="S186" s="1858"/>
      <c r="T186" s="1858"/>
      <c r="U186" s="1683">
        <f>U187</f>
        <v>0</v>
      </c>
    </row>
    <row r="187" spans="1:24" ht="21" hidden="1" x14ac:dyDescent="0.25">
      <c r="A187" s="1179"/>
      <c r="B187" s="1219" t="s">
        <v>555</v>
      </c>
      <c r="C187" s="1217"/>
      <c r="D187" s="1217" t="s">
        <v>452</v>
      </c>
      <c r="E187" s="1217" t="s">
        <v>539</v>
      </c>
      <c r="F187" s="1217" t="s">
        <v>554</v>
      </c>
      <c r="G187" s="1664"/>
      <c r="H187" s="1682">
        <f>H188+H191</f>
        <v>0</v>
      </c>
      <c r="I187" s="529">
        <f>I188+I191</f>
        <v>0</v>
      </c>
      <c r="J187" s="269">
        <f>J188+J191</f>
        <v>0</v>
      </c>
      <c r="K187" s="1858"/>
      <c r="L187" s="1858"/>
      <c r="M187" s="1858"/>
      <c r="N187" s="1200">
        <f>N188+N191</f>
        <v>0</v>
      </c>
      <c r="O187" s="1858"/>
      <c r="P187" s="1858"/>
      <c r="Q187" s="1858"/>
      <c r="R187" s="1858"/>
      <c r="S187" s="1858"/>
      <c r="T187" s="1858"/>
      <c r="U187" s="1682">
        <f>U188+U191</f>
        <v>0</v>
      </c>
    </row>
    <row r="188" spans="1:24" ht="31.5" hidden="1" x14ac:dyDescent="0.25">
      <c r="A188" s="1179"/>
      <c r="B188" s="1219" t="s">
        <v>553</v>
      </c>
      <c r="C188" s="1217"/>
      <c r="D188" s="1217" t="s">
        <v>452</v>
      </c>
      <c r="E188" s="1217" t="s">
        <v>539</v>
      </c>
      <c r="F188" s="1217" t="s">
        <v>552</v>
      </c>
      <c r="G188" s="1664"/>
      <c r="H188" s="1682">
        <f t="shared" ref="H188:J189" si="38">H189</f>
        <v>0</v>
      </c>
      <c r="I188" s="529">
        <f t="shared" si="38"/>
        <v>0</v>
      </c>
      <c r="J188" s="269">
        <f t="shared" si="38"/>
        <v>0</v>
      </c>
      <c r="K188" s="1858"/>
      <c r="L188" s="1858"/>
      <c r="M188" s="1858"/>
      <c r="N188" s="1200">
        <f t="shared" ref="N188:N189" si="39">N189</f>
        <v>0</v>
      </c>
      <c r="O188" s="1858"/>
      <c r="P188" s="1858"/>
      <c r="Q188" s="1858"/>
      <c r="R188" s="1858"/>
      <c r="S188" s="1858"/>
      <c r="T188" s="1858"/>
      <c r="U188" s="1682">
        <f t="shared" ref="U188:U189" si="40">U189</f>
        <v>0</v>
      </c>
    </row>
    <row r="189" spans="1:24" ht="31.5" hidden="1" x14ac:dyDescent="0.25">
      <c r="A189" s="1179"/>
      <c r="B189" s="753" t="s">
        <v>551</v>
      </c>
      <c r="C189" s="1217"/>
      <c r="D189" s="1217" t="s">
        <v>452</v>
      </c>
      <c r="E189" s="1217" t="s">
        <v>539</v>
      </c>
      <c r="F189" s="1217" t="s">
        <v>550</v>
      </c>
      <c r="G189" s="1664"/>
      <c r="H189" s="1682">
        <f t="shared" si="38"/>
        <v>0</v>
      </c>
      <c r="I189" s="529">
        <f t="shared" si="38"/>
        <v>0</v>
      </c>
      <c r="J189" s="269">
        <f t="shared" si="38"/>
        <v>0</v>
      </c>
      <c r="K189" s="1858"/>
      <c r="L189" s="1858"/>
      <c r="M189" s="1858"/>
      <c r="N189" s="1200">
        <f t="shared" si="39"/>
        <v>0</v>
      </c>
      <c r="O189" s="1858"/>
      <c r="P189" s="1858"/>
      <c r="Q189" s="1858"/>
      <c r="R189" s="1858"/>
      <c r="S189" s="1858"/>
      <c r="T189" s="1858"/>
      <c r="U189" s="1682">
        <f t="shared" si="40"/>
        <v>0</v>
      </c>
    </row>
    <row r="190" spans="1:24" hidden="1" x14ac:dyDescent="0.25">
      <c r="A190" s="1179"/>
      <c r="B190" s="1182" t="s">
        <v>481</v>
      </c>
      <c r="C190" s="1217"/>
      <c r="D190" s="1217" t="s">
        <v>452</v>
      </c>
      <c r="E190" s="1217" t="s">
        <v>539</v>
      </c>
      <c r="F190" s="1217" t="s">
        <v>550</v>
      </c>
      <c r="G190" s="1662" t="s">
        <v>26</v>
      </c>
      <c r="H190" s="1682">
        <v>0</v>
      </c>
      <c r="I190" s="529">
        <v>0</v>
      </c>
      <c r="J190" s="269">
        <v>0</v>
      </c>
      <c r="K190" s="1858"/>
      <c r="L190" s="1858"/>
      <c r="M190" s="1858"/>
      <c r="N190" s="1200">
        <v>0</v>
      </c>
      <c r="O190" s="1858"/>
      <c r="P190" s="1858"/>
      <c r="Q190" s="1858"/>
      <c r="R190" s="1858"/>
      <c r="S190" s="1858"/>
      <c r="T190" s="1858"/>
      <c r="U190" s="1682">
        <v>0</v>
      </c>
    </row>
    <row r="191" spans="1:24" ht="42" hidden="1" x14ac:dyDescent="0.25">
      <c r="A191" s="1179"/>
      <c r="B191" s="1219" t="s">
        <v>549</v>
      </c>
      <c r="C191" s="1217"/>
      <c r="D191" s="1217" t="s">
        <v>548</v>
      </c>
      <c r="E191" s="1217" t="s">
        <v>539</v>
      </c>
      <c r="F191" s="1217" t="s">
        <v>547</v>
      </c>
      <c r="G191" s="1664"/>
      <c r="H191" s="1682">
        <f>H192+H194+H196</f>
        <v>0</v>
      </c>
      <c r="I191" s="529">
        <f>I192+I194+I196</f>
        <v>0</v>
      </c>
      <c r="J191" s="269">
        <f>J192+J194+J196</f>
        <v>0</v>
      </c>
      <c r="K191" s="1858"/>
      <c r="L191" s="1858"/>
      <c r="M191" s="1858"/>
      <c r="N191" s="1200">
        <f>N192+N194+N196</f>
        <v>0</v>
      </c>
      <c r="O191" s="1858"/>
      <c r="P191" s="1858"/>
      <c r="Q191" s="1858"/>
      <c r="R191" s="1858"/>
      <c r="S191" s="1858"/>
      <c r="T191" s="1858"/>
      <c r="U191" s="1682">
        <f>U192+U194+U196</f>
        <v>0</v>
      </c>
    </row>
    <row r="192" spans="1:24" ht="21" hidden="1" x14ac:dyDescent="0.25">
      <c r="A192" s="1179"/>
      <c r="B192" s="753" t="s">
        <v>546</v>
      </c>
      <c r="C192" s="1217"/>
      <c r="D192" s="1217" t="s">
        <v>452</v>
      </c>
      <c r="E192" s="1217" t="s">
        <v>539</v>
      </c>
      <c r="F192" s="1217" t="s">
        <v>545</v>
      </c>
      <c r="G192" s="1664"/>
      <c r="H192" s="1682">
        <f>H193</f>
        <v>0</v>
      </c>
      <c r="I192" s="529">
        <f>I193</f>
        <v>0</v>
      </c>
      <c r="J192" s="269">
        <f>J193</f>
        <v>0</v>
      </c>
      <c r="K192" s="1858"/>
      <c r="L192" s="1858"/>
      <c r="M192" s="1858"/>
      <c r="N192" s="1200">
        <f>N193</f>
        <v>0</v>
      </c>
      <c r="O192" s="1858"/>
      <c r="P192" s="1858"/>
      <c r="Q192" s="1858"/>
      <c r="R192" s="1858"/>
      <c r="S192" s="1858"/>
      <c r="T192" s="1858"/>
      <c r="U192" s="1682">
        <f>U193</f>
        <v>0</v>
      </c>
    </row>
    <row r="193" spans="1:21" ht="21" hidden="1" x14ac:dyDescent="0.25">
      <c r="A193" s="1179"/>
      <c r="B193" s="1182" t="s">
        <v>454</v>
      </c>
      <c r="C193" s="1217"/>
      <c r="D193" s="1217" t="s">
        <v>452</v>
      </c>
      <c r="E193" s="1217" t="s">
        <v>539</v>
      </c>
      <c r="F193" s="1217" t="s">
        <v>545</v>
      </c>
      <c r="G193" s="1662" t="s">
        <v>1</v>
      </c>
      <c r="H193" s="1682"/>
      <c r="I193" s="529"/>
      <c r="J193" s="269"/>
      <c r="K193" s="1858"/>
      <c r="L193" s="1858"/>
      <c r="M193" s="1858"/>
      <c r="N193" s="1200"/>
      <c r="O193" s="1858"/>
      <c r="P193" s="1858"/>
      <c r="Q193" s="1858"/>
      <c r="R193" s="1858"/>
      <c r="S193" s="1858"/>
      <c r="T193" s="1858"/>
      <c r="U193" s="1682"/>
    </row>
    <row r="194" spans="1:21" ht="31.5" hidden="1" x14ac:dyDescent="0.25">
      <c r="A194" s="1229"/>
      <c r="B194" s="753" t="s">
        <v>544</v>
      </c>
      <c r="C194" s="1217"/>
      <c r="D194" s="1217" t="s">
        <v>452</v>
      </c>
      <c r="E194" s="1217" t="s">
        <v>539</v>
      </c>
      <c r="F194" s="1217" t="s">
        <v>543</v>
      </c>
      <c r="G194" s="1664"/>
      <c r="H194" s="1682">
        <f>H195</f>
        <v>0</v>
      </c>
      <c r="I194" s="529">
        <f>I195</f>
        <v>0</v>
      </c>
      <c r="J194" s="269">
        <f>J195</f>
        <v>0</v>
      </c>
      <c r="K194" s="1858"/>
      <c r="L194" s="1858"/>
      <c r="M194" s="1858"/>
      <c r="N194" s="1200">
        <f>N195</f>
        <v>0</v>
      </c>
      <c r="O194" s="1858"/>
      <c r="P194" s="1858"/>
      <c r="Q194" s="1858"/>
      <c r="R194" s="1858"/>
      <c r="S194" s="1858"/>
      <c r="T194" s="1858"/>
      <c r="U194" s="1682">
        <f>U195</f>
        <v>0</v>
      </c>
    </row>
    <row r="195" spans="1:21" ht="21" hidden="1" x14ac:dyDescent="0.25">
      <c r="A195" s="1229"/>
      <c r="B195" s="1182" t="s">
        <v>454</v>
      </c>
      <c r="C195" s="1217"/>
      <c r="D195" s="1217" t="s">
        <v>452</v>
      </c>
      <c r="E195" s="1217" t="s">
        <v>539</v>
      </c>
      <c r="F195" s="1217" t="s">
        <v>543</v>
      </c>
      <c r="G195" s="1662" t="s">
        <v>1</v>
      </c>
      <c r="H195" s="1682"/>
      <c r="I195" s="529"/>
      <c r="J195" s="269"/>
      <c r="K195" s="1858"/>
      <c r="L195" s="1858"/>
      <c r="M195" s="1858"/>
      <c r="N195" s="1200"/>
      <c r="O195" s="1858"/>
      <c r="P195" s="1858"/>
      <c r="Q195" s="1858"/>
      <c r="R195" s="1858"/>
      <c r="S195" s="1858"/>
      <c r="T195" s="1858"/>
      <c r="U195" s="1682"/>
    </row>
    <row r="196" spans="1:21" ht="31.5" hidden="1" x14ac:dyDescent="0.25">
      <c r="A196" s="1229"/>
      <c r="B196" s="753" t="s">
        <v>542</v>
      </c>
      <c r="C196" s="1217"/>
      <c r="D196" s="1217" t="s">
        <v>452</v>
      </c>
      <c r="E196" s="1217" t="s">
        <v>539</v>
      </c>
      <c r="F196" s="1217" t="s">
        <v>541</v>
      </c>
      <c r="G196" s="1664"/>
      <c r="H196" s="1682">
        <f>H197</f>
        <v>0</v>
      </c>
      <c r="I196" s="529">
        <f>I197</f>
        <v>0</v>
      </c>
      <c r="J196" s="269">
        <f>J197</f>
        <v>0</v>
      </c>
      <c r="K196" s="1858"/>
      <c r="L196" s="1858"/>
      <c r="M196" s="1858"/>
      <c r="N196" s="1200">
        <f>N197</f>
        <v>0</v>
      </c>
      <c r="O196" s="1858"/>
      <c r="P196" s="1858"/>
      <c r="Q196" s="1858"/>
      <c r="R196" s="1858"/>
      <c r="S196" s="1858"/>
      <c r="T196" s="1858"/>
      <c r="U196" s="1682">
        <f>U197</f>
        <v>0</v>
      </c>
    </row>
    <row r="197" spans="1:21" ht="21" hidden="1" x14ac:dyDescent="0.25">
      <c r="A197" s="1229"/>
      <c r="B197" s="1182" t="s">
        <v>454</v>
      </c>
      <c r="C197" s="1217"/>
      <c r="D197" s="1217" t="s">
        <v>452</v>
      </c>
      <c r="E197" s="1217" t="s">
        <v>539</v>
      </c>
      <c r="F197" s="1217" t="s">
        <v>541</v>
      </c>
      <c r="G197" s="1662" t="s">
        <v>1</v>
      </c>
      <c r="H197" s="1682"/>
      <c r="I197" s="529"/>
      <c r="J197" s="269"/>
      <c r="K197" s="1858"/>
      <c r="L197" s="1858"/>
      <c r="M197" s="1858"/>
      <c r="N197" s="1200"/>
      <c r="O197" s="1858"/>
      <c r="P197" s="1858"/>
      <c r="Q197" s="1858"/>
      <c r="R197" s="1858"/>
      <c r="S197" s="1858"/>
      <c r="T197" s="1858"/>
      <c r="U197" s="1682"/>
    </row>
    <row r="198" spans="1:21" ht="21" hidden="1" x14ac:dyDescent="0.25">
      <c r="A198" s="1211"/>
      <c r="B198" s="753" t="s">
        <v>499</v>
      </c>
      <c r="C198" s="1177"/>
      <c r="D198" s="409" t="s">
        <v>452</v>
      </c>
      <c r="E198" s="409" t="s">
        <v>539</v>
      </c>
      <c r="F198" s="409" t="s">
        <v>89</v>
      </c>
      <c r="G198" s="1662"/>
      <c r="H198" s="1682">
        <f t="shared" ref="H198:J201" si="41">H199</f>
        <v>0</v>
      </c>
      <c r="I198" s="841">
        <f t="shared" si="41"/>
        <v>0</v>
      </c>
      <c r="J198" s="276">
        <f t="shared" si="41"/>
        <v>0</v>
      </c>
      <c r="K198" s="1858"/>
      <c r="L198" s="1858"/>
      <c r="M198" s="1858"/>
      <c r="N198" s="1200">
        <f t="shared" ref="N198:N201" si="42">N199</f>
        <v>0</v>
      </c>
      <c r="O198" s="1858"/>
      <c r="P198" s="1858"/>
      <c r="Q198" s="1858"/>
      <c r="R198" s="1858"/>
      <c r="S198" s="1858"/>
      <c r="T198" s="1858"/>
      <c r="U198" s="1682">
        <f t="shared" ref="U198:U201" si="43">U199</f>
        <v>0</v>
      </c>
    </row>
    <row r="199" spans="1:21" hidden="1" x14ac:dyDescent="0.25">
      <c r="A199" s="842"/>
      <c r="B199" s="753" t="s">
        <v>109</v>
      </c>
      <c r="C199" s="1177"/>
      <c r="D199" s="409" t="s">
        <v>452</v>
      </c>
      <c r="E199" s="409" t="s">
        <v>539</v>
      </c>
      <c r="F199" s="409" t="s">
        <v>84</v>
      </c>
      <c r="G199" s="1662"/>
      <c r="H199" s="1682">
        <f t="shared" si="41"/>
        <v>0</v>
      </c>
      <c r="I199" s="841">
        <f t="shared" si="41"/>
        <v>0</v>
      </c>
      <c r="J199" s="276">
        <f t="shared" si="41"/>
        <v>0</v>
      </c>
      <c r="K199" s="1858"/>
      <c r="L199" s="1858"/>
      <c r="M199" s="1858"/>
      <c r="N199" s="1200">
        <f t="shared" si="42"/>
        <v>0</v>
      </c>
      <c r="O199" s="1858"/>
      <c r="P199" s="1858"/>
      <c r="Q199" s="1858"/>
      <c r="R199" s="1858"/>
      <c r="S199" s="1858"/>
      <c r="T199" s="1858"/>
      <c r="U199" s="1682">
        <f t="shared" si="43"/>
        <v>0</v>
      </c>
    </row>
    <row r="200" spans="1:21" hidden="1" x14ac:dyDescent="0.25">
      <c r="A200" s="842"/>
      <c r="B200" s="753" t="s">
        <v>109</v>
      </c>
      <c r="C200" s="1177"/>
      <c r="D200" s="409" t="s">
        <v>452</v>
      </c>
      <c r="E200" s="409" t="s">
        <v>539</v>
      </c>
      <c r="F200" s="409" t="s">
        <v>82</v>
      </c>
      <c r="G200" s="1662"/>
      <c r="H200" s="1682">
        <f>H201</f>
        <v>0</v>
      </c>
      <c r="I200" s="841">
        <f t="shared" si="41"/>
        <v>0</v>
      </c>
      <c r="J200" s="276">
        <f t="shared" si="41"/>
        <v>0</v>
      </c>
      <c r="K200" s="1858">
        <v>388.9</v>
      </c>
      <c r="L200" s="1858"/>
      <c r="M200" s="1858"/>
      <c r="N200" s="1200">
        <f>N201</f>
        <v>0</v>
      </c>
      <c r="O200" s="1858"/>
      <c r="P200" s="1858"/>
      <c r="Q200" s="1858"/>
      <c r="R200" s="1858"/>
      <c r="S200" s="1858"/>
      <c r="T200" s="1858"/>
      <c r="U200" s="1682">
        <f>U201</f>
        <v>0</v>
      </c>
    </row>
    <row r="201" spans="1:21" ht="21" hidden="1" x14ac:dyDescent="0.25">
      <c r="A201" s="1229"/>
      <c r="B201" s="1481" t="s">
        <v>967</v>
      </c>
      <c r="C201" s="409"/>
      <c r="D201" s="409" t="s">
        <v>452</v>
      </c>
      <c r="E201" s="409" t="s">
        <v>539</v>
      </c>
      <c r="F201" s="1231" t="s">
        <v>965</v>
      </c>
      <c r="G201" s="1662"/>
      <c r="H201" s="1682">
        <f t="shared" si="41"/>
        <v>0</v>
      </c>
      <c r="I201" s="529">
        <f t="shared" si="41"/>
        <v>0</v>
      </c>
      <c r="J201" s="269">
        <f t="shared" si="41"/>
        <v>0</v>
      </c>
      <c r="K201" s="1858"/>
      <c r="L201" s="1858"/>
      <c r="M201" s="1858"/>
      <c r="N201" s="1200">
        <f t="shared" si="42"/>
        <v>0</v>
      </c>
      <c r="O201" s="1858"/>
      <c r="P201" s="1858"/>
      <c r="Q201" s="1858"/>
      <c r="R201" s="1858"/>
      <c r="S201" s="1858"/>
      <c r="T201" s="1858"/>
      <c r="U201" s="1682">
        <f t="shared" si="43"/>
        <v>0</v>
      </c>
    </row>
    <row r="202" spans="1:21" ht="21" hidden="1" x14ac:dyDescent="0.25">
      <c r="A202" s="1229"/>
      <c r="B202" s="1182" t="s">
        <v>454</v>
      </c>
      <c r="C202" s="1217"/>
      <c r="D202" s="1217" t="s">
        <v>452</v>
      </c>
      <c r="E202" s="1217" t="s">
        <v>539</v>
      </c>
      <c r="F202" s="1231" t="s">
        <v>965</v>
      </c>
      <c r="G202" s="1662" t="s">
        <v>1</v>
      </c>
      <c r="H202" s="1682"/>
      <c r="I202" s="529"/>
      <c r="J202" s="269"/>
      <c r="K202" s="1858">
        <v>388.9</v>
      </c>
      <c r="L202" s="1858"/>
      <c r="M202" s="1858"/>
      <c r="N202" s="1200"/>
      <c r="O202" s="1858"/>
      <c r="P202" s="1858"/>
      <c r="Q202" s="1858"/>
      <c r="R202" s="1858"/>
      <c r="S202" s="1858"/>
      <c r="T202" s="1858"/>
      <c r="U202" s="1682"/>
    </row>
    <row r="203" spans="1:21" x14ac:dyDescent="0.25">
      <c r="A203" s="1229"/>
      <c r="B203" s="1225" t="s">
        <v>51</v>
      </c>
      <c r="C203" s="1227"/>
      <c r="D203" s="1227" t="s">
        <v>452</v>
      </c>
      <c r="E203" s="1227" t="s">
        <v>534</v>
      </c>
      <c r="F203" s="1227"/>
      <c r="G203" s="1665"/>
      <c r="H203" s="1684">
        <f>H204+H209</f>
        <v>4127.134</v>
      </c>
      <c r="I203" s="853">
        <f>I204+I209</f>
        <v>0</v>
      </c>
      <c r="J203" s="400">
        <f>J204+J209</f>
        <v>0</v>
      </c>
      <c r="K203" s="1858"/>
      <c r="L203" s="1858"/>
      <c r="M203" s="1858"/>
      <c r="N203" s="1228">
        <f>N204+N209</f>
        <v>2887.2280000000001</v>
      </c>
      <c r="O203" s="1858"/>
      <c r="P203" s="1858"/>
      <c r="Q203" s="1858"/>
      <c r="R203" s="1858"/>
      <c r="S203" s="1858"/>
      <c r="T203" s="1858"/>
      <c r="U203" s="1684">
        <f>U204+U209</f>
        <v>1861.232</v>
      </c>
    </row>
    <row r="204" spans="1:21" ht="31.5" x14ac:dyDescent="0.25">
      <c r="A204" s="1179"/>
      <c r="B204" s="1205" t="s">
        <v>907</v>
      </c>
      <c r="C204" s="409"/>
      <c r="D204" s="409" t="s">
        <v>452</v>
      </c>
      <c r="E204" s="409" t="s">
        <v>534</v>
      </c>
      <c r="F204" s="409" t="s">
        <v>292</v>
      </c>
      <c r="G204" s="1662"/>
      <c r="H204" s="1682">
        <f t="shared" ref="H204:J205" si="44">H205</f>
        <v>330</v>
      </c>
      <c r="I204" s="529">
        <f t="shared" si="44"/>
        <v>0</v>
      </c>
      <c r="J204" s="270">
        <f t="shared" si="44"/>
        <v>0</v>
      </c>
      <c r="K204" s="1862">
        <f>330</f>
        <v>330</v>
      </c>
      <c r="L204" s="1858"/>
      <c r="M204" s="1858"/>
      <c r="N204" s="1200">
        <f t="shared" ref="N204:N205" si="45">N205</f>
        <v>350</v>
      </c>
      <c r="O204" s="1858"/>
      <c r="P204" s="1858"/>
      <c r="Q204" s="1858"/>
      <c r="R204" s="1858"/>
      <c r="S204" s="1858"/>
      <c r="T204" s="1858"/>
      <c r="U204" s="1682">
        <f t="shared" ref="U204:U205" si="46">U205</f>
        <v>370</v>
      </c>
    </row>
    <row r="205" spans="1:21" ht="31.5" x14ac:dyDescent="0.25">
      <c r="A205" s="1179"/>
      <c r="B205" s="1197" t="s">
        <v>289</v>
      </c>
      <c r="C205" s="409"/>
      <c r="D205" s="409" t="s">
        <v>452</v>
      </c>
      <c r="E205" s="409" t="s">
        <v>534</v>
      </c>
      <c r="F205" s="409" t="s">
        <v>286</v>
      </c>
      <c r="G205" s="1662"/>
      <c r="H205" s="1682">
        <f t="shared" si="44"/>
        <v>330</v>
      </c>
      <c r="I205" s="529">
        <f t="shared" si="44"/>
        <v>0</v>
      </c>
      <c r="J205" s="270">
        <f t="shared" si="44"/>
        <v>0</v>
      </c>
      <c r="K205" s="1858"/>
      <c r="L205" s="1858"/>
      <c r="M205" s="1858"/>
      <c r="N205" s="1200">
        <f t="shared" si="45"/>
        <v>350</v>
      </c>
      <c r="O205" s="1858"/>
      <c r="P205" s="1858"/>
      <c r="Q205" s="1858"/>
      <c r="R205" s="1858"/>
      <c r="S205" s="1858"/>
      <c r="T205" s="1858"/>
      <c r="U205" s="1682">
        <f t="shared" si="46"/>
        <v>370</v>
      </c>
    </row>
    <row r="206" spans="1:21" ht="21" x14ac:dyDescent="0.25">
      <c r="A206" s="1179"/>
      <c r="B206" s="1232" t="s">
        <v>287</v>
      </c>
      <c r="C206" s="1217"/>
      <c r="D206" s="1217" t="s">
        <v>452</v>
      </c>
      <c r="E206" s="1217" t="s">
        <v>534</v>
      </c>
      <c r="F206" s="1217" t="s">
        <v>275</v>
      </c>
      <c r="G206" s="1664"/>
      <c r="H206" s="1682">
        <f>H208</f>
        <v>330</v>
      </c>
      <c r="I206" s="529">
        <f>I208</f>
        <v>0</v>
      </c>
      <c r="J206" s="270">
        <f>J208</f>
        <v>0</v>
      </c>
      <c r="K206" s="1858"/>
      <c r="L206" s="1858"/>
      <c r="M206" s="1858"/>
      <c r="N206" s="1200">
        <f>N208</f>
        <v>350</v>
      </c>
      <c r="O206" s="1858"/>
      <c r="P206" s="1858"/>
      <c r="Q206" s="1858"/>
      <c r="R206" s="1858"/>
      <c r="S206" s="1858"/>
      <c r="T206" s="1858"/>
      <c r="U206" s="1682">
        <f>U208</f>
        <v>370</v>
      </c>
    </row>
    <row r="207" spans="1:21" x14ac:dyDescent="0.25">
      <c r="A207" s="1179"/>
      <c r="B207" s="753" t="s">
        <v>948</v>
      </c>
      <c r="C207" s="1217"/>
      <c r="D207" s="1217" t="s">
        <v>452</v>
      </c>
      <c r="E207" s="1217" t="s">
        <v>534</v>
      </c>
      <c r="F207" s="1217" t="s">
        <v>275</v>
      </c>
      <c r="G207" s="1664" t="s">
        <v>955</v>
      </c>
      <c r="H207" s="1682">
        <f t="shared" ref="H207:U207" si="47">H208</f>
        <v>330</v>
      </c>
      <c r="I207" s="529">
        <f t="shared" si="47"/>
        <v>0</v>
      </c>
      <c r="J207" s="404">
        <f t="shared" si="47"/>
        <v>0</v>
      </c>
      <c r="K207" s="1858">
        <f t="shared" si="47"/>
        <v>0</v>
      </c>
      <c r="L207" s="1858">
        <f t="shared" si="47"/>
        <v>0</v>
      </c>
      <c r="M207" s="1858">
        <f t="shared" si="47"/>
        <v>0</v>
      </c>
      <c r="N207" s="1200">
        <f t="shared" si="47"/>
        <v>350</v>
      </c>
      <c r="O207" s="1858">
        <f t="shared" si="47"/>
        <v>0</v>
      </c>
      <c r="P207" s="1858">
        <f t="shared" si="47"/>
        <v>0</v>
      </c>
      <c r="Q207" s="1858">
        <f t="shared" si="47"/>
        <v>0</v>
      </c>
      <c r="R207" s="1858">
        <f t="shared" si="47"/>
        <v>0</v>
      </c>
      <c r="S207" s="1858">
        <f t="shared" si="47"/>
        <v>0</v>
      </c>
      <c r="T207" s="1858">
        <f t="shared" si="47"/>
        <v>0</v>
      </c>
      <c r="U207" s="1682">
        <f t="shared" si="47"/>
        <v>370</v>
      </c>
    </row>
    <row r="208" spans="1:21" ht="21" x14ac:dyDescent="0.25">
      <c r="A208" s="1179"/>
      <c r="B208" s="1182" t="s">
        <v>454</v>
      </c>
      <c r="C208" s="1217"/>
      <c r="D208" s="1217" t="s">
        <v>452</v>
      </c>
      <c r="E208" s="1217" t="s">
        <v>534</v>
      </c>
      <c r="F208" s="1217" t="s">
        <v>275</v>
      </c>
      <c r="G208" s="1662" t="s">
        <v>1</v>
      </c>
      <c r="H208" s="1682">
        <v>330</v>
      </c>
      <c r="I208" s="529"/>
      <c r="J208" s="269"/>
      <c r="K208" s="1858"/>
      <c r="L208" s="1858"/>
      <c r="M208" s="1858"/>
      <c r="N208" s="1200">
        <v>350</v>
      </c>
      <c r="O208" s="1858"/>
      <c r="P208" s="1858"/>
      <c r="Q208" s="1858"/>
      <c r="R208" s="1858"/>
      <c r="S208" s="1858"/>
      <c r="T208" s="1858"/>
      <c r="U208" s="1682">
        <v>370</v>
      </c>
    </row>
    <row r="209" spans="1:21" ht="21" x14ac:dyDescent="0.25">
      <c r="A209" s="1233"/>
      <c r="B209" s="753" t="s">
        <v>499</v>
      </c>
      <c r="C209" s="1180"/>
      <c r="D209" s="409" t="s">
        <v>452</v>
      </c>
      <c r="E209" s="409" t="s">
        <v>534</v>
      </c>
      <c r="F209" s="409" t="s">
        <v>89</v>
      </c>
      <c r="G209" s="1662"/>
      <c r="H209" s="1682">
        <f>H210</f>
        <v>3797.134</v>
      </c>
      <c r="I209" s="529">
        <f t="shared" ref="H209:J210" si="48">I210</f>
        <v>0</v>
      </c>
      <c r="J209" s="270">
        <f t="shared" si="48"/>
        <v>0</v>
      </c>
      <c r="K209" s="1858"/>
      <c r="L209" s="1858"/>
      <c r="M209" s="1858"/>
      <c r="N209" s="1200">
        <f>N210</f>
        <v>2537.2280000000001</v>
      </c>
      <c r="O209" s="1858"/>
      <c r="P209" s="1858"/>
      <c r="Q209" s="1858"/>
      <c r="R209" s="1858"/>
      <c r="S209" s="1858"/>
      <c r="T209" s="1858"/>
      <c r="U209" s="1682">
        <f>U210</f>
        <v>1491.232</v>
      </c>
    </row>
    <row r="210" spans="1:21" x14ac:dyDescent="0.25">
      <c r="A210" s="1179"/>
      <c r="B210" s="753" t="s">
        <v>109</v>
      </c>
      <c r="C210" s="1180"/>
      <c r="D210" s="409" t="s">
        <v>452</v>
      </c>
      <c r="E210" s="409" t="s">
        <v>534</v>
      </c>
      <c r="F210" s="409" t="s">
        <v>84</v>
      </c>
      <c r="G210" s="1662"/>
      <c r="H210" s="1682">
        <f t="shared" si="48"/>
        <v>3797.134</v>
      </c>
      <c r="I210" s="529">
        <f t="shared" si="48"/>
        <v>0</v>
      </c>
      <c r="J210" s="270">
        <f t="shared" si="48"/>
        <v>0</v>
      </c>
      <c r="K210" s="1858"/>
      <c r="L210" s="1858"/>
      <c r="M210" s="1858"/>
      <c r="N210" s="1200">
        <f t="shared" ref="N210" si="49">N211</f>
        <v>2537.2280000000001</v>
      </c>
      <c r="O210" s="1858"/>
      <c r="P210" s="1858"/>
      <c r="Q210" s="1858"/>
      <c r="R210" s="1858"/>
      <c r="S210" s="1858"/>
      <c r="T210" s="1858"/>
      <c r="U210" s="1682">
        <f t="shared" ref="U210" si="50">U211</f>
        <v>1491.232</v>
      </c>
    </row>
    <row r="211" spans="1:21" x14ac:dyDescent="0.25">
      <c r="A211" s="1179"/>
      <c r="B211" s="753" t="s">
        <v>109</v>
      </c>
      <c r="C211" s="1180"/>
      <c r="D211" s="409" t="s">
        <v>452</v>
      </c>
      <c r="E211" s="409" t="s">
        <v>534</v>
      </c>
      <c r="F211" s="409" t="s">
        <v>82</v>
      </c>
      <c r="G211" s="1662"/>
      <c r="H211" s="1682">
        <f>H212+H215+H220+H221</f>
        <v>3797.134</v>
      </c>
      <c r="I211" s="529">
        <f>I212+I215+I220</f>
        <v>0</v>
      </c>
      <c r="J211" s="270">
        <f>J212+J215+J220</f>
        <v>0</v>
      </c>
      <c r="K211" s="1862">
        <f>K214+K217+K220</f>
        <v>94.8</v>
      </c>
      <c r="L211" s="1858"/>
      <c r="M211" s="1858"/>
      <c r="N211" s="1200">
        <f>N212+N215+N220+N221</f>
        <v>2537.2280000000001</v>
      </c>
      <c r="O211" s="1858"/>
      <c r="P211" s="1858"/>
      <c r="Q211" s="1858"/>
      <c r="R211" s="1858"/>
      <c r="S211" s="1858"/>
      <c r="T211" s="1858"/>
      <c r="U211" s="1682">
        <f>U212+U215+U220+U221</f>
        <v>1491.232</v>
      </c>
    </row>
    <row r="212" spans="1:21" x14ac:dyDescent="0.25">
      <c r="A212" s="842"/>
      <c r="B212" s="753" t="s">
        <v>537</v>
      </c>
      <c r="C212" s="409"/>
      <c r="D212" s="409" t="s">
        <v>452</v>
      </c>
      <c r="E212" s="409" t="s">
        <v>534</v>
      </c>
      <c r="F212" s="409" t="s">
        <v>536</v>
      </c>
      <c r="G212" s="1662"/>
      <c r="H212" s="1682">
        <f>H214</f>
        <v>2098.3339999999998</v>
      </c>
      <c r="I212" s="529">
        <f>I214</f>
        <v>0</v>
      </c>
      <c r="J212" s="270">
        <f>J214</f>
        <v>0</v>
      </c>
      <c r="K212" s="1858"/>
      <c r="L212" s="1858"/>
      <c r="M212" s="1858"/>
      <c r="N212" s="1200">
        <f>N214</f>
        <v>1174.2539999999999</v>
      </c>
      <c r="O212" s="1858"/>
      <c r="P212" s="1858"/>
      <c r="Q212" s="1858"/>
      <c r="R212" s="1858"/>
      <c r="S212" s="1858"/>
      <c r="T212" s="1858"/>
      <c r="U212" s="1682">
        <f>U214</f>
        <v>722.18</v>
      </c>
    </row>
    <row r="213" spans="1:21" x14ac:dyDescent="0.25">
      <c r="A213" s="842"/>
      <c r="B213" s="753" t="s">
        <v>948</v>
      </c>
      <c r="C213" s="409"/>
      <c r="D213" s="1217" t="s">
        <v>452</v>
      </c>
      <c r="E213" s="1217" t="s">
        <v>534</v>
      </c>
      <c r="F213" s="1217" t="s">
        <v>536</v>
      </c>
      <c r="G213" s="1662" t="s">
        <v>955</v>
      </c>
      <c r="H213" s="1682">
        <f t="shared" ref="H213:U213" si="51">H214</f>
        <v>2098.3339999999998</v>
      </c>
      <c r="I213" s="529">
        <f t="shared" si="51"/>
        <v>0</v>
      </c>
      <c r="J213" s="270">
        <f t="shared" si="51"/>
        <v>0</v>
      </c>
      <c r="K213" s="1858">
        <f t="shared" si="51"/>
        <v>0</v>
      </c>
      <c r="L213" s="1858">
        <f t="shared" si="51"/>
        <v>0</v>
      </c>
      <c r="M213" s="1858">
        <f t="shared" si="51"/>
        <v>0</v>
      </c>
      <c r="N213" s="1200">
        <f t="shared" si="51"/>
        <v>1174.2539999999999</v>
      </c>
      <c r="O213" s="1858">
        <f t="shared" si="51"/>
        <v>0</v>
      </c>
      <c r="P213" s="1858">
        <f t="shared" si="51"/>
        <v>0</v>
      </c>
      <c r="Q213" s="1858">
        <f t="shared" si="51"/>
        <v>0</v>
      </c>
      <c r="R213" s="1858">
        <f t="shared" si="51"/>
        <v>0</v>
      </c>
      <c r="S213" s="1858">
        <f t="shared" si="51"/>
        <v>0</v>
      </c>
      <c r="T213" s="1858">
        <f t="shared" si="51"/>
        <v>0</v>
      </c>
      <c r="U213" s="1682">
        <f t="shared" si="51"/>
        <v>722.18</v>
      </c>
    </row>
    <row r="214" spans="1:21" ht="21" x14ac:dyDescent="0.25">
      <c r="A214" s="1229"/>
      <c r="B214" s="1182" t="s">
        <v>454</v>
      </c>
      <c r="C214" s="1217"/>
      <c r="D214" s="1217" t="s">
        <v>452</v>
      </c>
      <c r="E214" s="1217" t="s">
        <v>534</v>
      </c>
      <c r="F214" s="1217" t="s">
        <v>536</v>
      </c>
      <c r="G214" s="1662" t="s">
        <v>1</v>
      </c>
      <c r="H214" s="1682">
        <f>2098.274+0.06</f>
        <v>2098.3339999999998</v>
      </c>
      <c r="I214" s="529"/>
      <c r="J214" s="270"/>
      <c r="K214" s="1859"/>
      <c r="L214" s="1858"/>
      <c r="M214" s="1858"/>
      <c r="N214" s="1200">
        <f>1174.194+0.06</f>
        <v>1174.2539999999999</v>
      </c>
      <c r="O214" s="1858"/>
      <c r="P214" s="1858"/>
      <c r="Q214" s="1858"/>
      <c r="R214" s="1858"/>
      <c r="S214" s="1858"/>
      <c r="T214" s="1858"/>
      <c r="U214" s="1682">
        <f>722.12+0.06</f>
        <v>722.18</v>
      </c>
    </row>
    <row r="215" spans="1:21" x14ac:dyDescent="0.25">
      <c r="A215" s="842"/>
      <c r="B215" s="753" t="s">
        <v>535</v>
      </c>
      <c r="C215" s="409"/>
      <c r="D215" s="409" t="s">
        <v>452</v>
      </c>
      <c r="E215" s="409" t="s">
        <v>534</v>
      </c>
      <c r="F215" s="409" t="s">
        <v>54</v>
      </c>
      <c r="G215" s="1662"/>
      <c r="H215" s="1682">
        <f>H217</f>
        <v>94.8</v>
      </c>
      <c r="I215" s="529">
        <f>I217</f>
        <v>0</v>
      </c>
      <c r="J215" s="270">
        <f>J217</f>
        <v>0</v>
      </c>
      <c r="K215" s="1858"/>
      <c r="L215" s="1858"/>
      <c r="M215" s="1858"/>
      <c r="N215" s="1200">
        <f>N217</f>
        <v>94.8</v>
      </c>
      <c r="O215" s="1858"/>
      <c r="P215" s="1858"/>
      <c r="Q215" s="1858"/>
      <c r="R215" s="1858"/>
      <c r="S215" s="1858"/>
      <c r="T215" s="1858"/>
      <c r="U215" s="1682">
        <f>U217</f>
        <v>94.8</v>
      </c>
    </row>
    <row r="216" spans="1:21" x14ac:dyDescent="0.25">
      <c r="A216" s="842"/>
      <c r="B216" s="753" t="s">
        <v>948</v>
      </c>
      <c r="C216" s="409"/>
      <c r="D216" s="1217" t="s">
        <v>452</v>
      </c>
      <c r="E216" s="1217" t="s">
        <v>534</v>
      </c>
      <c r="F216" s="1217" t="s">
        <v>54</v>
      </c>
      <c r="G216" s="1662" t="s">
        <v>955</v>
      </c>
      <c r="H216" s="1682">
        <f t="shared" ref="H216:U216" si="52">H217</f>
        <v>94.8</v>
      </c>
      <c r="I216" s="529">
        <f t="shared" si="52"/>
        <v>0</v>
      </c>
      <c r="J216" s="404">
        <f t="shared" si="52"/>
        <v>0</v>
      </c>
      <c r="K216" s="1858">
        <f t="shared" si="52"/>
        <v>94.8</v>
      </c>
      <c r="L216" s="1858">
        <f t="shared" si="52"/>
        <v>0</v>
      </c>
      <c r="M216" s="1858">
        <f t="shared" si="52"/>
        <v>0</v>
      </c>
      <c r="N216" s="1200">
        <f t="shared" si="52"/>
        <v>94.8</v>
      </c>
      <c r="O216" s="1858">
        <f t="shared" si="52"/>
        <v>0</v>
      </c>
      <c r="P216" s="1858">
        <f t="shared" si="52"/>
        <v>0</v>
      </c>
      <c r="Q216" s="1858">
        <f t="shared" si="52"/>
        <v>0</v>
      </c>
      <c r="R216" s="1858">
        <f t="shared" si="52"/>
        <v>0</v>
      </c>
      <c r="S216" s="1858">
        <f t="shared" si="52"/>
        <v>0</v>
      </c>
      <c r="T216" s="1858">
        <f t="shared" si="52"/>
        <v>0</v>
      </c>
      <c r="U216" s="1682">
        <f t="shared" si="52"/>
        <v>94.8</v>
      </c>
    </row>
    <row r="217" spans="1:21" ht="21" x14ac:dyDescent="0.25">
      <c r="A217" s="1234"/>
      <c r="B217" s="1182" t="s">
        <v>454</v>
      </c>
      <c r="C217" s="1217"/>
      <c r="D217" s="1217" t="s">
        <v>452</v>
      </c>
      <c r="E217" s="1217" t="s">
        <v>534</v>
      </c>
      <c r="F217" s="1217" t="s">
        <v>54</v>
      </c>
      <c r="G217" s="1662" t="s">
        <v>1</v>
      </c>
      <c r="H217" s="1682">
        <v>94.8</v>
      </c>
      <c r="I217" s="529"/>
      <c r="J217" s="269"/>
      <c r="K217" s="1858">
        <v>94.8</v>
      </c>
      <c r="L217" s="1858"/>
      <c r="M217" s="1858"/>
      <c r="N217" s="1200">
        <v>94.8</v>
      </c>
      <c r="O217" s="1858"/>
      <c r="P217" s="1858"/>
      <c r="Q217" s="1858"/>
      <c r="R217" s="1858"/>
      <c r="S217" s="1858"/>
      <c r="T217" s="1858"/>
      <c r="U217" s="1682">
        <v>94.8</v>
      </c>
    </row>
    <row r="218" spans="1:21" x14ac:dyDescent="0.25">
      <c r="A218" s="1234"/>
      <c r="B218" s="753" t="s">
        <v>53</v>
      </c>
      <c r="C218" s="409"/>
      <c r="D218" s="409" t="s">
        <v>452</v>
      </c>
      <c r="E218" s="409" t="s">
        <v>534</v>
      </c>
      <c r="F218" s="409" t="s">
        <v>50</v>
      </c>
      <c r="G218" s="1662"/>
      <c r="H218" s="1682">
        <f>H220+H221</f>
        <v>1604</v>
      </c>
      <c r="I218" s="529">
        <f>I220</f>
        <v>0</v>
      </c>
      <c r="J218" s="269">
        <f>J220</f>
        <v>0</v>
      </c>
      <c r="K218" s="1858"/>
      <c r="L218" s="1858"/>
      <c r="M218" s="1858"/>
      <c r="N218" s="1200">
        <f>N220+N221</f>
        <v>1268.174</v>
      </c>
      <c r="O218" s="1858"/>
      <c r="P218" s="1858"/>
      <c r="Q218" s="1858"/>
      <c r="R218" s="1858"/>
      <c r="S218" s="1858"/>
      <c r="T218" s="1858"/>
      <c r="U218" s="1682">
        <f>U220+U221</f>
        <v>674.25199999999995</v>
      </c>
    </row>
    <row r="219" spans="1:21" x14ac:dyDescent="0.25">
      <c r="A219" s="1234"/>
      <c r="B219" s="753" t="s">
        <v>948</v>
      </c>
      <c r="C219" s="409"/>
      <c r="D219" s="1217" t="s">
        <v>452</v>
      </c>
      <c r="E219" s="1217" t="s">
        <v>534</v>
      </c>
      <c r="F219" s="1217" t="s">
        <v>50</v>
      </c>
      <c r="G219" s="1662" t="s">
        <v>955</v>
      </c>
      <c r="H219" s="1682">
        <f t="shared" ref="H219:U219" si="53">H220</f>
        <v>1604</v>
      </c>
      <c r="I219" s="529">
        <f t="shared" si="53"/>
        <v>0</v>
      </c>
      <c r="J219" s="269">
        <f t="shared" si="53"/>
        <v>0</v>
      </c>
      <c r="K219" s="1858">
        <f t="shared" si="53"/>
        <v>0</v>
      </c>
      <c r="L219" s="1858">
        <f t="shared" si="53"/>
        <v>0</v>
      </c>
      <c r="M219" s="1858">
        <f t="shared" si="53"/>
        <v>0</v>
      </c>
      <c r="N219" s="1200">
        <f t="shared" si="53"/>
        <v>1268.174</v>
      </c>
      <c r="O219" s="1858">
        <f t="shared" si="53"/>
        <v>0</v>
      </c>
      <c r="P219" s="1858">
        <f t="shared" si="53"/>
        <v>0</v>
      </c>
      <c r="Q219" s="1858">
        <f t="shared" si="53"/>
        <v>0</v>
      </c>
      <c r="R219" s="1858">
        <f t="shared" si="53"/>
        <v>0</v>
      </c>
      <c r="S219" s="1858">
        <f t="shared" si="53"/>
        <v>0</v>
      </c>
      <c r="T219" s="1858">
        <f t="shared" si="53"/>
        <v>0</v>
      </c>
      <c r="U219" s="1682">
        <f t="shared" si="53"/>
        <v>674.25199999999995</v>
      </c>
    </row>
    <row r="220" spans="1:21" ht="21" x14ac:dyDescent="0.25">
      <c r="A220" s="1234"/>
      <c r="B220" s="1182" t="s">
        <v>454</v>
      </c>
      <c r="C220" s="1217"/>
      <c r="D220" s="1217" t="s">
        <v>452</v>
      </c>
      <c r="E220" s="1217" t="s">
        <v>534</v>
      </c>
      <c r="F220" s="1217" t="s">
        <v>50</v>
      </c>
      <c r="G220" s="1662" t="s">
        <v>1</v>
      </c>
      <c r="H220" s="1682">
        <v>1604</v>
      </c>
      <c r="I220" s="529"/>
      <c r="J220" s="269"/>
      <c r="K220" s="1859"/>
      <c r="L220" s="1858"/>
      <c r="M220" s="1858"/>
      <c r="N220" s="1200">
        <v>1268.174</v>
      </c>
      <c r="O220" s="1858"/>
      <c r="P220" s="1858"/>
      <c r="Q220" s="1858"/>
      <c r="R220" s="1858"/>
      <c r="S220" s="1858"/>
      <c r="T220" s="1858"/>
      <c r="U220" s="1682">
        <v>674.25199999999995</v>
      </c>
    </row>
    <row r="221" spans="1:21" hidden="1" x14ac:dyDescent="0.25">
      <c r="A221" s="1234"/>
      <c r="B221" s="1182" t="s">
        <v>622</v>
      </c>
      <c r="C221" s="1217"/>
      <c r="D221" s="1217"/>
      <c r="E221" s="1217"/>
      <c r="F221" s="1217"/>
      <c r="G221" s="1662"/>
      <c r="H221" s="1682"/>
      <c r="I221" s="529"/>
      <c r="J221" s="404"/>
      <c r="K221" s="1858"/>
      <c r="L221" s="1858"/>
      <c r="M221" s="1858"/>
      <c r="N221" s="1200"/>
      <c r="O221" s="1858"/>
      <c r="P221" s="1858"/>
      <c r="Q221" s="1858"/>
      <c r="R221" s="1858"/>
      <c r="S221" s="1858"/>
      <c r="T221" s="1858"/>
      <c r="U221" s="1682"/>
    </row>
    <row r="222" spans="1:21" x14ac:dyDescent="0.25">
      <c r="A222" s="1234"/>
      <c r="B222" s="1225" t="s">
        <v>378</v>
      </c>
      <c r="C222" s="1226"/>
      <c r="D222" s="1227" t="s">
        <v>463</v>
      </c>
      <c r="E222" s="1227" t="s">
        <v>459</v>
      </c>
      <c r="F222" s="1227"/>
      <c r="G222" s="1665"/>
      <c r="H222" s="1684">
        <f>H223+H245+H285</f>
        <v>44919.781000000003</v>
      </c>
      <c r="I222" s="853">
        <f>I223+I245+I285</f>
        <v>17214.18</v>
      </c>
      <c r="J222" s="400">
        <f>J223+J245+J285</f>
        <v>13826.606</v>
      </c>
      <c r="K222" s="1858"/>
      <c r="L222" s="1858"/>
      <c r="M222" s="1858"/>
      <c r="N222" s="1228">
        <f>N223+N245+N285</f>
        <v>48441.77</v>
      </c>
      <c r="O222" s="1858"/>
      <c r="P222" s="1858"/>
      <c r="Q222" s="1858"/>
      <c r="R222" s="1858"/>
      <c r="S222" s="1858"/>
      <c r="T222" s="1858"/>
      <c r="U222" s="1684">
        <f>U223+U245+U285</f>
        <v>48714.365999999995</v>
      </c>
    </row>
    <row r="223" spans="1:21" x14ac:dyDescent="0.25">
      <c r="A223" s="1229"/>
      <c r="B223" s="1225" t="s">
        <v>11</v>
      </c>
      <c r="C223" s="1227"/>
      <c r="D223" s="1227" t="s">
        <v>463</v>
      </c>
      <c r="E223" s="1227" t="s">
        <v>456</v>
      </c>
      <c r="F223" s="1227"/>
      <c r="G223" s="1665"/>
      <c r="H223" s="1684">
        <f>H233+H224</f>
        <v>947.01</v>
      </c>
      <c r="I223" s="853">
        <f>I233</f>
        <v>0</v>
      </c>
      <c r="J223" s="400">
        <f>J233</f>
        <v>0</v>
      </c>
      <c r="K223" s="1858"/>
      <c r="L223" s="1858"/>
      <c r="M223" s="1858"/>
      <c r="N223" s="1228">
        <f>N233+N224</f>
        <v>984.89</v>
      </c>
      <c r="O223" s="1858"/>
      <c r="P223" s="1858"/>
      <c r="Q223" s="1858"/>
      <c r="R223" s="1858"/>
      <c r="S223" s="1858"/>
      <c r="T223" s="1858"/>
      <c r="U223" s="1684">
        <f>U233+U224</f>
        <v>1024.2860000000001</v>
      </c>
    </row>
    <row r="224" spans="1:21" ht="31.5" hidden="1" x14ac:dyDescent="0.25">
      <c r="A224" s="1229"/>
      <c r="B224" s="1203" t="s">
        <v>861</v>
      </c>
      <c r="C224" s="1177"/>
      <c r="D224" s="408" t="s">
        <v>463</v>
      </c>
      <c r="E224" s="408" t="s">
        <v>456</v>
      </c>
      <c r="F224" s="408" t="s">
        <v>468</v>
      </c>
      <c r="G224" s="1661"/>
      <c r="H224" s="1683">
        <f>H225+H229</f>
        <v>0</v>
      </c>
      <c r="I224" s="853"/>
      <c r="J224" s="400"/>
      <c r="K224" s="1858"/>
      <c r="L224" s="1858"/>
      <c r="M224" s="1858"/>
      <c r="N224" s="1208"/>
      <c r="O224" s="1858"/>
      <c r="P224" s="1858"/>
      <c r="Q224" s="1858"/>
      <c r="R224" s="1858"/>
      <c r="S224" s="1858"/>
      <c r="T224" s="1858"/>
      <c r="U224" s="1683"/>
    </row>
    <row r="225" spans="1:21" hidden="1" x14ac:dyDescent="0.25">
      <c r="A225" s="1229"/>
      <c r="B225" s="1203" t="s">
        <v>849</v>
      </c>
      <c r="C225" s="1180"/>
      <c r="D225" s="409" t="s">
        <v>463</v>
      </c>
      <c r="E225" s="409" t="s">
        <v>456</v>
      </c>
      <c r="F225" s="409" t="s">
        <v>854</v>
      </c>
      <c r="G225" s="1662"/>
      <c r="H225" s="1682">
        <f>H226</f>
        <v>0</v>
      </c>
      <c r="I225" s="853"/>
      <c r="J225" s="400"/>
      <c r="K225" s="1862">
        <v>186.20699999999999</v>
      </c>
      <c r="L225" s="1858"/>
      <c r="M225" s="1858"/>
      <c r="N225" s="1200"/>
      <c r="O225" s="1858"/>
      <c r="P225" s="1858"/>
      <c r="Q225" s="1858"/>
      <c r="R225" s="1858"/>
      <c r="S225" s="1858"/>
      <c r="T225" s="1858"/>
      <c r="U225" s="1682"/>
    </row>
    <row r="226" spans="1:21" hidden="1" x14ac:dyDescent="0.25">
      <c r="A226" s="1229"/>
      <c r="B226" s="1203" t="s">
        <v>850</v>
      </c>
      <c r="C226" s="1180"/>
      <c r="D226" s="409" t="s">
        <v>463</v>
      </c>
      <c r="E226" s="409" t="s">
        <v>456</v>
      </c>
      <c r="F226" s="409" t="s">
        <v>855</v>
      </c>
      <c r="G226" s="1662"/>
      <c r="H226" s="1682">
        <f>H227</f>
        <v>0</v>
      </c>
      <c r="I226" s="853"/>
      <c r="J226" s="400"/>
      <c r="K226" s="1858"/>
      <c r="L226" s="1858"/>
      <c r="M226" s="1858"/>
      <c r="N226" s="1200"/>
      <c r="O226" s="1858"/>
      <c r="P226" s="1858"/>
      <c r="Q226" s="1858"/>
      <c r="R226" s="1858"/>
      <c r="S226" s="1858"/>
      <c r="T226" s="1858"/>
      <c r="U226" s="1682"/>
    </row>
    <row r="227" spans="1:21" ht="31.5" hidden="1" x14ac:dyDescent="0.25">
      <c r="A227" s="1229"/>
      <c r="B227" s="1232" t="s">
        <v>851</v>
      </c>
      <c r="C227" s="1180"/>
      <c r="D227" s="409" t="s">
        <v>463</v>
      </c>
      <c r="E227" s="409" t="s">
        <v>456</v>
      </c>
      <c r="F227" s="1864" t="s">
        <v>856</v>
      </c>
      <c r="G227" s="1662"/>
      <c r="H227" s="1682">
        <f>H228</f>
        <v>0</v>
      </c>
      <c r="I227" s="853"/>
      <c r="J227" s="400"/>
      <c r="K227" s="1858"/>
      <c r="L227" s="1858"/>
      <c r="M227" s="1858"/>
      <c r="N227" s="1200"/>
      <c r="O227" s="1858"/>
      <c r="P227" s="1858"/>
      <c r="Q227" s="1858"/>
      <c r="R227" s="1858"/>
      <c r="S227" s="1858"/>
      <c r="T227" s="1858"/>
      <c r="U227" s="1682"/>
    </row>
    <row r="228" spans="1:21" hidden="1" x14ac:dyDescent="0.25">
      <c r="A228" s="1229"/>
      <c r="B228" s="1236" t="s">
        <v>497</v>
      </c>
      <c r="C228" s="1183"/>
      <c r="D228" s="409" t="s">
        <v>463</v>
      </c>
      <c r="E228" s="409" t="s">
        <v>456</v>
      </c>
      <c r="F228" s="1864" t="s">
        <v>856</v>
      </c>
      <c r="G228" s="1662" t="s">
        <v>77</v>
      </c>
      <c r="H228" s="1865"/>
      <c r="I228" s="853"/>
      <c r="J228" s="400"/>
      <c r="K228" s="1858">
        <v>130.441</v>
      </c>
      <c r="L228" s="1858"/>
      <c r="M228" s="1858"/>
      <c r="N228" s="1866"/>
      <c r="O228" s="1858"/>
      <c r="P228" s="1858"/>
      <c r="Q228" s="1858"/>
      <c r="R228" s="1858"/>
      <c r="S228" s="1858"/>
      <c r="T228" s="1858"/>
      <c r="U228" s="1865"/>
    </row>
    <row r="229" spans="1:21" ht="21" hidden="1" x14ac:dyDescent="0.25">
      <c r="A229" s="1229"/>
      <c r="B229" s="1203" t="s">
        <v>853</v>
      </c>
      <c r="C229" s="1183"/>
      <c r="D229" s="409" t="s">
        <v>463</v>
      </c>
      <c r="E229" s="409" t="s">
        <v>456</v>
      </c>
      <c r="F229" s="1864" t="s">
        <v>857</v>
      </c>
      <c r="G229" s="1662"/>
      <c r="H229" s="1865">
        <f>H230</f>
        <v>0</v>
      </c>
      <c r="I229" s="853"/>
      <c r="J229" s="400"/>
      <c r="K229" s="1858"/>
      <c r="L229" s="1858"/>
      <c r="M229" s="1858"/>
      <c r="N229" s="1866"/>
      <c r="O229" s="1858"/>
      <c r="P229" s="1858"/>
      <c r="Q229" s="1858"/>
      <c r="R229" s="1858"/>
      <c r="S229" s="1858"/>
      <c r="T229" s="1858"/>
      <c r="U229" s="1865"/>
    </row>
    <row r="230" spans="1:21" hidden="1" x14ac:dyDescent="0.25">
      <c r="A230" s="1229"/>
      <c r="B230" s="1203" t="s">
        <v>850</v>
      </c>
      <c r="C230" s="1183"/>
      <c r="D230" s="409" t="s">
        <v>463</v>
      </c>
      <c r="E230" s="409" t="s">
        <v>456</v>
      </c>
      <c r="F230" s="409" t="s">
        <v>858</v>
      </c>
      <c r="G230" s="1662"/>
      <c r="H230" s="1865">
        <f>H231</f>
        <v>0</v>
      </c>
      <c r="I230" s="853"/>
      <c r="J230" s="400"/>
      <c r="K230" s="1858"/>
      <c r="L230" s="1858"/>
      <c r="M230" s="1858"/>
      <c r="N230" s="1866"/>
      <c r="O230" s="1858"/>
      <c r="P230" s="1858"/>
      <c r="Q230" s="1858"/>
      <c r="R230" s="1858"/>
      <c r="S230" s="1858"/>
      <c r="T230" s="1858"/>
      <c r="U230" s="1865"/>
    </row>
    <row r="231" spans="1:21" ht="31.5" hidden="1" x14ac:dyDescent="0.25">
      <c r="A231" s="1229"/>
      <c r="B231" s="1203" t="s">
        <v>851</v>
      </c>
      <c r="C231" s="1183"/>
      <c r="D231" s="409" t="s">
        <v>463</v>
      </c>
      <c r="E231" s="409" t="s">
        <v>456</v>
      </c>
      <c r="F231" s="1864" t="s">
        <v>859</v>
      </c>
      <c r="G231" s="1662"/>
      <c r="H231" s="1865">
        <f>H232</f>
        <v>0</v>
      </c>
      <c r="I231" s="853"/>
      <c r="J231" s="400"/>
      <c r="K231" s="1858"/>
      <c r="L231" s="1858"/>
      <c r="M231" s="1858"/>
      <c r="N231" s="1866"/>
      <c r="O231" s="1858"/>
      <c r="P231" s="1858"/>
      <c r="Q231" s="1858"/>
      <c r="R231" s="1858"/>
      <c r="S231" s="1858"/>
      <c r="T231" s="1858"/>
      <c r="U231" s="1865"/>
    </row>
    <row r="232" spans="1:21" hidden="1" x14ac:dyDescent="0.25">
      <c r="A232" s="1229"/>
      <c r="B232" s="1236" t="s">
        <v>497</v>
      </c>
      <c r="C232" s="1183"/>
      <c r="D232" s="409" t="s">
        <v>463</v>
      </c>
      <c r="E232" s="409" t="s">
        <v>456</v>
      </c>
      <c r="F232" s="1864" t="s">
        <v>859</v>
      </c>
      <c r="G232" s="1662" t="s">
        <v>77</v>
      </c>
      <c r="H232" s="1865"/>
      <c r="I232" s="853"/>
      <c r="J232" s="400"/>
      <c r="K232" s="1858">
        <v>55.765999999999998</v>
      </c>
      <c r="L232" s="1858"/>
      <c r="M232" s="1858"/>
      <c r="N232" s="1866"/>
      <c r="O232" s="1858"/>
      <c r="P232" s="1858"/>
      <c r="Q232" s="1858"/>
      <c r="R232" s="1858"/>
      <c r="S232" s="1858"/>
      <c r="T232" s="1858"/>
      <c r="U232" s="1865"/>
    </row>
    <row r="233" spans="1:21" ht="22.5" customHeight="1" x14ac:dyDescent="0.25">
      <c r="A233" s="1233"/>
      <c r="B233" s="753" t="s">
        <v>499</v>
      </c>
      <c r="C233" s="1180"/>
      <c r="D233" s="409" t="s">
        <v>463</v>
      </c>
      <c r="E233" s="409" t="s">
        <v>456</v>
      </c>
      <c r="F233" s="409" t="s">
        <v>89</v>
      </c>
      <c r="G233" s="1662"/>
      <c r="H233" s="1682">
        <f t="shared" ref="H233:J234" si="54">H234</f>
        <v>947.01</v>
      </c>
      <c r="I233" s="529">
        <f t="shared" si="54"/>
        <v>0</v>
      </c>
      <c r="J233" s="270">
        <f t="shared" si="54"/>
        <v>0</v>
      </c>
      <c r="K233" s="1858"/>
      <c r="L233" s="1858"/>
      <c r="M233" s="1858"/>
      <c r="N233" s="1200">
        <f t="shared" ref="N233:N234" si="55">N234</f>
        <v>984.89</v>
      </c>
      <c r="O233" s="1858"/>
      <c r="P233" s="1858"/>
      <c r="Q233" s="1858"/>
      <c r="R233" s="1858"/>
      <c r="S233" s="1858"/>
      <c r="T233" s="1858"/>
      <c r="U233" s="1682">
        <f t="shared" ref="U233:U234" si="56">U234</f>
        <v>1024.2860000000001</v>
      </c>
    </row>
    <row r="234" spans="1:21" x14ac:dyDescent="0.25">
      <c r="A234" s="1179"/>
      <c r="B234" s="753" t="s">
        <v>109</v>
      </c>
      <c r="C234" s="1180"/>
      <c r="D234" s="409" t="s">
        <v>463</v>
      </c>
      <c r="E234" s="409" t="s">
        <v>456</v>
      </c>
      <c r="F234" s="409" t="s">
        <v>84</v>
      </c>
      <c r="G234" s="1662"/>
      <c r="H234" s="1682">
        <f t="shared" si="54"/>
        <v>947.01</v>
      </c>
      <c r="I234" s="529">
        <f t="shared" si="54"/>
        <v>0</v>
      </c>
      <c r="J234" s="270">
        <f t="shared" si="54"/>
        <v>0</v>
      </c>
      <c r="K234" s="1858"/>
      <c r="L234" s="1858"/>
      <c r="M234" s="1858"/>
      <c r="N234" s="1200">
        <f t="shared" si="55"/>
        <v>984.89</v>
      </c>
      <c r="O234" s="1858"/>
      <c r="P234" s="1858"/>
      <c r="Q234" s="1858"/>
      <c r="R234" s="1858"/>
      <c r="S234" s="1858"/>
      <c r="T234" s="1858"/>
      <c r="U234" s="1682">
        <f t="shared" si="56"/>
        <v>1024.2860000000001</v>
      </c>
    </row>
    <row r="235" spans="1:21" x14ac:dyDescent="0.25">
      <c r="A235" s="1179"/>
      <c r="B235" s="753" t="s">
        <v>109</v>
      </c>
      <c r="C235" s="1180"/>
      <c r="D235" s="409" t="s">
        <v>463</v>
      </c>
      <c r="E235" s="409" t="s">
        <v>456</v>
      </c>
      <c r="F235" s="409" t="s">
        <v>82</v>
      </c>
      <c r="G235" s="1662"/>
      <c r="H235" s="1682">
        <f>H236+H238+H242+H240</f>
        <v>947.01</v>
      </c>
      <c r="I235" s="529">
        <f>I236+I238+I242</f>
        <v>0</v>
      </c>
      <c r="J235" s="270">
        <f>J236+J238+J242</f>
        <v>0</v>
      </c>
      <c r="K235" s="1858"/>
      <c r="L235" s="1858"/>
      <c r="M235" s="1858"/>
      <c r="N235" s="1200">
        <f>N236+N238+N242</f>
        <v>984.89</v>
      </c>
      <c r="O235" s="1858"/>
      <c r="P235" s="1858"/>
      <c r="Q235" s="1858"/>
      <c r="R235" s="1858"/>
      <c r="S235" s="1858"/>
      <c r="T235" s="1858"/>
      <c r="U235" s="1682">
        <f>U236+U238+U242</f>
        <v>1024.2860000000001</v>
      </c>
    </row>
    <row r="236" spans="1:21" hidden="1" x14ac:dyDescent="0.25">
      <c r="A236" s="842"/>
      <c r="B236" s="753" t="s">
        <v>533</v>
      </c>
      <c r="C236" s="409"/>
      <c r="D236" s="409" t="s">
        <v>463</v>
      </c>
      <c r="E236" s="409" t="s">
        <v>456</v>
      </c>
      <c r="F236" s="409" t="s">
        <v>30</v>
      </c>
      <c r="G236" s="1662"/>
      <c r="H236" s="1682">
        <f>H237</f>
        <v>0</v>
      </c>
      <c r="I236" s="529">
        <f>I237</f>
        <v>0</v>
      </c>
      <c r="J236" s="270">
        <f>J237</f>
        <v>0</v>
      </c>
      <c r="K236" s="1858"/>
      <c r="L236" s="1858"/>
      <c r="M236" s="1858"/>
      <c r="N236" s="1200">
        <f>N237</f>
        <v>0</v>
      </c>
      <c r="O236" s="1858"/>
      <c r="P236" s="1858"/>
      <c r="Q236" s="1858"/>
      <c r="R236" s="1858"/>
      <c r="S236" s="1858"/>
      <c r="T236" s="1858"/>
      <c r="U236" s="1682">
        <f>U237</f>
        <v>0</v>
      </c>
    </row>
    <row r="237" spans="1:21" ht="21" hidden="1" x14ac:dyDescent="0.25">
      <c r="A237" s="1229"/>
      <c r="B237" s="1182" t="s">
        <v>454</v>
      </c>
      <c r="C237" s="409"/>
      <c r="D237" s="1217" t="s">
        <v>463</v>
      </c>
      <c r="E237" s="1217" t="s">
        <v>456</v>
      </c>
      <c r="F237" s="409" t="s">
        <v>30</v>
      </c>
      <c r="G237" s="1662" t="s">
        <v>1</v>
      </c>
      <c r="H237" s="1682">
        <v>0</v>
      </c>
      <c r="I237" s="529"/>
      <c r="J237" s="269"/>
      <c r="K237" s="1858"/>
      <c r="L237" s="1858"/>
      <c r="M237" s="1858"/>
      <c r="N237" s="1200">
        <v>0</v>
      </c>
      <c r="O237" s="1858"/>
      <c r="P237" s="1858"/>
      <c r="Q237" s="1858"/>
      <c r="R237" s="1858"/>
      <c r="S237" s="1858"/>
      <c r="T237" s="1858"/>
      <c r="U237" s="1682">
        <v>0</v>
      </c>
    </row>
    <row r="238" spans="1:21" hidden="1" x14ac:dyDescent="0.25">
      <c r="A238" s="842"/>
      <c r="B238" s="753" t="s">
        <v>532</v>
      </c>
      <c r="C238" s="409"/>
      <c r="D238" s="409" t="s">
        <v>463</v>
      </c>
      <c r="E238" s="409" t="s">
        <v>456</v>
      </c>
      <c r="F238" s="409" t="s">
        <v>531</v>
      </c>
      <c r="G238" s="1662"/>
      <c r="H238" s="1682">
        <f>H239</f>
        <v>0</v>
      </c>
      <c r="I238" s="529">
        <f>I239</f>
        <v>0</v>
      </c>
      <c r="J238" s="269">
        <f>J239</f>
        <v>0</v>
      </c>
      <c r="K238" s="1858"/>
      <c r="L238" s="1858"/>
      <c r="M238" s="1858"/>
      <c r="N238" s="1200">
        <f>N239</f>
        <v>0</v>
      </c>
      <c r="O238" s="1858"/>
      <c r="P238" s="1858"/>
      <c r="Q238" s="1858"/>
      <c r="R238" s="1858"/>
      <c r="S238" s="1858"/>
      <c r="T238" s="1858"/>
      <c r="U238" s="1682">
        <f>U239</f>
        <v>0</v>
      </c>
    </row>
    <row r="239" spans="1:21" ht="21" hidden="1" x14ac:dyDescent="0.25">
      <c r="A239" s="1229"/>
      <c r="B239" s="1182" t="s">
        <v>454</v>
      </c>
      <c r="C239" s="409"/>
      <c r="D239" s="1217" t="s">
        <v>463</v>
      </c>
      <c r="E239" s="1217" t="s">
        <v>456</v>
      </c>
      <c r="F239" s="1217" t="s">
        <v>531</v>
      </c>
      <c r="G239" s="1662" t="s">
        <v>1</v>
      </c>
      <c r="H239" s="1682"/>
      <c r="I239" s="529"/>
      <c r="J239" s="269"/>
      <c r="K239" s="1858"/>
      <c r="L239" s="1858"/>
      <c r="M239" s="1858"/>
      <c r="N239" s="1200"/>
      <c r="O239" s="1858"/>
      <c r="P239" s="1858"/>
      <c r="Q239" s="1858"/>
      <c r="R239" s="1858"/>
      <c r="S239" s="1858"/>
      <c r="T239" s="1858"/>
      <c r="U239" s="1682"/>
    </row>
    <row r="240" spans="1:21" hidden="1" x14ac:dyDescent="0.25">
      <c r="A240" s="1229"/>
      <c r="B240" s="753" t="s">
        <v>1007</v>
      </c>
      <c r="C240" s="409"/>
      <c r="D240" s="409" t="s">
        <v>463</v>
      </c>
      <c r="E240" s="409" t="s">
        <v>456</v>
      </c>
      <c r="F240" s="1217" t="s">
        <v>30</v>
      </c>
      <c r="G240" s="1662"/>
      <c r="H240" s="1682">
        <f>H241</f>
        <v>0</v>
      </c>
      <c r="I240" s="529"/>
      <c r="J240" s="269"/>
      <c r="K240" s="1858"/>
      <c r="L240" s="1858"/>
      <c r="M240" s="1858"/>
      <c r="N240" s="1200"/>
      <c r="O240" s="1858"/>
      <c r="P240" s="1858"/>
      <c r="Q240" s="1858"/>
      <c r="R240" s="1858"/>
      <c r="S240" s="1858"/>
      <c r="T240" s="1858"/>
      <c r="U240" s="1682"/>
    </row>
    <row r="241" spans="1:21" ht="21" hidden="1" x14ac:dyDescent="0.25">
      <c r="A241" s="1229"/>
      <c r="B241" s="1182" t="s">
        <v>454</v>
      </c>
      <c r="C241" s="409"/>
      <c r="D241" s="409" t="s">
        <v>463</v>
      </c>
      <c r="E241" s="409" t="s">
        <v>456</v>
      </c>
      <c r="F241" s="1217" t="s">
        <v>30</v>
      </c>
      <c r="G241" s="1662" t="s">
        <v>1</v>
      </c>
      <c r="H241" s="1682"/>
      <c r="I241" s="529"/>
      <c r="J241" s="269"/>
      <c r="K241" s="1858"/>
      <c r="L241" s="1858"/>
      <c r="M241" s="1858"/>
      <c r="N241" s="1200"/>
      <c r="O241" s="1858"/>
      <c r="P241" s="1858"/>
      <c r="Q241" s="1858"/>
      <c r="R241" s="1858"/>
      <c r="S241" s="1858"/>
      <c r="T241" s="1858"/>
      <c r="U241" s="1682"/>
    </row>
    <row r="242" spans="1:21" x14ac:dyDescent="0.25">
      <c r="A242" s="842"/>
      <c r="B242" s="753" t="s">
        <v>12</v>
      </c>
      <c r="C242" s="409"/>
      <c r="D242" s="409" t="s">
        <v>463</v>
      </c>
      <c r="E242" s="409" t="s">
        <v>456</v>
      </c>
      <c r="F242" s="409" t="s">
        <v>10</v>
      </c>
      <c r="G242" s="1662"/>
      <c r="H242" s="1682">
        <f>H244</f>
        <v>947.01</v>
      </c>
      <c r="I242" s="529">
        <f>I244</f>
        <v>0</v>
      </c>
      <c r="J242" s="269">
        <f>J244</f>
        <v>0</v>
      </c>
      <c r="K242" s="1858"/>
      <c r="L242" s="1858"/>
      <c r="M242" s="1858"/>
      <c r="N242" s="1200">
        <f>N244</f>
        <v>984.89</v>
      </c>
      <c r="O242" s="1858"/>
      <c r="P242" s="1858"/>
      <c r="Q242" s="1858"/>
      <c r="R242" s="1858"/>
      <c r="S242" s="1858"/>
      <c r="T242" s="1858"/>
      <c r="U242" s="1682">
        <f>U244</f>
        <v>1024.2860000000001</v>
      </c>
    </row>
    <row r="243" spans="1:21" x14ac:dyDescent="0.25">
      <c r="A243" s="842"/>
      <c r="B243" s="753" t="s">
        <v>948</v>
      </c>
      <c r="C243" s="409"/>
      <c r="D243" s="1217" t="s">
        <v>463</v>
      </c>
      <c r="E243" s="1217" t="s">
        <v>456</v>
      </c>
      <c r="F243" s="1217" t="s">
        <v>10</v>
      </c>
      <c r="G243" s="1662" t="s">
        <v>955</v>
      </c>
      <c r="H243" s="1682">
        <f t="shared" ref="H243:U243" si="57">H244</f>
        <v>947.01</v>
      </c>
      <c r="I243" s="529">
        <f t="shared" si="57"/>
        <v>0</v>
      </c>
      <c r="J243" s="269">
        <f t="shared" si="57"/>
        <v>0</v>
      </c>
      <c r="K243" s="1858">
        <f t="shared" si="57"/>
        <v>0</v>
      </c>
      <c r="L243" s="1858">
        <f t="shared" si="57"/>
        <v>0</v>
      </c>
      <c r="M243" s="1858">
        <f t="shared" si="57"/>
        <v>0</v>
      </c>
      <c r="N243" s="1200">
        <f t="shared" si="57"/>
        <v>984.89</v>
      </c>
      <c r="O243" s="1858">
        <f t="shared" si="57"/>
        <v>0</v>
      </c>
      <c r="P243" s="1858">
        <f t="shared" si="57"/>
        <v>0</v>
      </c>
      <c r="Q243" s="1858">
        <f t="shared" si="57"/>
        <v>0</v>
      </c>
      <c r="R243" s="1858">
        <f t="shared" si="57"/>
        <v>0</v>
      </c>
      <c r="S243" s="1858">
        <f t="shared" si="57"/>
        <v>0</v>
      </c>
      <c r="T243" s="1858">
        <f t="shared" si="57"/>
        <v>0</v>
      </c>
      <c r="U243" s="1682">
        <f t="shared" si="57"/>
        <v>1024.2860000000001</v>
      </c>
    </row>
    <row r="244" spans="1:21" ht="21" x14ac:dyDescent="0.25">
      <c r="A244" s="1229"/>
      <c r="B244" s="1182" t="s">
        <v>454</v>
      </c>
      <c r="C244" s="409"/>
      <c r="D244" s="1217" t="s">
        <v>463</v>
      </c>
      <c r="E244" s="1217" t="s">
        <v>456</v>
      </c>
      <c r="F244" s="1217" t="s">
        <v>10</v>
      </c>
      <c r="G244" s="1662" t="s">
        <v>1</v>
      </c>
      <c r="H244" s="1682">
        <v>947.01</v>
      </c>
      <c r="I244" s="529"/>
      <c r="J244" s="269"/>
      <c r="K244" s="1862"/>
      <c r="L244" s="1858"/>
      <c r="M244" s="1858"/>
      <c r="N244" s="1200">
        <v>984.89</v>
      </c>
      <c r="O244" s="1858"/>
      <c r="P244" s="1858"/>
      <c r="Q244" s="1858"/>
      <c r="R244" s="1858"/>
      <c r="S244" s="1858"/>
      <c r="T244" s="1858"/>
      <c r="U244" s="1682">
        <v>1024.2860000000001</v>
      </c>
    </row>
    <row r="245" spans="1:21" x14ac:dyDescent="0.25">
      <c r="A245" s="1234"/>
      <c r="B245" s="1225" t="s">
        <v>530</v>
      </c>
      <c r="C245" s="1227"/>
      <c r="D245" s="1227" t="s">
        <v>463</v>
      </c>
      <c r="E245" s="1227" t="s">
        <v>488</v>
      </c>
      <c r="F245" s="1227"/>
      <c r="G245" s="1665"/>
      <c r="H245" s="1684">
        <f>H250+H253+H258+H266+H284+H260+H257</f>
        <v>2204.4259999999999</v>
      </c>
      <c r="I245" s="853">
        <f>I246+I254+I267</f>
        <v>3670.8</v>
      </c>
      <c r="J245" s="400">
        <f>J246+J254+J267</f>
        <v>4037.88</v>
      </c>
      <c r="K245" s="1858"/>
      <c r="L245" s="1858"/>
      <c r="M245" s="1858"/>
      <c r="N245" s="1228">
        <f>N246+N254</f>
        <v>3400</v>
      </c>
      <c r="O245" s="1858"/>
      <c r="P245" s="1858"/>
      <c r="Q245" s="1858"/>
      <c r="R245" s="1858"/>
      <c r="S245" s="1858"/>
      <c r="T245" s="1858"/>
      <c r="U245" s="1684">
        <f>U246+U254</f>
        <v>3400</v>
      </c>
    </row>
    <row r="246" spans="1:21" ht="21" x14ac:dyDescent="0.25">
      <c r="A246" s="1234"/>
      <c r="B246" s="1238" t="s">
        <v>884</v>
      </c>
      <c r="C246" s="409"/>
      <c r="D246" s="409" t="s">
        <v>463</v>
      </c>
      <c r="E246" s="409" t="s">
        <v>488</v>
      </c>
      <c r="F246" s="409" t="s">
        <v>196</v>
      </c>
      <c r="G246" s="1662"/>
      <c r="H246" s="1682">
        <f>H247</f>
        <v>704.42599999999993</v>
      </c>
      <c r="I246" s="529">
        <f t="shared" ref="I246:J247" si="58">I247</f>
        <v>0</v>
      </c>
      <c r="J246" s="270">
        <f t="shared" si="58"/>
        <v>0</v>
      </c>
      <c r="K246" s="1862">
        <f>K250</f>
        <v>0</v>
      </c>
      <c r="L246" s="1858"/>
      <c r="M246" s="1858"/>
      <c r="N246" s="1200">
        <f>N250+N253</f>
        <v>2000</v>
      </c>
      <c r="O246" s="1858"/>
      <c r="P246" s="1858"/>
      <c r="Q246" s="1858"/>
      <c r="R246" s="1858"/>
      <c r="S246" s="1858"/>
      <c r="T246" s="1858"/>
      <c r="U246" s="1682">
        <f t="shared" ref="U246" si="59">U247</f>
        <v>2000</v>
      </c>
    </row>
    <row r="247" spans="1:21" x14ac:dyDescent="0.25">
      <c r="A247" s="1234"/>
      <c r="B247" s="1203" t="s">
        <v>195</v>
      </c>
      <c r="C247" s="409"/>
      <c r="D247" s="1217" t="s">
        <v>463</v>
      </c>
      <c r="E247" s="1217" t="s">
        <v>488</v>
      </c>
      <c r="F247" s="409" t="s">
        <v>194</v>
      </c>
      <c r="G247" s="1662"/>
      <c r="H247" s="1682">
        <f>H248+H253</f>
        <v>704.42599999999993</v>
      </c>
      <c r="I247" s="529">
        <f t="shared" si="58"/>
        <v>0</v>
      </c>
      <c r="J247" s="270">
        <f t="shared" si="58"/>
        <v>0</v>
      </c>
      <c r="K247" s="1858"/>
      <c r="L247" s="1858"/>
      <c r="M247" s="1858"/>
      <c r="N247" s="1200">
        <f t="shared" ref="N247" si="60">N248</f>
        <v>400</v>
      </c>
      <c r="O247" s="1858"/>
      <c r="P247" s="1858"/>
      <c r="Q247" s="1858"/>
      <c r="R247" s="1858"/>
      <c r="S247" s="1858"/>
      <c r="T247" s="1858"/>
      <c r="U247" s="1682">
        <f>U248+U253</f>
        <v>2000</v>
      </c>
    </row>
    <row r="248" spans="1:21" ht="21" x14ac:dyDescent="0.25">
      <c r="A248" s="1234"/>
      <c r="B248" s="1239" t="s">
        <v>193</v>
      </c>
      <c r="C248" s="1217"/>
      <c r="D248" s="1217" t="s">
        <v>463</v>
      </c>
      <c r="E248" s="1217" t="s">
        <v>488</v>
      </c>
      <c r="F248" s="1217" t="s">
        <v>191</v>
      </c>
      <c r="G248" s="1664"/>
      <c r="H248" s="1682">
        <f>H250</f>
        <v>400</v>
      </c>
      <c r="I248" s="529">
        <f>I250</f>
        <v>0</v>
      </c>
      <c r="J248" s="270">
        <f>J250</f>
        <v>0</v>
      </c>
      <c r="K248" s="1858"/>
      <c r="L248" s="1858"/>
      <c r="M248" s="1858"/>
      <c r="N248" s="1200">
        <f>N250</f>
        <v>400</v>
      </c>
      <c r="O248" s="1858"/>
      <c r="P248" s="1858"/>
      <c r="Q248" s="1858"/>
      <c r="R248" s="1858"/>
      <c r="S248" s="1858"/>
      <c r="T248" s="1858"/>
      <c r="U248" s="1682">
        <f>U250</f>
        <v>400</v>
      </c>
    </row>
    <row r="249" spans="1:21" x14ac:dyDescent="0.25">
      <c r="A249" s="1234"/>
      <c r="B249" s="753" t="s">
        <v>948</v>
      </c>
      <c r="C249" s="1217"/>
      <c r="D249" s="1217" t="s">
        <v>463</v>
      </c>
      <c r="E249" s="1217" t="s">
        <v>488</v>
      </c>
      <c r="F249" s="1217" t="s">
        <v>191</v>
      </c>
      <c r="G249" s="1664" t="s">
        <v>955</v>
      </c>
      <c r="H249" s="1682">
        <f t="shared" ref="H249:U249" si="61">H250</f>
        <v>400</v>
      </c>
      <c r="I249" s="529">
        <f t="shared" si="61"/>
        <v>0</v>
      </c>
      <c r="J249" s="404">
        <f t="shared" si="61"/>
        <v>0</v>
      </c>
      <c r="K249" s="1858">
        <f t="shared" si="61"/>
        <v>0</v>
      </c>
      <c r="L249" s="1858">
        <f t="shared" si="61"/>
        <v>0</v>
      </c>
      <c r="M249" s="1858">
        <f t="shared" si="61"/>
        <v>0</v>
      </c>
      <c r="N249" s="1200">
        <f t="shared" si="61"/>
        <v>400</v>
      </c>
      <c r="O249" s="1858">
        <f t="shared" si="61"/>
        <v>0</v>
      </c>
      <c r="P249" s="1858">
        <f t="shared" si="61"/>
        <v>0</v>
      </c>
      <c r="Q249" s="1858">
        <f t="shared" si="61"/>
        <v>0</v>
      </c>
      <c r="R249" s="1858">
        <f t="shared" si="61"/>
        <v>0</v>
      </c>
      <c r="S249" s="1858">
        <f t="shared" si="61"/>
        <v>0</v>
      </c>
      <c r="T249" s="1858">
        <f t="shared" si="61"/>
        <v>0</v>
      </c>
      <c r="U249" s="1682">
        <f t="shared" si="61"/>
        <v>400</v>
      </c>
    </row>
    <row r="250" spans="1:21" ht="21" x14ac:dyDescent="0.25">
      <c r="A250" s="1234"/>
      <c r="B250" s="1182" t="s">
        <v>454</v>
      </c>
      <c r="C250" s="409"/>
      <c r="D250" s="1217" t="s">
        <v>463</v>
      </c>
      <c r="E250" s="1217" t="s">
        <v>488</v>
      </c>
      <c r="F250" s="1217" t="s">
        <v>191</v>
      </c>
      <c r="G250" s="1662" t="s">
        <v>1</v>
      </c>
      <c r="H250" s="1682">
        <v>400</v>
      </c>
      <c r="I250" s="529"/>
      <c r="J250" s="269"/>
      <c r="K250" s="1858"/>
      <c r="L250" s="1858"/>
      <c r="M250" s="1858"/>
      <c r="N250" s="1200">
        <v>400</v>
      </c>
      <c r="O250" s="1858"/>
      <c r="P250" s="1858"/>
      <c r="Q250" s="1858"/>
      <c r="R250" s="1858"/>
      <c r="S250" s="1858"/>
      <c r="T250" s="1858"/>
      <c r="U250" s="1682">
        <v>400</v>
      </c>
    </row>
    <row r="251" spans="1:21" ht="21.65" customHeight="1" x14ac:dyDescent="0.25">
      <c r="A251" s="1234"/>
      <c r="B251" s="1242" t="s">
        <v>193</v>
      </c>
      <c r="C251" s="409"/>
      <c r="D251" s="1217" t="s">
        <v>463</v>
      </c>
      <c r="E251" s="1217" t="s">
        <v>488</v>
      </c>
      <c r="F251" s="1217" t="s">
        <v>1008</v>
      </c>
      <c r="G251" s="1662"/>
      <c r="H251" s="1682">
        <f>H253</f>
        <v>304.42599999999999</v>
      </c>
      <c r="I251" s="529"/>
      <c r="J251" s="404"/>
      <c r="K251" s="1858"/>
      <c r="L251" s="1858"/>
      <c r="M251" s="1858"/>
      <c r="N251" s="1200">
        <f>N253</f>
        <v>1600</v>
      </c>
      <c r="O251" s="1858"/>
      <c r="P251" s="1858"/>
      <c r="Q251" s="1858"/>
      <c r="R251" s="1858"/>
      <c r="S251" s="1858"/>
      <c r="T251" s="1858"/>
      <c r="U251" s="1682">
        <f>U253</f>
        <v>1600</v>
      </c>
    </row>
    <row r="252" spans="1:21" ht="14.5" customHeight="1" x14ac:dyDescent="0.25">
      <c r="A252" s="1234"/>
      <c r="B252" s="1242" t="s">
        <v>1061</v>
      </c>
      <c r="C252" s="409"/>
      <c r="D252" s="1217" t="s">
        <v>463</v>
      </c>
      <c r="E252" s="1217" t="s">
        <v>488</v>
      </c>
      <c r="F252" s="1217" t="s">
        <v>1008</v>
      </c>
      <c r="G252" s="1662" t="s">
        <v>1060</v>
      </c>
      <c r="H252" s="1682">
        <f t="shared" ref="H252:U252" si="62">H253</f>
        <v>304.42599999999999</v>
      </c>
      <c r="I252" s="529">
        <f t="shared" si="62"/>
        <v>0</v>
      </c>
      <c r="J252" s="404">
        <f t="shared" si="62"/>
        <v>0</v>
      </c>
      <c r="K252" s="1858">
        <f t="shared" si="62"/>
        <v>0</v>
      </c>
      <c r="L252" s="1858">
        <f t="shared" si="62"/>
        <v>0</v>
      </c>
      <c r="M252" s="1858">
        <f t="shared" si="62"/>
        <v>0</v>
      </c>
      <c r="N252" s="1200">
        <f t="shared" si="62"/>
        <v>1600</v>
      </c>
      <c r="O252" s="1858">
        <f t="shared" si="62"/>
        <v>0</v>
      </c>
      <c r="P252" s="1858">
        <f t="shared" si="62"/>
        <v>0</v>
      </c>
      <c r="Q252" s="1858">
        <f t="shared" si="62"/>
        <v>0</v>
      </c>
      <c r="R252" s="1858">
        <f t="shared" si="62"/>
        <v>0</v>
      </c>
      <c r="S252" s="1858">
        <f t="shared" si="62"/>
        <v>0</v>
      </c>
      <c r="T252" s="1858">
        <f t="shared" si="62"/>
        <v>0</v>
      </c>
      <c r="U252" s="1682">
        <f t="shared" si="62"/>
        <v>1600</v>
      </c>
    </row>
    <row r="253" spans="1:21" x14ac:dyDescent="0.25">
      <c r="A253" s="1234"/>
      <c r="B253" s="1182" t="s">
        <v>481</v>
      </c>
      <c r="C253" s="409"/>
      <c r="D253" s="1217" t="s">
        <v>463</v>
      </c>
      <c r="E253" s="1217" t="s">
        <v>488</v>
      </c>
      <c r="F253" s="1217" t="s">
        <v>1008</v>
      </c>
      <c r="G253" s="1662" t="s">
        <v>26</v>
      </c>
      <c r="H253" s="1682">
        <v>304.42599999999999</v>
      </c>
      <c r="I253" s="529"/>
      <c r="J253" s="404"/>
      <c r="K253" s="1858"/>
      <c r="L253" s="1858"/>
      <c r="M253" s="1858"/>
      <c r="N253" s="1200">
        <v>1600</v>
      </c>
      <c r="O253" s="1858"/>
      <c r="P253" s="1858"/>
      <c r="Q253" s="1858"/>
      <c r="R253" s="1858"/>
      <c r="S253" s="1858"/>
      <c r="T253" s="1858"/>
      <c r="U253" s="1682">
        <f>2100-500</f>
        <v>1600</v>
      </c>
    </row>
    <row r="254" spans="1:21" ht="45.65" customHeight="1" x14ac:dyDescent="0.25">
      <c r="A254" s="1179"/>
      <c r="B254" s="1203" t="s">
        <v>928</v>
      </c>
      <c r="C254" s="409"/>
      <c r="D254" s="409" t="s">
        <v>463</v>
      </c>
      <c r="E254" s="409" t="s">
        <v>488</v>
      </c>
      <c r="F254" s="409" t="s">
        <v>181</v>
      </c>
      <c r="G254" s="1662"/>
      <c r="H254" s="1682">
        <f>H258+H266+H260+H257</f>
        <v>1500</v>
      </c>
      <c r="I254" s="529">
        <f>I255</f>
        <v>3670.8</v>
      </c>
      <c r="J254" s="270">
        <f>J255</f>
        <v>4037.88</v>
      </c>
      <c r="K254" s="1858"/>
      <c r="L254" s="1858"/>
      <c r="M254" s="1858"/>
      <c r="N254" s="1200">
        <f>N264+N266</f>
        <v>1400</v>
      </c>
      <c r="O254" s="1858"/>
      <c r="P254" s="1858"/>
      <c r="Q254" s="1858"/>
      <c r="R254" s="1858"/>
      <c r="S254" s="1858"/>
      <c r="T254" s="1858"/>
      <c r="U254" s="1682">
        <f>U264+U266</f>
        <v>1400</v>
      </c>
    </row>
    <row r="255" spans="1:21" ht="21" hidden="1" x14ac:dyDescent="0.25">
      <c r="A255" s="1240"/>
      <c r="B255" s="1197" t="s">
        <v>180</v>
      </c>
      <c r="C255" s="1217"/>
      <c r="D255" s="1217" t="s">
        <v>463</v>
      </c>
      <c r="E255" s="1217" t="s">
        <v>488</v>
      </c>
      <c r="F255" s="1217" t="s">
        <v>179</v>
      </c>
      <c r="G255" s="1664"/>
      <c r="H255" s="1682">
        <f>H256</f>
        <v>0</v>
      </c>
      <c r="I255" s="529">
        <f>I256</f>
        <v>3670.8</v>
      </c>
      <c r="J255" s="270">
        <f>J256</f>
        <v>4037.88</v>
      </c>
      <c r="K255" s="1862">
        <f>K258</f>
        <v>7000</v>
      </c>
      <c r="L255" s="1858"/>
      <c r="M255" s="1858"/>
      <c r="N255" s="1200">
        <f>N256</f>
        <v>0</v>
      </c>
      <c r="O255" s="1858"/>
      <c r="P255" s="1858"/>
      <c r="Q255" s="1858"/>
      <c r="R255" s="1858"/>
      <c r="S255" s="1858"/>
      <c r="T255" s="1858"/>
      <c r="U255" s="1682">
        <f>U256</f>
        <v>0</v>
      </c>
    </row>
    <row r="256" spans="1:21" ht="30" hidden="1" customHeight="1" x14ac:dyDescent="0.25">
      <c r="A256" s="1240"/>
      <c r="B256" s="1197" t="s">
        <v>23</v>
      </c>
      <c r="C256" s="1217"/>
      <c r="D256" s="1217" t="s">
        <v>463</v>
      </c>
      <c r="E256" s="1217" t="s">
        <v>488</v>
      </c>
      <c r="F256" s="1217" t="s">
        <v>178</v>
      </c>
      <c r="G256" s="1664"/>
      <c r="H256" s="1682">
        <f>H257</f>
        <v>0</v>
      </c>
      <c r="I256" s="529">
        <f>I258+I259</f>
        <v>3670.8</v>
      </c>
      <c r="J256" s="270">
        <f>J258+J259</f>
        <v>4037.88</v>
      </c>
      <c r="K256" s="1858"/>
      <c r="L256" s="1858"/>
      <c r="M256" s="1858"/>
      <c r="N256" s="1200">
        <f>N258+N259</f>
        <v>0</v>
      </c>
      <c r="O256" s="1858"/>
      <c r="P256" s="1858"/>
      <c r="Q256" s="1858"/>
      <c r="R256" s="1858"/>
      <c r="S256" s="1858"/>
      <c r="T256" s="1858"/>
      <c r="U256" s="1682">
        <f>U258+U259</f>
        <v>0</v>
      </c>
    </row>
    <row r="257" spans="1:21" ht="30" hidden="1" customHeight="1" x14ac:dyDescent="0.25">
      <c r="A257" s="1240"/>
      <c r="B257" s="1182" t="s">
        <v>454</v>
      </c>
      <c r="C257" s="409"/>
      <c r="D257" s="1217" t="s">
        <v>463</v>
      </c>
      <c r="E257" s="1217" t="s">
        <v>488</v>
      </c>
      <c r="F257" s="1217" t="s">
        <v>178</v>
      </c>
      <c r="G257" s="1662" t="s">
        <v>1</v>
      </c>
      <c r="H257" s="1682"/>
      <c r="I257" s="529"/>
      <c r="J257" s="404"/>
      <c r="K257" s="1858"/>
      <c r="L257" s="1858"/>
      <c r="M257" s="1858"/>
      <c r="N257" s="1200"/>
      <c r="O257" s="1858"/>
      <c r="P257" s="1858"/>
      <c r="Q257" s="1858"/>
      <c r="R257" s="1858"/>
      <c r="S257" s="1858"/>
      <c r="T257" s="1858"/>
      <c r="U257" s="1682"/>
    </row>
    <row r="258" spans="1:21" hidden="1" x14ac:dyDescent="0.25">
      <c r="A258" s="1229"/>
      <c r="B258" s="1182" t="s">
        <v>481</v>
      </c>
      <c r="C258" s="1217"/>
      <c r="D258" s="1217" t="s">
        <v>463</v>
      </c>
      <c r="E258" s="1217" t="s">
        <v>488</v>
      </c>
      <c r="F258" s="1217" t="s">
        <v>178</v>
      </c>
      <c r="G258" s="1662" t="s">
        <v>26</v>
      </c>
      <c r="H258" s="1867">
        <f>200.001-75.7-124.301</f>
        <v>0</v>
      </c>
      <c r="I258" s="529">
        <v>3670.8</v>
      </c>
      <c r="J258" s="269">
        <v>4037.88</v>
      </c>
      <c r="K258" s="1858">
        <v>7000</v>
      </c>
      <c r="L258" s="1858"/>
      <c r="M258" s="1858"/>
      <c r="N258" s="1200"/>
      <c r="O258" s="1858"/>
      <c r="P258" s="1858"/>
      <c r="Q258" s="1858"/>
      <c r="R258" s="1858"/>
      <c r="S258" s="1858"/>
      <c r="T258" s="1858"/>
      <c r="U258" s="1682"/>
    </row>
    <row r="259" spans="1:21" hidden="1" x14ac:dyDescent="0.25">
      <c r="A259" s="1229"/>
      <c r="B259" s="753" t="s">
        <v>528</v>
      </c>
      <c r="C259" s="1217"/>
      <c r="D259" s="1217" t="s">
        <v>463</v>
      </c>
      <c r="E259" s="1217" t="s">
        <v>488</v>
      </c>
      <c r="F259" s="1217" t="s">
        <v>527</v>
      </c>
      <c r="G259" s="1664"/>
      <c r="H259" s="1682">
        <f>H260</f>
        <v>0</v>
      </c>
      <c r="I259" s="529">
        <f>I260</f>
        <v>0</v>
      </c>
      <c r="J259" s="269">
        <f>J260</f>
        <v>0</v>
      </c>
      <c r="K259" s="1858"/>
      <c r="L259" s="1858"/>
      <c r="M259" s="1858"/>
      <c r="N259" s="1200">
        <f>N260</f>
        <v>0</v>
      </c>
      <c r="O259" s="1858"/>
      <c r="P259" s="1858"/>
      <c r="Q259" s="1858"/>
      <c r="R259" s="1858"/>
      <c r="S259" s="1858"/>
      <c r="T259" s="1858"/>
      <c r="U259" s="1682">
        <f>U260</f>
        <v>0</v>
      </c>
    </row>
    <row r="260" spans="1:21" ht="21" hidden="1" x14ac:dyDescent="0.25">
      <c r="A260" s="1229"/>
      <c r="B260" s="1182" t="s">
        <v>454</v>
      </c>
      <c r="C260" s="409"/>
      <c r="D260" s="1217" t="s">
        <v>463</v>
      </c>
      <c r="E260" s="1217" t="s">
        <v>488</v>
      </c>
      <c r="F260" s="1217" t="s">
        <v>178</v>
      </c>
      <c r="G260" s="1662" t="s">
        <v>1</v>
      </c>
      <c r="H260" s="1682"/>
      <c r="I260" s="529"/>
      <c r="J260" s="269"/>
      <c r="K260" s="1858"/>
      <c r="L260" s="1858"/>
      <c r="M260" s="1858"/>
      <c r="N260" s="1200"/>
      <c r="O260" s="1858"/>
      <c r="P260" s="1858"/>
      <c r="Q260" s="1858"/>
      <c r="R260" s="1858"/>
      <c r="S260" s="1858"/>
      <c r="T260" s="1858"/>
      <c r="U260" s="1682"/>
    </row>
    <row r="261" spans="1:21" ht="21" x14ac:dyDescent="0.25">
      <c r="A261" s="1229"/>
      <c r="B261" s="1197" t="s">
        <v>1009</v>
      </c>
      <c r="C261" s="409"/>
      <c r="D261" s="1217" t="s">
        <v>463</v>
      </c>
      <c r="E261" s="1217" t="s">
        <v>488</v>
      </c>
      <c r="F261" s="1217" t="s">
        <v>1010</v>
      </c>
      <c r="G261" s="1662"/>
      <c r="H261" s="1682">
        <f>H262</f>
        <v>1500</v>
      </c>
      <c r="I261" s="529"/>
      <c r="J261" s="404"/>
      <c r="K261" s="1858"/>
      <c r="L261" s="1858"/>
      <c r="M261" s="1858"/>
      <c r="N261" s="1200">
        <f>N262</f>
        <v>1400</v>
      </c>
      <c r="O261" s="1858"/>
      <c r="P261" s="1858"/>
      <c r="Q261" s="1858"/>
      <c r="R261" s="1858"/>
      <c r="S261" s="1858"/>
      <c r="T261" s="1858"/>
      <c r="U261" s="1682">
        <f>U262</f>
        <v>1400</v>
      </c>
    </row>
    <row r="262" spans="1:21" ht="21" customHeight="1" x14ac:dyDescent="0.25">
      <c r="A262" s="1229"/>
      <c r="B262" s="1868" t="s">
        <v>1011</v>
      </c>
      <c r="C262" s="409"/>
      <c r="D262" s="1217" t="s">
        <v>463</v>
      </c>
      <c r="E262" s="1217" t="s">
        <v>488</v>
      </c>
      <c r="F262" s="1231" t="s">
        <v>1012</v>
      </c>
      <c r="G262" s="1662"/>
      <c r="H262" s="1682">
        <f>H266+H264</f>
        <v>1500</v>
      </c>
      <c r="I262" s="529"/>
      <c r="J262" s="404"/>
      <c r="K262" s="1858"/>
      <c r="L262" s="1858"/>
      <c r="M262" s="1858"/>
      <c r="N262" s="1200">
        <f>N266+N264</f>
        <v>1400</v>
      </c>
      <c r="O262" s="1858"/>
      <c r="P262" s="1858"/>
      <c r="Q262" s="1858"/>
      <c r="R262" s="1858"/>
      <c r="S262" s="1858"/>
      <c r="T262" s="1858"/>
      <c r="U262" s="1682">
        <f>U266+U264</f>
        <v>1400</v>
      </c>
    </row>
    <row r="263" spans="1:21" ht="21" customHeight="1" x14ac:dyDescent="0.25">
      <c r="A263" s="1229"/>
      <c r="B263" s="753" t="s">
        <v>948</v>
      </c>
      <c r="C263" s="409"/>
      <c r="D263" s="1217" t="s">
        <v>463</v>
      </c>
      <c r="E263" s="1217" t="s">
        <v>488</v>
      </c>
      <c r="F263" s="1231" t="s">
        <v>1012</v>
      </c>
      <c r="G263" s="1662" t="s">
        <v>955</v>
      </c>
      <c r="H263" s="1682">
        <f t="shared" ref="H263:U263" si="63">H264</f>
        <v>0</v>
      </c>
      <c r="I263" s="529">
        <f t="shared" si="63"/>
        <v>0</v>
      </c>
      <c r="J263" s="404">
        <f t="shared" si="63"/>
        <v>0</v>
      </c>
      <c r="K263" s="1858">
        <f t="shared" si="63"/>
        <v>0</v>
      </c>
      <c r="L263" s="1858">
        <f t="shared" si="63"/>
        <v>0</v>
      </c>
      <c r="M263" s="1858">
        <f t="shared" si="63"/>
        <v>0</v>
      </c>
      <c r="N263" s="1200">
        <f t="shared" si="63"/>
        <v>400</v>
      </c>
      <c r="O263" s="1858">
        <f t="shared" si="63"/>
        <v>0</v>
      </c>
      <c r="P263" s="1858">
        <f t="shared" si="63"/>
        <v>0</v>
      </c>
      <c r="Q263" s="1858">
        <f t="shared" si="63"/>
        <v>0</v>
      </c>
      <c r="R263" s="1858">
        <f t="shared" si="63"/>
        <v>0</v>
      </c>
      <c r="S263" s="1858">
        <f t="shared" si="63"/>
        <v>0</v>
      </c>
      <c r="T263" s="1858">
        <f t="shared" si="63"/>
        <v>0</v>
      </c>
      <c r="U263" s="1682">
        <f t="shared" si="63"/>
        <v>400</v>
      </c>
    </row>
    <row r="264" spans="1:21" ht="21" customHeight="1" x14ac:dyDescent="0.25">
      <c r="A264" s="1229"/>
      <c r="B264" s="1182" t="s">
        <v>454</v>
      </c>
      <c r="C264" s="409"/>
      <c r="D264" s="1217" t="s">
        <v>463</v>
      </c>
      <c r="E264" s="1217" t="s">
        <v>488</v>
      </c>
      <c r="F264" s="1231" t="s">
        <v>1012</v>
      </c>
      <c r="G264" s="1662" t="s">
        <v>1</v>
      </c>
      <c r="H264" s="1682">
        <v>0</v>
      </c>
      <c r="I264" s="529"/>
      <c r="J264" s="404"/>
      <c r="K264" s="1858"/>
      <c r="L264" s="1858"/>
      <c r="M264" s="1858"/>
      <c r="N264" s="1200">
        <v>400</v>
      </c>
      <c r="O264" s="1858"/>
      <c r="P264" s="1858"/>
      <c r="Q264" s="1858"/>
      <c r="R264" s="1858"/>
      <c r="S264" s="1858"/>
      <c r="T264" s="1858"/>
      <c r="U264" s="1682">
        <v>400</v>
      </c>
    </row>
    <row r="265" spans="1:21" ht="21" customHeight="1" x14ac:dyDescent="0.25">
      <c r="A265" s="1229"/>
      <c r="B265" s="1182" t="s">
        <v>1068</v>
      </c>
      <c r="C265" s="409"/>
      <c r="D265" s="1217" t="s">
        <v>463</v>
      </c>
      <c r="E265" s="1217" t="s">
        <v>488</v>
      </c>
      <c r="F265" s="1231" t="s">
        <v>1012</v>
      </c>
      <c r="G265" s="1662" t="s">
        <v>1064</v>
      </c>
      <c r="H265" s="1682">
        <f t="shared" ref="H265:U265" si="64">H266</f>
        <v>1500</v>
      </c>
      <c r="I265" s="529">
        <f t="shared" si="64"/>
        <v>0</v>
      </c>
      <c r="J265" s="404">
        <f t="shared" si="64"/>
        <v>0</v>
      </c>
      <c r="K265" s="1858">
        <f t="shared" si="64"/>
        <v>0</v>
      </c>
      <c r="L265" s="1858">
        <f t="shared" si="64"/>
        <v>0</v>
      </c>
      <c r="M265" s="1858">
        <f t="shared" si="64"/>
        <v>0</v>
      </c>
      <c r="N265" s="1200">
        <f t="shared" si="64"/>
        <v>1000</v>
      </c>
      <c r="O265" s="1858">
        <f t="shared" si="64"/>
        <v>0</v>
      </c>
      <c r="P265" s="1858">
        <f t="shared" si="64"/>
        <v>0</v>
      </c>
      <c r="Q265" s="1858">
        <f t="shared" si="64"/>
        <v>0</v>
      </c>
      <c r="R265" s="1858">
        <f t="shared" si="64"/>
        <v>0</v>
      </c>
      <c r="S265" s="1858">
        <f t="shared" si="64"/>
        <v>0</v>
      </c>
      <c r="T265" s="1858">
        <f t="shared" si="64"/>
        <v>0</v>
      </c>
      <c r="U265" s="1682">
        <f t="shared" si="64"/>
        <v>1000</v>
      </c>
    </row>
    <row r="266" spans="1:21" ht="21" x14ac:dyDescent="0.25">
      <c r="A266" s="1229"/>
      <c r="B266" s="1182" t="s">
        <v>523</v>
      </c>
      <c r="C266" s="409"/>
      <c r="D266" s="1217" t="s">
        <v>463</v>
      </c>
      <c r="E266" s="1217" t="s">
        <v>488</v>
      </c>
      <c r="F266" s="1231" t="s">
        <v>1012</v>
      </c>
      <c r="G266" s="1662" t="s">
        <v>521</v>
      </c>
      <c r="H266" s="1682">
        <v>1500</v>
      </c>
      <c r="I266" s="529"/>
      <c r="J266" s="404"/>
      <c r="K266" s="1858"/>
      <c r="L266" s="1858"/>
      <c r="M266" s="1858"/>
      <c r="N266" s="1200">
        <v>1000</v>
      </c>
      <c r="O266" s="1858"/>
      <c r="P266" s="1858"/>
      <c r="Q266" s="1858"/>
      <c r="R266" s="1858"/>
      <c r="S266" s="1858"/>
      <c r="T266" s="1858"/>
      <c r="U266" s="1682">
        <v>1000</v>
      </c>
    </row>
    <row r="267" spans="1:21" ht="27.75" hidden="1" customHeight="1" x14ac:dyDescent="0.25">
      <c r="A267" s="1240"/>
      <c r="B267" s="753" t="s">
        <v>499</v>
      </c>
      <c r="C267" s="1217"/>
      <c r="D267" s="1217" t="s">
        <v>463</v>
      </c>
      <c r="E267" s="1217" t="s">
        <v>488</v>
      </c>
      <c r="F267" s="409" t="s">
        <v>89</v>
      </c>
      <c r="G267" s="1664"/>
      <c r="H267" s="1682">
        <f>H268</f>
        <v>0</v>
      </c>
      <c r="I267" s="529">
        <f>I268</f>
        <v>0</v>
      </c>
      <c r="J267" s="270">
        <f>J268</f>
        <v>0</v>
      </c>
      <c r="K267" s="1858"/>
      <c r="L267" s="1858"/>
      <c r="M267" s="1858"/>
      <c r="N267" s="1200"/>
      <c r="O267" s="1858"/>
      <c r="P267" s="1858"/>
      <c r="Q267" s="1858"/>
      <c r="R267" s="1858"/>
      <c r="S267" s="1858"/>
      <c r="T267" s="1858"/>
      <c r="U267" s="1682"/>
    </row>
    <row r="268" spans="1:21" hidden="1" x14ac:dyDescent="0.25">
      <c r="A268" s="1240"/>
      <c r="B268" s="1180" t="s">
        <v>109</v>
      </c>
      <c r="C268" s="1217"/>
      <c r="D268" s="1217" t="s">
        <v>463</v>
      </c>
      <c r="E268" s="1217" t="s">
        <v>488</v>
      </c>
      <c r="F268" s="409" t="s">
        <v>581</v>
      </c>
      <c r="G268" s="1664"/>
      <c r="H268" s="1682">
        <f>H269</f>
        <v>0</v>
      </c>
      <c r="I268" s="529">
        <f t="shared" ref="I268:J270" si="65">I269</f>
        <v>0</v>
      </c>
      <c r="J268" s="270">
        <f t="shared" si="65"/>
        <v>0</v>
      </c>
      <c r="K268" s="1858"/>
      <c r="L268" s="1858"/>
      <c r="M268" s="1858"/>
      <c r="N268" s="1200"/>
      <c r="O268" s="1858"/>
      <c r="P268" s="1858"/>
      <c r="Q268" s="1858"/>
      <c r="R268" s="1858"/>
      <c r="S268" s="1858"/>
      <c r="T268" s="1858"/>
      <c r="U268" s="1682"/>
    </row>
    <row r="269" spans="1:21" hidden="1" x14ac:dyDescent="0.25">
      <c r="A269" s="1229"/>
      <c r="B269" s="1180" t="s">
        <v>109</v>
      </c>
      <c r="C269" s="1217"/>
      <c r="D269" s="1217" t="s">
        <v>463</v>
      </c>
      <c r="E269" s="1217" t="s">
        <v>488</v>
      </c>
      <c r="F269" s="409" t="s">
        <v>82</v>
      </c>
      <c r="G269" s="1664"/>
      <c r="H269" s="1682">
        <f>H270</f>
        <v>0</v>
      </c>
      <c r="I269" s="529">
        <f t="shared" si="65"/>
        <v>0</v>
      </c>
      <c r="J269" s="270">
        <f t="shared" si="65"/>
        <v>0</v>
      </c>
      <c r="K269" s="1858"/>
      <c r="L269" s="1858"/>
      <c r="M269" s="1858"/>
      <c r="N269" s="1200"/>
      <c r="O269" s="1858"/>
      <c r="P269" s="1858"/>
      <c r="Q269" s="1858"/>
      <c r="R269" s="1858"/>
      <c r="S269" s="1858"/>
      <c r="T269" s="1858"/>
      <c r="U269" s="1682"/>
    </row>
    <row r="270" spans="1:21" ht="21" hidden="1" x14ac:dyDescent="0.25">
      <c r="A270" s="1234"/>
      <c r="B270" s="1218" t="s">
        <v>525</v>
      </c>
      <c r="C270" s="409"/>
      <c r="D270" s="1217" t="s">
        <v>463</v>
      </c>
      <c r="E270" s="1217" t="s">
        <v>488</v>
      </c>
      <c r="F270" s="409" t="s">
        <v>524</v>
      </c>
      <c r="G270" s="1662"/>
      <c r="H270" s="1682">
        <f>H271</f>
        <v>0</v>
      </c>
      <c r="I270" s="529">
        <f t="shared" si="65"/>
        <v>0</v>
      </c>
      <c r="J270" s="270">
        <f t="shared" si="65"/>
        <v>0</v>
      </c>
      <c r="K270" s="1858"/>
      <c r="L270" s="1858"/>
      <c r="M270" s="1858"/>
      <c r="N270" s="1200"/>
      <c r="O270" s="1858"/>
      <c r="P270" s="1858"/>
      <c r="Q270" s="1858"/>
      <c r="R270" s="1858"/>
      <c r="S270" s="1858"/>
      <c r="T270" s="1858"/>
      <c r="U270" s="1682"/>
    </row>
    <row r="271" spans="1:21" hidden="1" x14ac:dyDescent="0.25">
      <c r="A271" s="1234"/>
      <c r="B271" s="1182" t="s">
        <v>481</v>
      </c>
      <c r="C271" s="1217"/>
      <c r="D271" s="1217" t="s">
        <v>463</v>
      </c>
      <c r="E271" s="1217" t="s">
        <v>488</v>
      </c>
      <c r="F271" s="409" t="s">
        <v>524</v>
      </c>
      <c r="G271" s="1662" t="s">
        <v>26</v>
      </c>
      <c r="H271" s="1682">
        <f>4900-4900</f>
        <v>0</v>
      </c>
      <c r="I271" s="529"/>
      <c r="J271" s="269"/>
      <c r="K271" s="1858"/>
      <c r="L271" s="1858"/>
      <c r="M271" s="1858"/>
      <c r="N271" s="1200"/>
      <c r="O271" s="1858"/>
      <c r="P271" s="1858"/>
      <c r="Q271" s="1858"/>
      <c r="R271" s="1858"/>
      <c r="S271" s="1858"/>
      <c r="T271" s="1858"/>
      <c r="U271" s="1682"/>
    </row>
    <row r="272" spans="1:21" ht="21" hidden="1" x14ac:dyDescent="0.25">
      <c r="A272" s="1234"/>
      <c r="B272" s="1242" t="s">
        <v>929</v>
      </c>
      <c r="C272" s="409"/>
      <c r="D272" s="1217" t="s">
        <v>463</v>
      </c>
      <c r="E272" s="1217" t="s">
        <v>488</v>
      </c>
      <c r="F272" s="1217" t="s">
        <v>89</v>
      </c>
      <c r="G272" s="1662"/>
      <c r="H272" s="1682">
        <f>H273</f>
        <v>0</v>
      </c>
      <c r="I272" s="529"/>
      <c r="J272" s="269"/>
      <c r="K272" s="1858"/>
      <c r="L272" s="1858"/>
      <c r="M272" s="1858"/>
      <c r="N272" s="1200"/>
      <c r="O272" s="1858"/>
      <c r="P272" s="1858"/>
      <c r="Q272" s="1858"/>
      <c r="R272" s="1858"/>
      <c r="S272" s="1858"/>
      <c r="T272" s="1858"/>
      <c r="U272" s="1682"/>
    </row>
    <row r="273" spans="1:21" hidden="1" x14ac:dyDescent="0.25">
      <c r="A273" s="1234"/>
      <c r="B273" s="753" t="s">
        <v>109</v>
      </c>
      <c r="C273" s="409"/>
      <c r="D273" s="1217" t="s">
        <v>463</v>
      </c>
      <c r="E273" s="1217" t="s">
        <v>488</v>
      </c>
      <c r="F273" s="1217" t="s">
        <v>84</v>
      </c>
      <c r="G273" s="1662"/>
      <c r="H273" s="1682">
        <f>H274</f>
        <v>0</v>
      </c>
      <c r="I273" s="529"/>
      <c r="J273" s="269"/>
      <c r="K273" s="1858"/>
      <c r="L273" s="1858"/>
      <c r="M273" s="1858"/>
      <c r="N273" s="1200"/>
      <c r="O273" s="1858"/>
      <c r="P273" s="1858"/>
      <c r="Q273" s="1858"/>
      <c r="R273" s="1858"/>
      <c r="S273" s="1858"/>
      <c r="T273" s="1858"/>
      <c r="U273" s="1682"/>
    </row>
    <row r="274" spans="1:21" hidden="1" x14ac:dyDescent="0.25">
      <c r="A274" s="1234"/>
      <c r="B274" s="753" t="s">
        <v>109</v>
      </c>
      <c r="C274" s="409"/>
      <c r="D274" s="1217" t="s">
        <v>463</v>
      </c>
      <c r="E274" s="1217" t="s">
        <v>488</v>
      </c>
      <c r="F274" s="1217" t="s">
        <v>82</v>
      </c>
      <c r="G274" s="1662"/>
      <c r="H274" s="1682">
        <f>H276+H284</f>
        <v>0</v>
      </c>
      <c r="I274" s="529"/>
      <c r="J274" s="269"/>
      <c r="K274" s="1858"/>
      <c r="L274" s="1858"/>
      <c r="M274" s="1858"/>
      <c r="N274" s="1200"/>
      <c r="O274" s="1858"/>
      <c r="P274" s="1858"/>
      <c r="Q274" s="1858"/>
      <c r="R274" s="1858"/>
      <c r="S274" s="1858"/>
      <c r="T274" s="1858"/>
      <c r="U274" s="1682"/>
    </row>
    <row r="275" spans="1:21" ht="34.5" hidden="1" customHeight="1" x14ac:dyDescent="0.25">
      <c r="A275" s="1234"/>
      <c r="B275" s="753" t="s">
        <v>922</v>
      </c>
      <c r="C275" s="409"/>
      <c r="D275" s="1217" t="s">
        <v>463</v>
      </c>
      <c r="E275" s="1217" t="s">
        <v>488</v>
      </c>
      <c r="F275" s="1217" t="s">
        <v>923</v>
      </c>
      <c r="G275" s="1662"/>
      <c r="H275" s="1682">
        <f>H276</f>
        <v>0</v>
      </c>
      <c r="I275" s="529"/>
      <c r="J275" s="269"/>
      <c r="K275" s="1858"/>
      <c r="L275" s="1858"/>
      <c r="M275" s="1858"/>
      <c r="N275" s="1200"/>
      <c r="O275" s="1858"/>
      <c r="P275" s="1858"/>
      <c r="Q275" s="1858"/>
      <c r="R275" s="1858"/>
      <c r="S275" s="1858"/>
      <c r="T275" s="1858"/>
      <c r="U275" s="1682"/>
    </row>
    <row r="276" spans="1:21" ht="21" hidden="1" x14ac:dyDescent="0.25">
      <c r="A276" s="1234"/>
      <c r="B276" s="1182" t="s">
        <v>523</v>
      </c>
      <c r="C276" s="409"/>
      <c r="D276" s="1217" t="s">
        <v>463</v>
      </c>
      <c r="E276" s="1217" t="s">
        <v>488</v>
      </c>
      <c r="F276" s="1217" t="s">
        <v>923</v>
      </c>
      <c r="G276" s="1662" t="s">
        <v>521</v>
      </c>
      <c r="H276" s="1682"/>
      <c r="I276" s="529"/>
      <c r="J276" s="269"/>
      <c r="K276" s="1858"/>
      <c r="L276" s="1858"/>
      <c r="M276" s="1858"/>
      <c r="N276" s="1200"/>
      <c r="O276" s="1858"/>
      <c r="P276" s="1858"/>
      <c r="Q276" s="1858"/>
      <c r="R276" s="1858"/>
      <c r="S276" s="1858"/>
      <c r="T276" s="1858"/>
      <c r="U276" s="1682"/>
    </row>
    <row r="277" spans="1:21" ht="24.75" hidden="1" customHeight="1" x14ac:dyDescent="0.25">
      <c r="A277" s="1234"/>
      <c r="B277" s="1242" t="s">
        <v>930</v>
      </c>
      <c r="C277" s="409"/>
      <c r="D277" s="1217" t="s">
        <v>463</v>
      </c>
      <c r="E277" s="1217" t="s">
        <v>488</v>
      </c>
      <c r="F277" s="1217" t="s">
        <v>925</v>
      </c>
      <c r="G277" s="1662"/>
      <c r="H277" s="1682"/>
      <c r="I277" s="529"/>
      <c r="J277" s="404"/>
      <c r="K277" s="1858"/>
      <c r="L277" s="1858"/>
      <c r="M277" s="1858"/>
      <c r="N277" s="1200"/>
      <c r="O277" s="1858"/>
      <c r="P277" s="1858"/>
      <c r="Q277" s="1858"/>
      <c r="R277" s="1858"/>
      <c r="S277" s="1858"/>
      <c r="T277" s="1858"/>
      <c r="U277" s="1682"/>
    </row>
    <row r="278" spans="1:21" hidden="1" x14ac:dyDescent="0.25">
      <c r="A278" s="1234"/>
      <c r="B278" s="753" t="s">
        <v>109</v>
      </c>
      <c r="C278" s="409"/>
      <c r="D278" s="1217" t="s">
        <v>463</v>
      </c>
      <c r="E278" s="1217" t="s">
        <v>488</v>
      </c>
      <c r="F278" s="1217" t="s">
        <v>925</v>
      </c>
      <c r="G278" s="1662"/>
      <c r="H278" s="1682"/>
      <c r="I278" s="529"/>
      <c r="J278" s="404"/>
      <c r="K278" s="1858"/>
      <c r="L278" s="1858"/>
      <c r="M278" s="1858"/>
      <c r="N278" s="1200"/>
      <c r="O278" s="1858"/>
      <c r="P278" s="1858"/>
      <c r="Q278" s="1858"/>
      <c r="R278" s="1858"/>
      <c r="S278" s="1858"/>
      <c r="T278" s="1858"/>
      <c r="U278" s="1682"/>
    </row>
    <row r="279" spans="1:21" hidden="1" x14ac:dyDescent="0.25">
      <c r="A279" s="1234"/>
      <c r="B279" s="753" t="s">
        <v>109</v>
      </c>
      <c r="C279" s="409"/>
      <c r="D279" s="1217" t="s">
        <v>463</v>
      </c>
      <c r="E279" s="1217" t="s">
        <v>488</v>
      </c>
      <c r="F279" s="1217" t="s">
        <v>925</v>
      </c>
      <c r="G279" s="1662"/>
      <c r="H279" s="1682"/>
      <c r="I279" s="529"/>
      <c r="J279" s="404"/>
      <c r="K279" s="1858"/>
      <c r="L279" s="1858"/>
      <c r="M279" s="1858"/>
      <c r="N279" s="1200"/>
      <c r="O279" s="1858"/>
      <c r="P279" s="1858"/>
      <c r="Q279" s="1858"/>
      <c r="R279" s="1858"/>
      <c r="S279" s="1858"/>
      <c r="T279" s="1858"/>
      <c r="U279" s="1682"/>
    </row>
    <row r="280" spans="1:21" ht="21" hidden="1" x14ac:dyDescent="0.25">
      <c r="A280" s="1234"/>
      <c r="B280" s="753" t="s">
        <v>499</v>
      </c>
      <c r="C280" s="409"/>
      <c r="D280" s="1217" t="s">
        <v>463</v>
      </c>
      <c r="E280" s="1217" t="s">
        <v>488</v>
      </c>
      <c r="F280" s="409" t="s">
        <v>89</v>
      </c>
      <c r="G280" s="1662"/>
      <c r="H280" s="1682">
        <f>H281</f>
        <v>0</v>
      </c>
      <c r="I280" s="529"/>
      <c r="J280" s="404"/>
      <c r="K280" s="1858"/>
      <c r="L280" s="1858"/>
      <c r="M280" s="1858"/>
      <c r="N280" s="1200"/>
      <c r="O280" s="1858"/>
      <c r="P280" s="1858"/>
      <c r="Q280" s="1858"/>
      <c r="R280" s="1858"/>
      <c r="S280" s="1858"/>
      <c r="T280" s="1858"/>
      <c r="U280" s="1682"/>
    </row>
    <row r="281" spans="1:21" hidden="1" x14ac:dyDescent="0.25">
      <c r="A281" s="1234"/>
      <c r="B281" s="753" t="s">
        <v>109</v>
      </c>
      <c r="C281" s="409"/>
      <c r="D281" s="1217" t="s">
        <v>463</v>
      </c>
      <c r="E281" s="1217" t="s">
        <v>488</v>
      </c>
      <c r="F281" s="409" t="s">
        <v>84</v>
      </c>
      <c r="G281" s="1662"/>
      <c r="H281" s="1682">
        <f>H282</f>
        <v>0</v>
      </c>
      <c r="I281" s="529"/>
      <c r="J281" s="404"/>
      <c r="K281" s="1858"/>
      <c r="L281" s="1858"/>
      <c r="M281" s="1858"/>
      <c r="N281" s="1200"/>
      <c r="O281" s="1858"/>
      <c r="P281" s="1858"/>
      <c r="Q281" s="1858"/>
      <c r="R281" s="1858"/>
      <c r="S281" s="1858"/>
      <c r="T281" s="1858"/>
      <c r="U281" s="1682"/>
    </row>
    <row r="282" spans="1:21" hidden="1" x14ac:dyDescent="0.25">
      <c r="A282" s="1234"/>
      <c r="B282" s="753" t="s">
        <v>109</v>
      </c>
      <c r="C282" s="409"/>
      <c r="D282" s="1217" t="s">
        <v>463</v>
      </c>
      <c r="E282" s="1217" t="s">
        <v>488</v>
      </c>
      <c r="F282" s="1217" t="s">
        <v>82</v>
      </c>
      <c r="G282" s="1662"/>
      <c r="H282" s="1682">
        <f>H283</f>
        <v>0</v>
      </c>
      <c r="I282" s="529"/>
      <c r="J282" s="404"/>
      <c r="K282" s="1858"/>
      <c r="L282" s="1858"/>
      <c r="M282" s="1858"/>
      <c r="N282" s="1200"/>
      <c r="O282" s="1858"/>
      <c r="P282" s="1858"/>
      <c r="Q282" s="1858"/>
      <c r="R282" s="1858"/>
      <c r="S282" s="1858"/>
      <c r="T282" s="1858"/>
      <c r="U282" s="1682"/>
    </row>
    <row r="283" spans="1:21" ht="21" hidden="1" x14ac:dyDescent="0.25">
      <c r="A283" s="1234"/>
      <c r="B283" s="1242" t="s">
        <v>930</v>
      </c>
      <c r="C283" s="409"/>
      <c r="D283" s="1217" t="s">
        <v>463</v>
      </c>
      <c r="E283" s="1217" t="s">
        <v>488</v>
      </c>
      <c r="F283" s="1217" t="s">
        <v>925</v>
      </c>
      <c r="G283" s="1662"/>
      <c r="H283" s="1682">
        <f>H284</f>
        <v>0</v>
      </c>
      <c r="I283" s="529"/>
      <c r="J283" s="404"/>
      <c r="K283" s="1858"/>
      <c r="L283" s="1858"/>
      <c r="M283" s="1858"/>
      <c r="N283" s="1200">
        <f>N284</f>
        <v>0</v>
      </c>
      <c r="O283" s="1858"/>
      <c r="P283" s="1858"/>
      <c r="Q283" s="1858"/>
      <c r="R283" s="1858"/>
      <c r="S283" s="1858"/>
      <c r="T283" s="1858"/>
      <c r="U283" s="1682">
        <f>U284</f>
        <v>0</v>
      </c>
    </row>
    <row r="284" spans="1:21" ht="21" hidden="1" x14ac:dyDescent="0.25">
      <c r="A284" s="1234"/>
      <c r="B284" s="1182" t="s">
        <v>523</v>
      </c>
      <c r="C284" s="409"/>
      <c r="D284" s="1217" t="s">
        <v>463</v>
      </c>
      <c r="E284" s="1217" t="s">
        <v>488</v>
      </c>
      <c r="F284" s="1217" t="s">
        <v>925</v>
      </c>
      <c r="G284" s="1662" t="s">
        <v>521</v>
      </c>
      <c r="H284" s="1682"/>
      <c r="I284" s="529"/>
      <c r="J284" s="404"/>
      <c r="K284" s="1858"/>
      <c r="L284" s="1858"/>
      <c r="M284" s="1858"/>
      <c r="N284" s="1200"/>
      <c r="O284" s="1858"/>
      <c r="P284" s="1858"/>
      <c r="Q284" s="1858"/>
      <c r="R284" s="1858"/>
      <c r="S284" s="1858"/>
      <c r="T284" s="1858"/>
      <c r="U284" s="1682"/>
    </row>
    <row r="285" spans="1:21" x14ac:dyDescent="0.25">
      <c r="A285" s="1229"/>
      <c r="B285" s="1225" t="s">
        <v>34</v>
      </c>
      <c r="C285" s="1227"/>
      <c r="D285" s="1227" t="s">
        <v>463</v>
      </c>
      <c r="E285" s="1227" t="s">
        <v>495</v>
      </c>
      <c r="F285" s="1227"/>
      <c r="G285" s="1665"/>
      <c r="H285" s="1684">
        <f>H286+H328+H338+H343+H350+H316+H323</f>
        <v>41768.345000000001</v>
      </c>
      <c r="I285" s="853">
        <f>I286+I294</f>
        <v>13543.38</v>
      </c>
      <c r="J285" s="400">
        <f>J286+J294</f>
        <v>9788.7259999999987</v>
      </c>
      <c r="K285" s="1858"/>
      <c r="L285" s="1858"/>
      <c r="M285" s="1858"/>
      <c r="N285" s="1228">
        <f>N286+N328+N338+N343+N350+N316+N323</f>
        <v>44056.88</v>
      </c>
      <c r="O285" s="1858"/>
      <c r="P285" s="1858"/>
      <c r="Q285" s="1858"/>
      <c r="R285" s="1858"/>
      <c r="S285" s="1858"/>
      <c r="T285" s="1858"/>
      <c r="U285" s="1684">
        <f>U286+U328+U338+U343+U350+U316+U323</f>
        <v>44290.079999999994</v>
      </c>
    </row>
    <row r="286" spans="1:21" ht="24" customHeight="1" x14ac:dyDescent="0.25">
      <c r="A286" s="1179"/>
      <c r="B286" s="1243" t="s">
        <v>931</v>
      </c>
      <c r="C286" s="409"/>
      <c r="D286" s="409" t="s">
        <v>463</v>
      </c>
      <c r="E286" s="409" t="s">
        <v>495</v>
      </c>
      <c r="F286" s="409" t="s">
        <v>189</v>
      </c>
      <c r="G286" s="1662"/>
      <c r="H286" s="1682">
        <f>H287</f>
        <v>29759.978999999999</v>
      </c>
      <c r="I286" s="529">
        <f>I287</f>
        <v>10043.379999999999</v>
      </c>
      <c r="J286" s="270">
        <f>J287</f>
        <v>6288.7259999999997</v>
      </c>
      <c r="K286" s="1862">
        <f>K290+K293+K332+K337+K357</f>
        <v>2750</v>
      </c>
      <c r="L286" s="1858"/>
      <c r="M286" s="1858"/>
      <c r="N286" s="1200">
        <f>N287</f>
        <v>32046.879999999997</v>
      </c>
      <c r="O286" s="1858"/>
      <c r="P286" s="1858"/>
      <c r="Q286" s="1858"/>
      <c r="R286" s="1858"/>
      <c r="S286" s="1858"/>
      <c r="T286" s="1858"/>
      <c r="U286" s="1682">
        <f>U287</f>
        <v>33196.879999999997</v>
      </c>
    </row>
    <row r="287" spans="1:21" ht="31.5" x14ac:dyDescent="0.25">
      <c r="A287" s="842"/>
      <c r="B287" s="1197" t="s">
        <v>188</v>
      </c>
      <c r="C287" s="408"/>
      <c r="D287" s="409" t="s">
        <v>463</v>
      </c>
      <c r="E287" s="409" t="s">
        <v>495</v>
      </c>
      <c r="F287" s="409" t="s">
        <v>187</v>
      </c>
      <c r="G287" s="1661"/>
      <c r="H287" s="1682">
        <f>H288+H291</f>
        <v>29759.978999999999</v>
      </c>
      <c r="I287" s="529">
        <f>I288+I291</f>
        <v>10043.379999999999</v>
      </c>
      <c r="J287" s="270">
        <f>J288+J291</f>
        <v>6288.7259999999997</v>
      </c>
      <c r="K287" s="1858"/>
      <c r="L287" s="1858"/>
      <c r="M287" s="1858"/>
      <c r="N287" s="1200">
        <f>N288+N291</f>
        <v>32046.879999999997</v>
      </c>
      <c r="O287" s="1858"/>
      <c r="P287" s="1858"/>
      <c r="Q287" s="1858"/>
      <c r="R287" s="1858"/>
      <c r="S287" s="1858"/>
      <c r="T287" s="1858"/>
      <c r="U287" s="1682">
        <f>U288+U291</f>
        <v>33196.879999999997</v>
      </c>
    </row>
    <row r="288" spans="1:21" ht="28.5" customHeight="1" x14ac:dyDescent="0.25">
      <c r="A288" s="1179"/>
      <c r="B288" s="1205" t="s">
        <v>186</v>
      </c>
      <c r="C288" s="1217"/>
      <c r="D288" s="1217" t="s">
        <v>463</v>
      </c>
      <c r="E288" s="1217" t="s">
        <v>495</v>
      </c>
      <c r="F288" s="1217" t="s">
        <v>185</v>
      </c>
      <c r="G288" s="1664"/>
      <c r="H288" s="1682">
        <f>H290</f>
        <v>3642.6390000000001</v>
      </c>
      <c r="I288" s="529">
        <f>I290</f>
        <v>10043.379999999999</v>
      </c>
      <c r="J288" s="270">
        <f>J290</f>
        <v>6288.7259999999997</v>
      </c>
      <c r="K288" s="1858"/>
      <c r="L288" s="1858"/>
      <c r="M288" s="1858"/>
      <c r="N288" s="1200">
        <f>N290</f>
        <v>3840.1530000000002</v>
      </c>
      <c r="O288" s="1858"/>
      <c r="P288" s="1858"/>
      <c r="Q288" s="1858"/>
      <c r="R288" s="1858"/>
      <c r="S288" s="1858"/>
      <c r="T288" s="1858"/>
      <c r="U288" s="1682">
        <f>U290</f>
        <v>3233.6149999999998</v>
      </c>
    </row>
    <row r="289" spans="1:21" ht="19.5" customHeight="1" x14ac:dyDescent="0.25">
      <c r="A289" s="1179"/>
      <c r="B289" s="753" t="s">
        <v>948</v>
      </c>
      <c r="C289" s="1217"/>
      <c r="D289" s="1217" t="s">
        <v>463</v>
      </c>
      <c r="E289" s="1217" t="s">
        <v>495</v>
      </c>
      <c r="F289" s="1217" t="s">
        <v>185</v>
      </c>
      <c r="G289" s="1664" t="s">
        <v>955</v>
      </c>
      <c r="H289" s="1682">
        <f t="shared" ref="H289:U289" si="66">H290</f>
        <v>3642.6390000000001</v>
      </c>
      <c r="I289" s="529">
        <f t="shared" si="66"/>
        <v>10043.379999999999</v>
      </c>
      <c r="J289" s="404">
        <f t="shared" si="66"/>
        <v>6288.7259999999997</v>
      </c>
      <c r="K289" s="1858">
        <f t="shared" si="66"/>
        <v>2300</v>
      </c>
      <c r="L289" s="1858">
        <f t="shared" si="66"/>
        <v>0</v>
      </c>
      <c r="M289" s="1858">
        <f t="shared" si="66"/>
        <v>0</v>
      </c>
      <c r="N289" s="1200">
        <f t="shared" si="66"/>
        <v>3840.1530000000002</v>
      </c>
      <c r="O289" s="1858">
        <f t="shared" si="66"/>
        <v>0</v>
      </c>
      <c r="P289" s="1858">
        <f t="shared" si="66"/>
        <v>0</v>
      </c>
      <c r="Q289" s="1858">
        <f t="shared" si="66"/>
        <v>0</v>
      </c>
      <c r="R289" s="1858">
        <f t="shared" si="66"/>
        <v>0</v>
      </c>
      <c r="S289" s="1858">
        <f t="shared" si="66"/>
        <v>0</v>
      </c>
      <c r="T289" s="1858">
        <f t="shared" si="66"/>
        <v>0</v>
      </c>
      <c r="U289" s="1682">
        <f t="shared" si="66"/>
        <v>3233.6149999999998</v>
      </c>
    </row>
    <row r="290" spans="1:21" ht="21" x14ac:dyDescent="0.25">
      <c r="A290" s="1179"/>
      <c r="B290" s="1182" t="s">
        <v>454</v>
      </c>
      <c r="C290" s="409"/>
      <c r="D290" s="1217" t="s">
        <v>463</v>
      </c>
      <c r="E290" s="1217" t="s">
        <v>495</v>
      </c>
      <c r="F290" s="1217" t="s">
        <v>185</v>
      </c>
      <c r="G290" s="1662" t="s">
        <v>1</v>
      </c>
      <c r="H290" s="1682">
        <v>3642.6390000000001</v>
      </c>
      <c r="I290" s="529">
        <v>10043.379999999999</v>
      </c>
      <c r="J290" s="269">
        <v>6288.7259999999997</v>
      </c>
      <c r="K290" s="1858">
        <v>2300</v>
      </c>
      <c r="L290" s="1858"/>
      <c r="M290" s="1858"/>
      <c r="N290" s="1200">
        <f>5490.153-1650</f>
        <v>3840.1530000000002</v>
      </c>
      <c r="O290" s="1858"/>
      <c r="P290" s="1858"/>
      <c r="Q290" s="1858"/>
      <c r="R290" s="1858"/>
      <c r="S290" s="1858"/>
      <c r="T290" s="1858"/>
      <c r="U290" s="1682">
        <f>4233.615-1000</f>
        <v>3233.6149999999998</v>
      </c>
    </row>
    <row r="291" spans="1:21" ht="25.5" customHeight="1" x14ac:dyDescent="0.25">
      <c r="A291" s="1179"/>
      <c r="B291" s="1205" t="s">
        <v>184</v>
      </c>
      <c r="C291" s="409"/>
      <c r="D291" s="1217" t="s">
        <v>463</v>
      </c>
      <c r="E291" s="1217" t="s">
        <v>495</v>
      </c>
      <c r="F291" s="1217" t="s">
        <v>183</v>
      </c>
      <c r="G291" s="1662"/>
      <c r="H291" s="1682">
        <f>H293+H311</f>
        <v>26117.34</v>
      </c>
      <c r="I291" s="529">
        <f>I293</f>
        <v>0</v>
      </c>
      <c r="J291" s="269">
        <f>J293</f>
        <v>0</v>
      </c>
      <c r="K291" s="1858"/>
      <c r="L291" s="1858"/>
      <c r="M291" s="1858"/>
      <c r="N291" s="1200">
        <f>N293+N311</f>
        <v>28206.726999999999</v>
      </c>
      <c r="O291" s="1858"/>
      <c r="P291" s="1858"/>
      <c r="Q291" s="1858"/>
      <c r="R291" s="1858"/>
      <c r="S291" s="1858"/>
      <c r="T291" s="1858"/>
      <c r="U291" s="1682">
        <f>U293+U311</f>
        <v>29963.264999999999</v>
      </c>
    </row>
    <row r="292" spans="1:21" ht="17.149999999999999" customHeight="1" x14ac:dyDescent="0.25">
      <c r="A292" s="1179"/>
      <c r="B292" s="753" t="s">
        <v>948</v>
      </c>
      <c r="C292" s="409"/>
      <c r="D292" s="1217" t="s">
        <v>463</v>
      </c>
      <c r="E292" s="1217" t="s">
        <v>495</v>
      </c>
      <c r="F292" s="1217" t="s">
        <v>183</v>
      </c>
      <c r="G292" s="1662" t="s">
        <v>955</v>
      </c>
      <c r="H292" s="1682">
        <f t="shared" ref="H292:U292" si="67">H293</f>
        <v>26117.34</v>
      </c>
      <c r="I292" s="529">
        <f t="shared" si="67"/>
        <v>0</v>
      </c>
      <c r="J292" s="269">
        <f t="shared" si="67"/>
        <v>0</v>
      </c>
      <c r="K292" s="1858">
        <f t="shared" si="67"/>
        <v>0</v>
      </c>
      <c r="L292" s="1858">
        <f t="shared" si="67"/>
        <v>0</v>
      </c>
      <c r="M292" s="1858">
        <f t="shared" si="67"/>
        <v>0</v>
      </c>
      <c r="N292" s="1200">
        <f t="shared" si="67"/>
        <v>28206.726999999999</v>
      </c>
      <c r="O292" s="1858">
        <f t="shared" si="67"/>
        <v>0</v>
      </c>
      <c r="P292" s="1858">
        <f t="shared" si="67"/>
        <v>0</v>
      </c>
      <c r="Q292" s="1858">
        <f t="shared" si="67"/>
        <v>0</v>
      </c>
      <c r="R292" s="1858">
        <f t="shared" si="67"/>
        <v>0</v>
      </c>
      <c r="S292" s="1858">
        <f t="shared" si="67"/>
        <v>0</v>
      </c>
      <c r="T292" s="1858">
        <f t="shared" si="67"/>
        <v>0</v>
      </c>
      <c r="U292" s="1682">
        <f t="shared" si="67"/>
        <v>29963.264999999999</v>
      </c>
    </row>
    <row r="293" spans="1:21" ht="21.75" customHeight="1" x14ac:dyDescent="0.25">
      <c r="A293" s="1179"/>
      <c r="B293" s="1182" t="s">
        <v>454</v>
      </c>
      <c r="C293" s="409"/>
      <c r="D293" s="1217" t="s">
        <v>463</v>
      </c>
      <c r="E293" s="1217" t="s">
        <v>495</v>
      </c>
      <c r="F293" s="1217" t="s">
        <v>183</v>
      </c>
      <c r="G293" s="1662" t="s">
        <v>1</v>
      </c>
      <c r="H293" s="1682">
        <v>26117.34</v>
      </c>
      <c r="I293" s="529"/>
      <c r="J293" s="269"/>
      <c r="K293" s="1859"/>
      <c r="L293" s="1858"/>
      <c r="M293" s="1858"/>
      <c r="N293" s="1200">
        <v>28206.726999999999</v>
      </c>
      <c r="O293" s="1858"/>
      <c r="P293" s="1858"/>
      <c r="Q293" s="1858"/>
      <c r="R293" s="1858"/>
      <c r="S293" s="1858"/>
      <c r="T293" s="1858"/>
      <c r="U293" s="1682">
        <f>30463.265-500</f>
        <v>29963.264999999999</v>
      </c>
    </row>
    <row r="294" spans="1:21" ht="31.5" hidden="1" x14ac:dyDescent="0.25">
      <c r="A294" s="842"/>
      <c r="B294" s="1244" t="s">
        <v>176</v>
      </c>
      <c r="C294" s="408"/>
      <c r="D294" s="408" t="s">
        <v>463</v>
      </c>
      <c r="E294" s="408" t="s">
        <v>495</v>
      </c>
      <c r="F294" s="408" t="s">
        <v>175</v>
      </c>
      <c r="G294" s="1661"/>
      <c r="H294" s="1683">
        <f>H295+H299</f>
        <v>0</v>
      </c>
      <c r="I294" s="841">
        <f>I295+I299</f>
        <v>3500</v>
      </c>
      <c r="J294" s="276">
        <f>J295+J299</f>
        <v>3500</v>
      </c>
      <c r="K294" s="1858"/>
      <c r="L294" s="1858"/>
      <c r="M294" s="1858"/>
      <c r="N294" s="1208">
        <f>N295+N299</f>
        <v>0</v>
      </c>
      <c r="O294" s="1858"/>
      <c r="P294" s="1858"/>
      <c r="Q294" s="1858"/>
      <c r="R294" s="1858"/>
      <c r="S294" s="1858"/>
      <c r="T294" s="1858"/>
      <c r="U294" s="1683">
        <f>U295+U299</f>
        <v>0</v>
      </c>
    </row>
    <row r="295" spans="1:21" ht="31.5" hidden="1" x14ac:dyDescent="0.25">
      <c r="A295" s="1245"/>
      <c r="B295" s="1197" t="s">
        <v>174</v>
      </c>
      <c r="C295" s="1217"/>
      <c r="D295" s="1217" t="s">
        <v>463</v>
      </c>
      <c r="E295" s="1217" t="s">
        <v>495</v>
      </c>
      <c r="F295" s="1217" t="s">
        <v>173</v>
      </c>
      <c r="G295" s="1664"/>
      <c r="H295" s="1682">
        <f>H297</f>
        <v>0</v>
      </c>
      <c r="I295" s="529">
        <f t="shared" ref="H295:J297" si="68">I296</f>
        <v>3500</v>
      </c>
      <c r="J295" s="269">
        <f t="shared" si="68"/>
        <v>3500</v>
      </c>
      <c r="K295" s="1858"/>
      <c r="L295" s="1858"/>
      <c r="M295" s="1858"/>
      <c r="N295" s="1200">
        <f>N297</f>
        <v>0</v>
      </c>
      <c r="O295" s="1858"/>
      <c r="P295" s="1858"/>
      <c r="Q295" s="1858"/>
      <c r="R295" s="1858"/>
      <c r="S295" s="1858"/>
      <c r="T295" s="1858"/>
      <c r="U295" s="1682">
        <f>U297</f>
        <v>0</v>
      </c>
    </row>
    <row r="296" spans="1:21" hidden="1" x14ac:dyDescent="0.25">
      <c r="A296" s="842"/>
      <c r="B296" s="1219" t="s">
        <v>520</v>
      </c>
      <c r="C296" s="408"/>
      <c r="D296" s="409" t="s">
        <v>463</v>
      </c>
      <c r="E296" s="409" t="s">
        <v>495</v>
      </c>
      <c r="F296" s="1217" t="s">
        <v>173</v>
      </c>
      <c r="G296" s="1661"/>
      <c r="H296" s="1682">
        <f t="shared" si="68"/>
        <v>0</v>
      </c>
      <c r="I296" s="529">
        <f t="shared" si="68"/>
        <v>3500</v>
      </c>
      <c r="J296" s="269">
        <f t="shared" si="68"/>
        <v>3500</v>
      </c>
      <c r="K296" s="1858"/>
      <c r="L296" s="1858"/>
      <c r="M296" s="1858"/>
      <c r="N296" s="1200">
        <f t="shared" ref="N296:N297" si="69">N297</f>
        <v>0</v>
      </c>
      <c r="O296" s="1858"/>
      <c r="P296" s="1858"/>
      <c r="Q296" s="1858"/>
      <c r="R296" s="1858"/>
      <c r="S296" s="1858"/>
      <c r="T296" s="1858"/>
      <c r="U296" s="1682">
        <f t="shared" ref="U296:U297" si="70">U297</f>
        <v>0</v>
      </c>
    </row>
    <row r="297" spans="1:21" hidden="1" x14ac:dyDescent="0.25">
      <c r="A297" s="1245"/>
      <c r="B297" s="1246" t="s">
        <v>172</v>
      </c>
      <c r="C297" s="1217"/>
      <c r="D297" s="1217" t="s">
        <v>463</v>
      </c>
      <c r="E297" s="1217" t="s">
        <v>495</v>
      </c>
      <c r="F297" s="1217" t="s">
        <v>159</v>
      </c>
      <c r="G297" s="1664"/>
      <c r="H297" s="1682">
        <f t="shared" si="68"/>
        <v>0</v>
      </c>
      <c r="I297" s="529">
        <f t="shared" si="68"/>
        <v>3500</v>
      </c>
      <c r="J297" s="269">
        <f t="shared" si="68"/>
        <v>3500</v>
      </c>
      <c r="K297" s="1858"/>
      <c r="L297" s="1858"/>
      <c r="M297" s="1858"/>
      <c r="N297" s="1200">
        <f t="shared" si="69"/>
        <v>0</v>
      </c>
      <c r="O297" s="1858"/>
      <c r="P297" s="1858"/>
      <c r="Q297" s="1858"/>
      <c r="R297" s="1858"/>
      <c r="S297" s="1858"/>
      <c r="T297" s="1858"/>
      <c r="U297" s="1682">
        <f t="shared" si="70"/>
        <v>0</v>
      </c>
    </row>
    <row r="298" spans="1:21" ht="21" hidden="1" x14ac:dyDescent="0.25">
      <c r="A298" s="1229"/>
      <c r="B298" s="1182" t="s">
        <v>454</v>
      </c>
      <c r="C298" s="409"/>
      <c r="D298" s="1217" t="s">
        <v>463</v>
      </c>
      <c r="E298" s="1217" t="s">
        <v>495</v>
      </c>
      <c r="F298" s="1217" t="s">
        <v>159</v>
      </c>
      <c r="G298" s="1662" t="s">
        <v>1</v>
      </c>
      <c r="H298" s="1682">
        <v>0</v>
      </c>
      <c r="I298" s="529">
        <v>3500</v>
      </c>
      <c r="J298" s="269">
        <v>3500</v>
      </c>
      <c r="K298" s="1858"/>
      <c r="L298" s="1858"/>
      <c r="M298" s="1858"/>
      <c r="N298" s="1200">
        <v>0</v>
      </c>
      <c r="O298" s="1858"/>
      <c r="P298" s="1858"/>
      <c r="Q298" s="1858"/>
      <c r="R298" s="1858"/>
      <c r="S298" s="1858"/>
      <c r="T298" s="1858"/>
      <c r="U298" s="1682">
        <v>0</v>
      </c>
    </row>
    <row r="299" spans="1:21" ht="21" hidden="1" x14ac:dyDescent="0.25">
      <c r="A299" s="1240"/>
      <c r="B299" s="1219" t="s">
        <v>519</v>
      </c>
      <c r="C299" s="1217"/>
      <c r="D299" s="1217" t="s">
        <v>463</v>
      </c>
      <c r="E299" s="1217" t="s">
        <v>495</v>
      </c>
      <c r="F299" s="1217" t="s">
        <v>518</v>
      </c>
      <c r="G299" s="1664"/>
      <c r="H299" s="1682">
        <f>H300+H305</f>
        <v>0</v>
      </c>
      <c r="I299" s="529">
        <f>I300+I305</f>
        <v>0</v>
      </c>
      <c r="J299" s="269">
        <f>J300+J305</f>
        <v>0</v>
      </c>
      <c r="K299" s="1858"/>
      <c r="L299" s="1858"/>
      <c r="M299" s="1858"/>
      <c r="N299" s="1200">
        <f>N300+N305</f>
        <v>0</v>
      </c>
      <c r="O299" s="1858"/>
      <c r="P299" s="1858"/>
      <c r="Q299" s="1858"/>
      <c r="R299" s="1858"/>
      <c r="S299" s="1858"/>
      <c r="T299" s="1858"/>
      <c r="U299" s="1682">
        <f>U300+U305</f>
        <v>0</v>
      </c>
    </row>
    <row r="300" spans="1:21" ht="31.5" hidden="1" x14ac:dyDescent="0.25">
      <c r="A300" s="1240"/>
      <c r="B300" s="1219" t="s">
        <v>517</v>
      </c>
      <c r="C300" s="1217"/>
      <c r="D300" s="1217" t="s">
        <v>463</v>
      </c>
      <c r="E300" s="1217" t="s">
        <v>495</v>
      </c>
      <c r="F300" s="1217" t="s">
        <v>516</v>
      </c>
      <c r="G300" s="1664"/>
      <c r="H300" s="1682">
        <f>H301+H303</f>
        <v>0</v>
      </c>
      <c r="I300" s="529">
        <f>I301+I303</f>
        <v>0</v>
      </c>
      <c r="J300" s="269">
        <f>J301+J303</f>
        <v>0</v>
      </c>
      <c r="K300" s="1858"/>
      <c r="L300" s="1858"/>
      <c r="M300" s="1858"/>
      <c r="N300" s="1200">
        <f>N301+N303</f>
        <v>0</v>
      </c>
      <c r="O300" s="1858"/>
      <c r="P300" s="1858"/>
      <c r="Q300" s="1858"/>
      <c r="R300" s="1858"/>
      <c r="S300" s="1858"/>
      <c r="T300" s="1858"/>
      <c r="U300" s="1682">
        <f>U301+U303</f>
        <v>0</v>
      </c>
    </row>
    <row r="301" spans="1:21" hidden="1" x14ac:dyDescent="0.25">
      <c r="A301" s="1229"/>
      <c r="B301" s="753" t="s">
        <v>515</v>
      </c>
      <c r="C301" s="1217"/>
      <c r="D301" s="1217" t="s">
        <v>463</v>
      </c>
      <c r="E301" s="1217" t="s">
        <v>495</v>
      </c>
      <c r="F301" s="1217" t="s">
        <v>514</v>
      </c>
      <c r="G301" s="1664"/>
      <c r="H301" s="1682">
        <f>H302</f>
        <v>0</v>
      </c>
      <c r="I301" s="529">
        <f>I302</f>
        <v>0</v>
      </c>
      <c r="J301" s="269">
        <f>J302</f>
        <v>0</v>
      </c>
      <c r="K301" s="1858"/>
      <c r="L301" s="1858"/>
      <c r="M301" s="1858"/>
      <c r="N301" s="1200">
        <f>N302</f>
        <v>0</v>
      </c>
      <c r="O301" s="1858"/>
      <c r="P301" s="1858"/>
      <c r="Q301" s="1858"/>
      <c r="R301" s="1858"/>
      <c r="S301" s="1858"/>
      <c r="T301" s="1858"/>
      <c r="U301" s="1682">
        <f>U302</f>
        <v>0</v>
      </c>
    </row>
    <row r="302" spans="1:21" ht="21" hidden="1" x14ac:dyDescent="0.25">
      <c r="A302" s="1229"/>
      <c r="B302" s="1182" t="s">
        <v>454</v>
      </c>
      <c r="C302" s="409"/>
      <c r="D302" s="1217" t="s">
        <v>463</v>
      </c>
      <c r="E302" s="1217" t="s">
        <v>495</v>
      </c>
      <c r="F302" s="1217" t="s">
        <v>514</v>
      </c>
      <c r="G302" s="1662" t="s">
        <v>1</v>
      </c>
      <c r="H302" s="1682"/>
      <c r="I302" s="529"/>
      <c r="J302" s="269"/>
      <c r="K302" s="1858"/>
      <c r="L302" s="1858"/>
      <c r="M302" s="1858"/>
      <c r="N302" s="1200"/>
      <c r="O302" s="1858"/>
      <c r="P302" s="1858"/>
      <c r="Q302" s="1858"/>
      <c r="R302" s="1858"/>
      <c r="S302" s="1858"/>
      <c r="T302" s="1858"/>
      <c r="U302" s="1682"/>
    </row>
    <row r="303" spans="1:21" hidden="1" x14ac:dyDescent="0.25">
      <c r="A303" s="1229"/>
      <c r="B303" s="753" t="s">
        <v>513</v>
      </c>
      <c r="C303" s="1217"/>
      <c r="D303" s="1217" t="s">
        <v>463</v>
      </c>
      <c r="E303" s="1217" t="s">
        <v>495</v>
      </c>
      <c r="F303" s="1217" t="s">
        <v>512</v>
      </c>
      <c r="G303" s="1664"/>
      <c r="H303" s="1682">
        <f>H304</f>
        <v>0</v>
      </c>
      <c r="I303" s="529">
        <f>I304</f>
        <v>0</v>
      </c>
      <c r="J303" s="269">
        <f>J304</f>
        <v>0</v>
      </c>
      <c r="K303" s="1858"/>
      <c r="L303" s="1858"/>
      <c r="M303" s="1858"/>
      <c r="N303" s="1200">
        <f>N304</f>
        <v>0</v>
      </c>
      <c r="O303" s="1858"/>
      <c r="P303" s="1858"/>
      <c r="Q303" s="1858"/>
      <c r="R303" s="1858"/>
      <c r="S303" s="1858"/>
      <c r="T303" s="1858"/>
      <c r="U303" s="1682">
        <f>U304</f>
        <v>0</v>
      </c>
    </row>
    <row r="304" spans="1:21" ht="21" hidden="1" x14ac:dyDescent="0.25">
      <c r="A304" s="1229"/>
      <c r="B304" s="1182" t="s">
        <v>454</v>
      </c>
      <c r="C304" s="409"/>
      <c r="D304" s="1217" t="s">
        <v>463</v>
      </c>
      <c r="E304" s="1217" t="s">
        <v>495</v>
      </c>
      <c r="F304" s="1217" t="s">
        <v>512</v>
      </c>
      <c r="G304" s="1662" t="s">
        <v>1</v>
      </c>
      <c r="H304" s="1682"/>
      <c r="I304" s="529"/>
      <c r="J304" s="269"/>
      <c r="K304" s="1858"/>
      <c r="L304" s="1858"/>
      <c r="M304" s="1858"/>
      <c r="N304" s="1200"/>
      <c r="O304" s="1858"/>
      <c r="P304" s="1858"/>
      <c r="Q304" s="1858"/>
      <c r="R304" s="1858"/>
      <c r="S304" s="1858"/>
      <c r="T304" s="1858"/>
      <c r="U304" s="1682"/>
    </row>
    <row r="305" spans="1:21" ht="21" hidden="1" x14ac:dyDescent="0.25">
      <c r="A305" s="1179"/>
      <c r="B305" s="1247" t="s">
        <v>511</v>
      </c>
      <c r="C305" s="1227"/>
      <c r="D305" s="1248" t="s">
        <v>463</v>
      </c>
      <c r="E305" s="1248" t="s">
        <v>495</v>
      </c>
      <c r="F305" s="1248" t="s">
        <v>510</v>
      </c>
      <c r="G305" s="1666"/>
      <c r="H305" s="1686">
        <f>H306+H310</f>
        <v>0</v>
      </c>
      <c r="I305" s="854">
        <f>I306+I310</f>
        <v>0</v>
      </c>
      <c r="J305" s="406">
        <f>J306+J310</f>
        <v>0</v>
      </c>
      <c r="K305" s="1858"/>
      <c r="L305" s="1858"/>
      <c r="M305" s="1858"/>
      <c r="N305" s="1249">
        <f>N306+N310</f>
        <v>0</v>
      </c>
      <c r="O305" s="1858"/>
      <c r="P305" s="1858"/>
      <c r="Q305" s="1858"/>
      <c r="R305" s="1858"/>
      <c r="S305" s="1858"/>
      <c r="T305" s="1858"/>
      <c r="U305" s="1686">
        <f>U306+U310</f>
        <v>0</v>
      </c>
    </row>
    <row r="306" spans="1:21" hidden="1" x14ac:dyDescent="0.25">
      <c r="A306" s="842"/>
      <c r="B306" s="1224" t="s">
        <v>351</v>
      </c>
      <c r="C306" s="1217"/>
      <c r="D306" s="1217" t="s">
        <v>463</v>
      </c>
      <c r="E306" s="1217" t="s">
        <v>495</v>
      </c>
      <c r="F306" s="1217" t="s">
        <v>508</v>
      </c>
      <c r="G306" s="1664"/>
      <c r="H306" s="1682">
        <f>H307+H308+H309</f>
        <v>0</v>
      </c>
      <c r="I306" s="529">
        <f>I307+I308+I309</f>
        <v>0</v>
      </c>
      <c r="J306" s="269">
        <f>J307+J308+J309</f>
        <v>0</v>
      </c>
      <c r="K306" s="1858"/>
      <c r="L306" s="1858"/>
      <c r="M306" s="1858"/>
      <c r="N306" s="1200">
        <f>N307+N308+N309</f>
        <v>0</v>
      </c>
      <c r="O306" s="1858"/>
      <c r="P306" s="1858"/>
      <c r="Q306" s="1858"/>
      <c r="R306" s="1858"/>
      <c r="S306" s="1858"/>
      <c r="T306" s="1858"/>
      <c r="U306" s="1682">
        <f>U307+U308+U309</f>
        <v>0</v>
      </c>
    </row>
    <row r="307" spans="1:21" hidden="1" x14ac:dyDescent="0.25">
      <c r="A307" s="1179"/>
      <c r="B307" s="1182" t="s">
        <v>458</v>
      </c>
      <c r="C307" s="409"/>
      <c r="D307" s="1217" t="s">
        <v>463</v>
      </c>
      <c r="E307" s="1217" t="s">
        <v>495</v>
      </c>
      <c r="F307" s="1217" t="s">
        <v>508</v>
      </c>
      <c r="G307" s="1662" t="s">
        <v>255</v>
      </c>
      <c r="H307" s="1682"/>
      <c r="I307" s="529"/>
      <c r="J307" s="269"/>
      <c r="K307" s="1858"/>
      <c r="L307" s="1858"/>
      <c r="M307" s="1858"/>
      <c r="N307" s="1200"/>
      <c r="O307" s="1858"/>
      <c r="P307" s="1858"/>
      <c r="Q307" s="1858"/>
      <c r="R307" s="1858"/>
      <c r="S307" s="1858"/>
      <c r="T307" s="1858"/>
      <c r="U307" s="1682"/>
    </row>
    <row r="308" spans="1:21" ht="21" hidden="1" x14ac:dyDescent="0.25">
      <c r="A308" s="1179"/>
      <c r="B308" s="1182" t="s">
        <v>454</v>
      </c>
      <c r="C308" s="409"/>
      <c r="D308" s="1217" t="s">
        <v>463</v>
      </c>
      <c r="E308" s="1217" t="s">
        <v>495</v>
      </c>
      <c r="F308" s="1217" t="s">
        <v>508</v>
      </c>
      <c r="G308" s="1662" t="s">
        <v>1</v>
      </c>
      <c r="H308" s="1682"/>
      <c r="I308" s="529"/>
      <c r="J308" s="269"/>
      <c r="K308" s="1858"/>
      <c r="L308" s="1858"/>
      <c r="M308" s="1858"/>
      <c r="N308" s="1200"/>
      <c r="O308" s="1858"/>
      <c r="P308" s="1858"/>
      <c r="Q308" s="1858"/>
      <c r="R308" s="1858"/>
      <c r="S308" s="1858"/>
      <c r="T308" s="1858"/>
      <c r="U308" s="1682"/>
    </row>
    <row r="309" spans="1:21" hidden="1" x14ac:dyDescent="0.25">
      <c r="A309" s="1179"/>
      <c r="B309" s="1182" t="s">
        <v>457</v>
      </c>
      <c r="C309" s="409"/>
      <c r="D309" s="1217" t="s">
        <v>463</v>
      </c>
      <c r="E309" s="1217" t="s">
        <v>495</v>
      </c>
      <c r="F309" s="1217" t="s">
        <v>508</v>
      </c>
      <c r="G309" s="1662" t="s">
        <v>91</v>
      </c>
      <c r="H309" s="1682"/>
      <c r="I309" s="529"/>
      <c r="J309" s="269"/>
      <c r="K309" s="1858"/>
      <c r="L309" s="1858"/>
      <c r="M309" s="1858"/>
      <c r="N309" s="1200"/>
      <c r="O309" s="1858"/>
      <c r="P309" s="1858"/>
      <c r="Q309" s="1858"/>
      <c r="R309" s="1858"/>
      <c r="S309" s="1858"/>
      <c r="T309" s="1858"/>
      <c r="U309" s="1682"/>
    </row>
    <row r="310" spans="1:21" ht="15" hidden="1" customHeight="1" x14ac:dyDescent="0.25">
      <c r="A310" s="842"/>
      <c r="B310" s="1180"/>
      <c r="C310" s="1217"/>
      <c r="D310" s="1217" t="s">
        <v>463</v>
      </c>
      <c r="E310" s="1217" t="s">
        <v>495</v>
      </c>
      <c r="F310" s="1217" t="s">
        <v>183</v>
      </c>
      <c r="G310" s="1664"/>
      <c r="H310" s="1682">
        <f>H311</f>
        <v>0</v>
      </c>
      <c r="I310" s="529">
        <f>I311</f>
        <v>0</v>
      </c>
      <c r="J310" s="269">
        <f>J311</f>
        <v>0</v>
      </c>
      <c r="K310" s="1858"/>
      <c r="L310" s="1858"/>
      <c r="M310" s="1858"/>
      <c r="N310" s="1200">
        <f>N311</f>
        <v>0</v>
      </c>
      <c r="O310" s="1858"/>
      <c r="P310" s="1858"/>
      <c r="Q310" s="1858"/>
      <c r="R310" s="1858"/>
      <c r="S310" s="1858"/>
      <c r="T310" s="1858"/>
      <c r="U310" s="1682">
        <f>U311</f>
        <v>0</v>
      </c>
    </row>
    <row r="311" spans="1:21" ht="30.75" hidden="1" customHeight="1" x14ac:dyDescent="0.25">
      <c r="A311" s="1179"/>
      <c r="B311" s="1191" t="s">
        <v>916</v>
      </c>
      <c r="C311" s="1193"/>
      <c r="D311" s="1531" t="s">
        <v>463</v>
      </c>
      <c r="E311" s="1531" t="s">
        <v>495</v>
      </c>
      <c r="F311" s="1531" t="s">
        <v>183</v>
      </c>
      <c r="G311" s="1663" t="s">
        <v>521</v>
      </c>
      <c r="H311" s="1682">
        <f>722.93+5324.558+935-6982.488</f>
        <v>0</v>
      </c>
      <c r="I311" s="529"/>
      <c r="J311" s="269"/>
      <c r="K311" s="1858"/>
      <c r="L311" s="1858"/>
      <c r="M311" s="1858"/>
      <c r="N311" s="1200">
        <f>722.93+5324.558+935-6982.488</f>
        <v>0</v>
      </c>
      <c r="O311" s="1858"/>
      <c r="P311" s="1858"/>
      <c r="Q311" s="1858"/>
      <c r="R311" s="1858"/>
      <c r="S311" s="1858"/>
      <c r="T311" s="1858"/>
      <c r="U311" s="1682">
        <f>722.93+5324.558+935-6982.488</f>
        <v>0</v>
      </c>
    </row>
    <row r="312" spans="1:21" ht="30.75" hidden="1" customHeight="1" x14ac:dyDescent="0.25">
      <c r="A312" s="732"/>
      <c r="B312" s="1869" t="s">
        <v>1013</v>
      </c>
      <c r="C312" s="1193"/>
      <c r="D312" s="1531" t="s">
        <v>463</v>
      </c>
      <c r="E312" s="1531" t="s">
        <v>495</v>
      </c>
      <c r="F312" s="409" t="s">
        <v>1014</v>
      </c>
      <c r="G312" s="1663"/>
      <c r="H312" s="1682">
        <f>H313</f>
        <v>0</v>
      </c>
      <c r="I312" s="529"/>
      <c r="J312" s="269"/>
      <c r="K312" s="1858"/>
      <c r="L312" s="1858"/>
      <c r="M312" s="1858"/>
      <c r="N312" s="1530"/>
      <c r="O312" s="1858"/>
      <c r="P312" s="1858"/>
      <c r="Q312" s="1858"/>
      <c r="R312" s="1858"/>
      <c r="S312" s="1858"/>
      <c r="T312" s="1858"/>
      <c r="U312" s="1682"/>
    </row>
    <row r="313" spans="1:21" ht="30.75" hidden="1" customHeight="1" x14ac:dyDescent="0.25">
      <c r="A313" s="732"/>
      <c r="B313" s="1870" t="s">
        <v>1015</v>
      </c>
      <c r="C313" s="1193"/>
      <c r="D313" s="1531" t="s">
        <v>463</v>
      </c>
      <c r="E313" s="1531" t="s">
        <v>495</v>
      </c>
      <c r="F313" s="1534" t="s">
        <v>1016</v>
      </c>
      <c r="G313" s="1663"/>
      <c r="H313" s="1682">
        <f>H314</f>
        <v>0</v>
      </c>
      <c r="I313" s="529"/>
      <c r="J313" s="269"/>
      <c r="K313" s="1858"/>
      <c r="L313" s="1858"/>
      <c r="M313" s="1858"/>
      <c r="N313" s="1530"/>
      <c r="O313" s="1858"/>
      <c r="P313" s="1858"/>
      <c r="Q313" s="1858"/>
      <c r="R313" s="1858"/>
      <c r="S313" s="1858"/>
      <c r="T313" s="1858"/>
      <c r="U313" s="1682"/>
    </row>
    <row r="314" spans="1:21" ht="30.75" hidden="1" customHeight="1" x14ac:dyDescent="0.25">
      <c r="A314" s="732"/>
      <c r="B314" s="1871" t="s">
        <v>1017</v>
      </c>
      <c r="C314" s="1193"/>
      <c r="D314" s="1531" t="s">
        <v>463</v>
      </c>
      <c r="E314" s="1531" t="s">
        <v>495</v>
      </c>
      <c r="F314" s="409" t="s">
        <v>1018</v>
      </c>
      <c r="G314" s="1663"/>
      <c r="H314" s="1682">
        <f>H315</f>
        <v>0</v>
      </c>
      <c r="I314" s="529"/>
      <c r="J314" s="269"/>
      <c r="K314" s="1858"/>
      <c r="L314" s="1858"/>
      <c r="M314" s="1858"/>
      <c r="N314" s="1530"/>
      <c r="O314" s="1858"/>
      <c r="P314" s="1858"/>
      <c r="Q314" s="1858"/>
      <c r="R314" s="1858"/>
      <c r="S314" s="1858"/>
      <c r="T314" s="1858"/>
      <c r="U314" s="1682"/>
    </row>
    <row r="315" spans="1:21" ht="30.75" hidden="1" customHeight="1" x14ac:dyDescent="0.25">
      <c r="A315" s="732"/>
      <c r="B315" s="1182" t="s">
        <v>454</v>
      </c>
      <c r="C315" s="1193"/>
      <c r="D315" s="1531" t="s">
        <v>463</v>
      </c>
      <c r="E315" s="1531" t="s">
        <v>495</v>
      </c>
      <c r="F315" s="409" t="s">
        <v>1018</v>
      </c>
      <c r="G315" s="1663" t="s">
        <v>1</v>
      </c>
      <c r="H315" s="1682"/>
      <c r="I315" s="529"/>
      <c r="J315" s="269"/>
      <c r="K315" s="1858"/>
      <c r="L315" s="1858"/>
      <c r="M315" s="1858"/>
      <c r="N315" s="1530"/>
      <c r="O315" s="1858"/>
      <c r="P315" s="1858"/>
      <c r="Q315" s="1858"/>
      <c r="R315" s="1858"/>
      <c r="S315" s="1858"/>
      <c r="T315" s="1858"/>
      <c r="U315" s="1682"/>
    </row>
    <row r="316" spans="1:21" ht="30.75" customHeight="1" x14ac:dyDescent="0.25">
      <c r="A316" s="732"/>
      <c r="B316" s="931" t="s">
        <v>1059</v>
      </c>
      <c r="C316" s="1193"/>
      <c r="D316" s="1217" t="s">
        <v>463</v>
      </c>
      <c r="E316" s="1217" t="s">
        <v>495</v>
      </c>
      <c r="F316" s="409" t="s">
        <v>468</v>
      </c>
      <c r="G316" s="1663"/>
      <c r="H316" s="1682">
        <f>H317</f>
        <v>967.48</v>
      </c>
      <c r="I316" s="529"/>
      <c r="J316" s="269"/>
      <c r="K316" s="1858"/>
      <c r="L316" s="1858"/>
      <c r="M316" s="1858"/>
      <c r="N316" s="1530">
        <f>N317</f>
        <v>500</v>
      </c>
      <c r="O316" s="1858"/>
      <c r="P316" s="1858"/>
      <c r="Q316" s="1858"/>
      <c r="R316" s="1858"/>
      <c r="S316" s="1858"/>
      <c r="T316" s="1858"/>
      <c r="U316" s="1682">
        <f>U317</f>
        <v>500</v>
      </c>
    </row>
    <row r="317" spans="1:21" ht="30.75" customHeight="1" x14ac:dyDescent="0.25">
      <c r="A317" s="732"/>
      <c r="B317" s="1242" t="s">
        <v>1053</v>
      </c>
      <c r="C317" s="1193"/>
      <c r="D317" s="1217" t="s">
        <v>463</v>
      </c>
      <c r="E317" s="1217" t="s">
        <v>495</v>
      </c>
      <c r="F317" s="409" t="s">
        <v>857</v>
      </c>
      <c r="G317" s="1663"/>
      <c r="H317" s="1682">
        <f>H318</f>
        <v>967.48</v>
      </c>
      <c r="I317" s="529"/>
      <c r="J317" s="269"/>
      <c r="K317" s="1858"/>
      <c r="L317" s="1858"/>
      <c r="M317" s="1858"/>
      <c r="N317" s="1530">
        <f>N318</f>
        <v>500</v>
      </c>
      <c r="O317" s="1858"/>
      <c r="P317" s="1858"/>
      <c r="Q317" s="1858"/>
      <c r="R317" s="1858"/>
      <c r="S317" s="1858"/>
      <c r="T317" s="1858"/>
      <c r="U317" s="1682">
        <f>U318</f>
        <v>500</v>
      </c>
    </row>
    <row r="318" spans="1:21" ht="30.75" customHeight="1" x14ac:dyDescent="0.25">
      <c r="A318" s="732"/>
      <c r="B318" s="1242" t="s">
        <v>467</v>
      </c>
      <c r="C318" s="409"/>
      <c r="D318" s="1217" t="s">
        <v>463</v>
      </c>
      <c r="E318" s="1217" t="s">
        <v>495</v>
      </c>
      <c r="F318" s="409" t="s">
        <v>858</v>
      </c>
      <c r="G318" s="1663"/>
      <c r="H318" s="1682">
        <f>H319</f>
        <v>967.48</v>
      </c>
      <c r="I318" s="529"/>
      <c r="J318" s="269"/>
      <c r="K318" s="1858"/>
      <c r="L318" s="1858"/>
      <c r="M318" s="1858"/>
      <c r="N318" s="1530">
        <f>N319</f>
        <v>500</v>
      </c>
      <c r="O318" s="1858"/>
      <c r="P318" s="1858"/>
      <c r="Q318" s="1858"/>
      <c r="R318" s="1858"/>
      <c r="S318" s="1858"/>
      <c r="T318" s="1858"/>
      <c r="U318" s="1682">
        <f>U319</f>
        <v>500</v>
      </c>
    </row>
    <row r="319" spans="1:21" ht="30.75" customHeight="1" x14ac:dyDescent="0.25">
      <c r="A319" s="732"/>
      <c r="B319" s="1242" t="s">
        <v>1054</v>
      </c>
      <c r="C319" s="1193"/>
      <c r="D319" s="1217" t="s">
        <v>463</v>
      </c>
      <c r="E319" s="1217" t="s">
        <v>495</v>
      </c>
      <c r="F319" s="409" t="s">
        <v>1055</v>
      </c>
      <c r="G319" s="1663"/>
      <c r="H319" s="1682">
        <f>H321</f>
        <v>967.48</v>
      </c>
      <c r="I319" s="529"/>
      <c r="J319" s="269"/>
      <c r="K319" s="1858"/>
      <c r="L319" s="1858"/>
      <c r="M319" s="1858"/>
      <c r="N319" s="1530">
        <f>N321</f>
        <v>500</v>
      </c>
      <c r="O319" s="1858"/>
      <c r="P319" s="1858"/>
      <c r="Q319" s="1858"/>
      <c r="R319" s="1858"/>
      <c r="S319" s="1858"/>
      <c r="T319" s="1858"/>
      <c r="U319" s="1682">
        <f>U321</f>
        <v>500</v>
      </c>
    </row>
    <row r="320" spans="1:21" ht="23.15" customHeight="1" x14ac:dyDescent="0.25">
      <c r="A320" s="732"/>
      <c r="B320" s="1182" t="s">
        <v>1048</v>
      </c>
      <c r="C320" s="1193"/>
      <c r="D320" s="1217" t="s">
        <v>463</v>
      </c>
      <c r="E320" s="1217" t="s">
        <v>495</v>
      </c>
      <c r="F320" s="409" t="s">
        <v>1055</v>
      </c>
      <c r="G320" s="1663" t="s">
        <v>955</v>
      </c>
      <c r="H320" s="1682">
        <f>H321</f>
        <v>967.48</v>
      </c>
      <c r="I320" s="529"/>
      <c r="J320" s="269"/>
      <c r="K320" s="1858"/>
      <c r="L320" s="1858"/>
      <c r="M320" s="1858"/>
      <c r="N320" s="1530">
        <f>N321</f>
        <v>500</v>
      </c>
      <c r="O320" s="1858"/>
      <c r="P320" s="1858"/>
      <c r="Q320" s="1858"/>
      <c r="R320" s="1858"/>
      <c r="S320" s="1858"/>
      <c r="T320" s="1858"/>
      <c r="U320" s="1682">
        <f>U321</f>
        <v>500</v>
      </c>
    </row>
    <row r="321" spans="1:21" ht="30.75" customHeight="1" x14ac:dyDescent="0.25">
      <c r="A321" s="732"/>
      <c r="B321" s="1182" t="s">
        <v>454</v>
      </c>
      <c r="C321" s="1193"/>
      <c r="D321" s="1217" t="s">
        <v>463</v>
      </c>
      <c r="E321" s="1217" t="s">
        <v>495</v>
      </c>
      <c r="F321" s="409" t="s">
        <v>1055</v>
      </c>
      <c r="G321" s="1663" t="s">
        <v>1</v>
      </c>
      <c r="H321" s="2157">
        <v>967.48</v>
      </c>
      <c r="I321" s="1947"/>
      <c r="J321" s="1941"/>
      <c r="K321" s="2040"/>
      <c r="L321" s="2041"/>
      <c r="M321" s="2"/>
      <c r="N321" s="1682">
        <v>500</v>
      </c>
      <c r="O321" s="2"/>
      <c r="P321" s="1986">
        <v>500</v>
      </c>
      <c r="Q321" s="1986">
        <v>500</v>
      </c>
      <c r="R321" s="1858"/>
      <c r="S321" s="1858"/>
      <c r="T321" s="1858"/>
      <c r="U321" s="1682">
        <v>500</v>
      </c>
    </row>
    <row r="322" spans="1:21" ht="30.75" hidden="1" customHeight="1" x14ac:dyDescent="0.25">
      <c r="A322" s="732"/>
      <c r="B322" s="1182" t="s">
        <v>34</v>
      </c>
      <c r="C322" s="1193"/>
      <c r="D322" s="1217" t="s">
        <v>463</v>
      </c>
      <c r="E322" s="1217" t="s">
        <v>495</v>
      </c>
      <c r="F322" s="409" t="s">
        <v>1055</v>
      </c>
      <c r="G322" s="1663"/>
      <c r="H322" s="1682"/>
      <c r="I322" s="529"/>
      <c r="J322" s="269"/>
      <c r="K322" s="1858"/>
      <c r="L322" s="1858"/>
      <c r="M322" s="1858"/>
      <c r="N322" s="1530"/>
      <c r="O322" s="1858"/>
      <c r="P322" s="1858"/>
      <c r="Q322" s="1858"/>
      <c r="R322" s="1858"/>
      <c r="S322" s="1858"/>
      <c r="T322" s="1858"/>
      <c r="U322" s="1682"/>
    </row>
    <row r="323" spans="1:21" ht="30.75" customHeight="1" x14ac:dyDescent="0.25">
      <c r="A323" s="732"/>
      <c r="B323" s="1242" t="s">
        <v>1049</v>
      </c>
      <c r="C323" s="1193"/>
      <c r="D323" s="1248" t="s">
        <v>463</v>
      </c>
      <c r="E323" s="1248" t="s">
        <v>495</v>
      </c>
      <c r="F323" s="409" t="s">
        <v>1045</v>
      </c>
      <c r="G323" s="1663"/>
      <c r="H323" s="1682">
        <f>H324</f>
        <v>300</v>
      </c>
      <c r="I323" s="529"/>
      <c r="J323" s="269"/>
      <c r="K323" s="1858"/>
      <c r="L323" s="1858"/>
      <c r="M323" s="1858"/>
      <c r="N323" s="1530">
        <f>N324</f>
        <v>300</v>
      </c>
      <c r="O323" s="1858"/>
      <c r="P323" s="1858"/>
      <c r="Q323" s="1858"/>
      <c r="R323" s="1858"/>
      <c r="S323" s="1858"/>
      <c r="T323" s="1858"/>
      <c r="U323" s="1682">
        <f>U324</f>
        <v>300</v>
      </c>
    </row>
    <row r="324" spans="1:21" ht="30.75" customHeight="1" x14ac:dyDescent="0.25">
      <c r="A324" s="732"/>
      <c r="B324" s="1242" t="s">
        <v>1050</v>
      </c>
      <c r="C324" s="1193"/>
      <c r="D324" s="1217" t="s">
        <v>463</v>
      </c>
      <c r="E324" s="1217" t="s">
        <v>495</v>
      </c>
      <c r="F324" s="409" t="s">
        <v>1046</v>
      </c>
      <c r="G324" s="1663"/>
      <c r="H324" s="1682">
        <f>H325</f>
        <v>300</v>
      </c>
      <c r="I324" s="529"/>
      <c r="J324" s="269"/>
      <c r="K324" s="1858"/>
      <c r="L324" s="1858"/>
      <c r="M324" s="1858"/>
      <c r="N324" s="1530">
        <f>N325</f>
        <v>300</v>
      </c>
      <c r="O324" s="1858"/>
      <c r="P324" s="1858"/>
      <c r="Q324" s="1858"/>
      <c r="R324" s="1858"/>
      <c r="S324" s="1858"/>
      <c r="T324" s="1858"/>
      <c r="U324" s="1682">
        <f>U325</f>
        <v>300</v>
      </c>
    </row>
    <row r="325" spans="1:21" ht="30.75" customHeight="1" x14ac:dyDescent="0.25">
      <c r="A325" s="732"/>
      <c r="B325" s="1242" t="s">
        <v>1051</v>
      </c>
      <c r="C325" s="1193"/>
      <c r="D325" s="1217" t="s">
        <v>463</v>
      </c>
      <c r="E325" s="1217" t="s">
        <v>495</v>
      </c>
      <c r="F325" s="409" t="s">
        <v>1047</v>
      </c>
      <c r="G325" s="1663"/>
      <c r="H325" s="1682">
        <f>H327</f>
        <v>300</v>
      </c>
      <c r="I325" s="529"/>
      <c r="J325" s="269"/>
      <c r="K325" s="1858"/>
      <c r="L325" s="1858"/>
      <c r="M325" s="1858"/>
      <c r="N325" s="1530">
        <f>N327</f>
        <v>300</v>
      </c>
      <c r="O325" s="1858"/>
      <c r="P325" s="1858"/>
      <c r="Q325" s="1858"/>
      <c r="R325" s="1858"/>
      <c r="S325" s="1858"/>
      <c r="T325" s="1858"/>
      <c r="U325" s="1682">
        <f>U327</f>
        <v>300</v>
      </c>
    </row>
    <row r="326" spans="1:21" ht="22" customHeight="1" x14ac:dyDescent="0.25">
      <c r="A326" s="732"/>
      <c r="B326" s="1242" t="s">
        <v>1048</v>
      </c>
      <c r="C326" s="1193"/>
      <c r="D326" s="1217" t="s">
        <v>463</v>
      </c>
      <c r="E326" s="1217" t="s">
        <v>495</v>
      </c>
      <c r="F326" s="409" t="s">
        <v>1052</v>
      </c>
      <c r="G326" s="1663" t="s">
        <v>955</v>
      </c>
      <c r="H326" s="1682">
        <f>H327</f>
        <v>300</v>
      </c>
      <c r="I326" s="529"/>
      <c r="J326" s="269"/>
      <c r="K326" s="1858"/>
      <c r="L326" s="1858"/>
      <c r="M326" s="1858"/>
      <c r="N326" s="1530">
        <f>N327</f>
        <v>300</v>
      </c>
      <c r="O326" s="1858"/>
      <c r="P326" s="1858"/>
      <c r="Q326" s="1858"/>
      <c r="R326" s="1858"/>
      <c r="S326" s="1858"/>
      <c r="T326" s="1858"/>
      <c r="U326" s="1682">
        <f>U327</f>
        <v>300</v>
      </c>
    </row>
    <row r="327" spans="1:21" ht="30.75" customHeight="1" x14ac:dyDescent="0.25">
      <c r="A327" s="732"/>
      <c r="B327" s="1182" t="s">
        <v>4</v>
      </c>
      <c r="C327" s="1193"/>
      <c r="D327" s="1217" t="s">
        <v>463</v>
      </c>
      <c r="E327" s="1217" t="s">
        <v>495</v>
      </c>
      <c r="F327" s="409" t="s">
        <v>1052</v>
      </c>
      <c r="G327" s="1663" t="s">
        <v>1</v>
      </c>
      <c r="H327" s="1682">
        <v>300</v>
      </c>
      <c r="I327" s="529"/>
      <c r="J327" s="269"/>
      <c r="K327" s="1858"/>
      <c r="L327" s="1858"/>
      <c r="M327" s="1858"/>
      <c r="N327" s="1530">
        <v>300</v>
      </c>
      <c r="O327" s="1858"/>
      <c r="P327" s="1858"/>
      <c r="Q327" s="1858"/>
      <c r="R327" s="1858"/>
      <c r="S327" s="1858"/>
      <c r="T327" s="1858"/>
      <c r="U327" s="1682">
        <v>300</v>
      </c>
    </row>
    <row r="328" spans="1:21" ht="37" customHeight="1" x14ac:dyDescent="0.25">
      <c r="A328" s="732"/>
      <c r="B328" s="1872" t="s">
        <v>1095</v>
      </c>
      <c r="C328" s="409"/>
      <c r="D328" s="1248" t="s">
        <v>463</v>
      </c>
      <c r="E328" s="1248" t="s">
        <v>495</v>
      </c>
      <c r="F328" s="409" t="s">
        <v>952</v>
      </c>
      <c r="G328" s="1667"/>
      <c r="H328" s="1682">
        <f>H332+H334</f>
        <v>1109.55</v>
      </c>
      <c r="I328" s="529"/>
      <c r="J328" s="269"/>
      <c r="K328" s="1858"/>
      <c r="L328" s="1858"/>
      <c r="M328" s="1858"/>
      <c r="N328" s="1530">
        <f>N332+N334</f>
        <v>1500</v>
      </c>
      <c r="O328" s="1858"/>
      <c r="P328" s="1858"/>
      <c r="Q328" s="1858"/>
      <c r="R328" s="1858"/>
      <c r="S328" s="1858"/>
      <c r="T328" s="1858"/>
      <c r="U328" s="1682">
        <f>U332+U334</f>
        <v>1500</v>
      </c>
    </row>
    <row r="329" spans="1:21" ht="30.75" hidden="1" customHeight="1" x14ac:dyDescent="0.25">
      <c r="A329" s="732"/>
      <c r="B329" s="1873" t="s">
        <v>947</v>
      </c>
      <c r="C329" s="409"/>
      <c r="D329" s="409" t="s">
        <v>463</v>
      </c>
      <c r="E329" s="409" t="s">
        <v>495</v>
      </c>
      <c r="F329" s="409" t="s">
        <v>953</v>
      </c>
      <c r="G329" s="1668"/>
      <c r="H329" s="1682">
        <f>H330</f>
        <v>0</v>
      </c>
      <c r="I329" s="529"/>
      <c r="J329" s="269"/>
      <c r="K329" s="1858"/>
      <c r="L329" s="1858"/>
      <c r="M329" s="1858"/>
      <c r="N329" s="1530">
        <f>N330</f>
        <v>0</v>
      </c>
      <c r="O329" s="1858"/>
      <c r="P329" s="1858"/>
      <c r="Q329" s="1858"/>
      <c r="R329" s="1858"/>
      <c r="S329" s="1858"/>
      <c r="T329" s="1858"/>
      <c r="U329" s="1682">
        <f>U330</f>
        <v>0</v>
      </c>
    </row>
    <row r="330" spans="1:21" ht="30.75" hidden="1" customHeight="1" x14ac:dyDescent="0.25">
      <c r="A330" s="732"/>
      <c r="B330" s="1874" t="s">
        <v>950</v>
      </c>
      <c r="C330" s="409"/>
      <c r="D330" s="409" t="s">
        <v>463</v>
      </c>
      <c r="E330" s="409" t="s">
        <v>495</v>
      </c>
      <c r="F330" s="1864" t="s">
        <v>954</v>
      </c>
      <c r="G330" s="1875"/>
      <c r="H330" s="1682">
        <f>H332</f>
        <v>0</v>
      </c>
      <c r="I330" s="529"/>
      <c r="J330" s="269"/>
      <c r="K330" s="1858"/>
      <c r="L330" s="1858"/>
      <c r="M330" s="1858"/>
      <c r="N330" s="1530">
        <f>N332</f>
        <v>0</v>
      </c>
      <c r="O330" s="1858"/>
      <c r="P330" s="1858"/>
      <c r="Q330" s="1858"/>
      <c r="R330" s="1858"/>
      <c r="S330" s="1858"/>
      <c r="T330" s="1858"/>
      <c r="U330" s="1682">
        <f>U332</f>
        <v>0</v>
      </c>
    </row>
    <row r="331" spans="1:21" ht="30.75" hidden="1" customHeight="1" x14ac:dyDescent="0.25">
      <c r="A331" s="732"/>
      <c r="B331" s="753" t="s">
        <v>948</v>
      </c>
      <c r="C331" s="409"/>
      <c r="D331" s="1217" t="s">
        <v>463</v>
      </c>
      <c r="E331" s="1217" t="s">
        <v>495</v>
      </c>
      <c r="F331" s="1864" t="s">
        <v>954</v>
      </c>
      <c r="G331" s="1876" t="s">
        <v>955</v>
      </c>
      <c r="H331" s="1682"/>
      <c r="I331" s="529"/>
      <c r="J331" s="269"/>
      <c r="K331" s="1858"/>
      <c r="L331" s="1858"/>
      <c r="M331" s="1858"/>
      <c r="N331" s="1530"/>
      <c r="O331" s="1858"/>
      <c r="P331" s="1858"/>
      <c r="Q331" s="1858"/>
      <c r="R331" s="1858"/>
      <c r="S331" s="1858"/>
      <c r="T331" s="1858"/>
      <c r="U331" s="1682"/>
    </row>
    <row r="332" spans="1:21" ht="30.75" hidden="1" customHeight="1" x14ac:dyDescent="0.25">
      <c r="A332" s="732"/>
      <c r="B332" s="1182" t="s">
        <v>454</v>
      </c>
      <c r="C332" s="409"/>
      <c r="D332" s="1217" t="s">
        <v>463</v>
      </c>
      <c r="E332" s="1217" t="s">
        <v>495</v>
      </c>
      <c r="F332" s="1864" t="s">
        <v>954</v>
      </c>
      <c r="G332" s="1662" t="s">
        <v>1</v>
      </c>
      <c r="H332" s="1682">
        <f>450-450</f>
        <v>0</v>
      </c>
      <c r="I332" s="529"/>
      <c r="J332" s="269"/>
      <c r="K332" s="1858">
        <v>450</v>
      </c>
      <c r="L332" s="1858"/>
      <c r="M332" s="1858"/>
      <c r="N332" s="1530"/>
      <c r="O332" s="1858"/>
      <c r="P332" s="1858"/>
      <c r="Q332" s="1858"/>
      <c r="R332" s="1858"/>
      <c r="S332" s="1858"/>
      <c r="T332" s="1858"/>
      <c r="U332" s="1682"/>
    </row>
    <row r="333" spans="1:21" ht="30.75" hidden="1" customHeight="1" x14ac:dyDescent="0.25">
      <c r="A333" s="732"/>
      <c r="B333" s="1182" t="s">
        <v>34</v>
      </c>
      <c r="C333" s="409"/>
      <c r="D333" s="1217" t="s">
        <v>463</v>
      </c>
      <c r="E333" s="1217" t="s">
        <v>495</v>
      </c>
      <c r="F333" s="1864" t="s">
        <v>954</v>
      </c>
      <c r="G333" s="1662" t="s">
        <v>1</v>
      </c>
      <c r="H333" s="1682"/>
      <c r="I333" s="529"/>
      <c r="J333" s="269"/>
      <c r="K333" s="1858"/>
      <c r="L333" s="1858"/>
      <c r="M333" s="1858"/>
      <c r="N333" s="1530"/>
      <c r="O333" s="1858"/>
      <c r="P333" s="1858"/>
      <c r="Q333" s="1858"/>
      <c r="R333" s="1858"/>
      <c r="S333" s="1858"/>
      <c r="T333" s="1858"/>
      <c r="U333" s="1682"/>
    </row>
    <row r="334" spans="1:21" ht="30.75" customHeight="1" x14ac:dyDescent="0.25">
      <c r="A334" s="732"/>
      <c r="B334" s="1872" t="s">
        <v>1019</v>
      </c>
      <c r="C334" s="409"/>
      <c r="D334" s="1217" t="s">
        <v>463</v>
      </c>
      <c r="E334" s="1217" t="s">
        <v>495</v>
      </c>
      <c r="F334" s="409" t="s">
        <v>1020</v>
      </c>
      <c r="G334" s="1668"/>
      <c r="H334" s="1682">
        <f>H335</f>
        <v>1109.55</v>
      </c>
      <c r="I334" s="529"/>
      <c r="J334" s="269"/>
      <c r="K334" s="1858"/>
      <c r="L334" s="1858"/>
      <c r="M334" s="1858"/>
      <c r="N334" s="1530">
        <f>N335</f>
        <v>1500</v>
      </c>
      <c r="O334" s="1858"/>
      <c r="P334" s="1858"/>
      <c r="Q334" s="1858"/>
      <c r="R334" s="1858"/>
      <c r="S334" s="1858"/>
      <c r="T334" s="1858"/>
      <c r="U334" s="1682">
        <f>U335</f>
        <v>1500</v>
      </c>
    </row>
    <row r="335" spans="1:21" ht="30.75" customHeight="1" x14ac:dyDescent="0.25">
      <c r="A335" s="732"/>
      <c r="B335" s="753" t="s">
        <v>1021</v>
      </c>
      <c r="C335" s="409"/>
      <c r="D335" s="409" t="s">
        <v>463</v>
      </c>
      <c r="E335" s="409" t="s">
        <v>495</v>
      </c>
      <c r="F335" s="1864" t="s">
        <v>1022</v>
      </c>
      <c r="G335" s="1875"/>
      <c r="H335" s="1682">
        <f>H337</f>
        <v>1109.55</v>
      </c>
      <c r="I335" s="529"/>
      <c r="J335" s="269"/>
      <c r="K335" s="1858"/>
      <c r="L335" s="1858"/>
      <c r="M335" s="1858"/>
      <c r="N335" s="1530">
        <f>N337</f>
        <v>1500</v>
      </c>
      <c r="O335" s="1858"/>
      <c r="P335" s="1858"/>
      <c r="Q335" s="1858"/>
      <c r="R335" s="1858"/>
      <c r="S335" s="1858"/>
      <c r="T335" s="1858"/>
      <c r="U335" s="1682">
        <f>U337</f>
        <v>1500</v>
      </c>
    </row>
    <row r="336" spans="1:21" ht="23.5" customHeight="1" x14ac:dyDescent="0.25">
      <c r="A336" s="732"/>
      <c r="B336" s="753" t="s">
        <v>948</v>
      </c>
      <c r="C336" s="409"/>
      <c r="D336" s="1217" t="s">
        <v>463</v>
      </c>
      <c r="E336" s="1217" t="s">
        <v>495</v>
      </c>
      <c r="F336" s="1864" t="s">
        <v>957</v>
      </c>
      <c r="G336" s="1876" t="s">
        <v>955</v>
      </c>
      <c r="H336" s="1682">
        <f>H337</f>
        <v>1109.55</v>
      </c>
      <c r="I336" s="529"/>
      <c r="J336" s="269"/>
      <c r="K336" s="1858"/>
      <c r="L336" s="1858"/>
      <c r="M336" s="1858"/>
      <c r="N336" s="1530">
        <f>N337</f>
        <v>1500</v>
      </c>
      <c r="O336" s="1858"/>
      <c r="P336" s="1858"/>
      <c r="Q336" s="1858"/>
      <c r="R336" s="1858"/>
      <c r="S336" s="1858"/>
      <c r="T336" s="1858"/>
      <c r="U336" s="1682">
        <f>U337</f>
        <v>1500</v>
      </c>
    </row>
    <row r="337" spans="1:21" ht="30.75" customHeight="1" x14ac:dyDescent="0.25">
      <c r="A337" s="732"/>
      <c r="B337" s="1182" t="s">
        <v>454</v>
      </c>
      <c r="C337" s="409"/>
      <c r="D337" s="409" t="s">
        <v>463</v>
      </c>
      <c r="E337" s="409" t="s">
        <v>495</v>
      </c>
      <c r="F337" s="1864" t="s">
        <v>1022</v>
      </c>
      <c r="G337" s="1662" t="s">
        <v>1</v>
      </c>
      <c r="H337" s="1682">
        <f>899.55+210</f>
        <v>1109.55</v>
      </c>
      <c r="I337" s="529"/>
      <c r="J337" s="269"/>
      <c r="K337" s="1858"/>
      <c r="L337" s="1858"/>
      <c r="M337" s="1858"/>
      <c r="N337" s="1530">
        <f>750+750</f>
        <v>1500</v>
      </c>
      <c r="O337" s="1858"/>
      <c r="P337" s="1858"/>
      <c r="Q337" s="1858"/>
      <c r="R337" s="1858"/>
      <c r="S337" s="1858"/>
      <c r="T337" s="1858"/>
      <c r="U337" s="1682">
        <f>750+750</f>
        <v>1500</v>
      </c>
    </row>
    <row r="338" spans="1:21" ht="30.75" customHeight="1" x14ac:dyDescent="0.25">
      <c r="A338" s="732"/>
      <c r="B338" s="1872" t="s">
        <v>1067</v>
      </c>
      <c r="C338" s="1193"/>
      <c r="D338" s="1531" t="s">
        <v>463</v>
      </c>
      <c r="E338" s="1531" t="s">
        <v>495</v>
      </c>
      <c r="F338" s="409" t="s">
        <v>1014</v>
      </c>
      <c r="G338" s="1663"/>
      <c r="H338" s="1682">
        <f>H339</f>
        <v>21.337</v>
      </c>
      <c r="I338" s="529"/>
      <c r="J338" s="269"/>
      <c r="K338" s="1858"/>
      <c r="L338" s="1858"/>
      <c r="M338" s="1858"/>
      <c r="N338" s="1530">
        <f>N339</f>
        <v>150</v>
      </c>
      <c r="O338" s="1858"/>
      <c r="P338" s="1858"/>
      <c r="Q338" s="1858"/>
      <c r="R338" s="1858"/>
      <c r="S338" s="1858"/>
      <c r="T338" s="1858"/>
      <c r="U338" s="1682">
        <f>U339</f>
        <v>150</v>
      </c>
    </row>
    <row r="339" spans="1:21" ht="30.75" customHeight="1" x14ac:dyDescent="0.25">
      <c r="A339" s="732"/>
      <c r="B339" s="1870" t="s">
        <v>1023</v>
      </c>
      <c r="C339" s="1193"/>
      <c r="D339" s="1531" t="s">
        <v>463</v>
      </c>
      <c r="E339" s="1531" t="s">
        <v>495</v>
      </c>
      <c r="F339" s="409" t="s">
        <v>1016</v>
      </c>
      <c r="G339" s="1663"/>
      <c r="H339" s="1682">
        <f>H340</f>
        <v>21.337</v>
      </c>
      <c r="I339" s="529"/>
      <c r="J339" s="269"/>
      <c r="K339" s="1858"/>
      <c r="L339" s="1858"/>
      <c r="M339" s="1858"/>
      <c r="N339" s="1530">
        <f>N340</f>
        <v>150</v>
      </c>
      <c r="O339" s="1858"/>
      <c r="P339" s="1858"/>
      <c r="Q339" s="1858"/>
      <c r="R339" s="1858"/>
      <c r="S339" s="1858"/>
      <c r="T339" s="1858"/>
      <c r="U339" s="1682">
        <f>U340</f>
        <v>150</v>
      </c>
    </row>
    <row r="340" spans="1:21" ht="30.75" customHeight="1" x14ac:dyDescent="0.25">
      <c r="A340" s="732"/>
      <c r="B340" s="1871" t="s">
        <v>1024</v>
      </c>
      <c r="C340" s="1193"/>
      <c r="D340" s="1877" t="s">
        <v>463</v>
      </c>
      <c r="E340" s="1877" t="s">
        <v>495</v>
      </c>
      <c r="F340" s="409" t="s">
        <v>1018</v>
      </c>
      <c r="G340" s="1663"/>
      <c r="H340" s="1682">
        <f>H342</f>
        <v>21.337</v>
      </c>
      <c r="I340" s="529"/>
      <c r="J340" s="269"/>
      <c r="K340" s="1858"/>
      <c r="L340" s="1858"/>
      <c r="M340" s="1858"/>
      <c r="N340" s="1530">
        <f>N342</f>
        <v>150</v>
      </c>
      <c r="O340" s="1858"/>
      <c r="P340" s="1858"/>
      <c r="Q340" s="1858"/>
      <c r="R340" s="1858"/>
      <c r="S340" s="1858"/>
      <c r="T340" s="1858"/>
      <c r="U340" s="1682">
        <f>U342</f>
        <v>150</v>
      </c>
    </row>
    <row r="341" spans="1:21" ht="22" customHeight="1" x14ac:dyDescent="0.25">
      <c r="A341" s="732"/>
      <c r="B341" s="753" t="s">
        <v>948</v>
      </c>
      <c r="C341" s="1193"/>
      <c r="D341" s="1531" t="s">
        <v>463</v>
      </c>
      <c r="E341" s="1531" t="s">
        <v>495</v>
      </c>
      <c r="F341" s="409" t="s">
        <v>1018</v>
      </c>
      <c r="G341" s="1663" t="s">
        <v>955</v>
      </c>
      <c r="H341" s="1682">
        <f t="shared" ref="H341:U341" si="71">H342</f>
        <v>21.337</v>
      </c>
      <c r="I341" s="529">
        <f t="shared" si="71"/>
        <v>0</v>
      </c>
      <c r="J341" s="269">
        <f t="shared" si="71"/>
        <v>0</v>
      </c>
      <c r="K341" s="1858">
        <f t="shared" si="71"/>
        <v>0</v>
      </c>
      <c r="L341" s="1858">
        <f t="shared" si="71"/>
        <v>0</v>
      </c>
      <c r="M341" s="1858">
        <f t="shared" si="71"/>
        <v>0</v>
      </c>
      <c r="N341" s="1530">
        <f t="shared" si="71"/>
        <v>150</v>
      </c>
      <c r="O341" s="1858">
        <f t="shared" si="71"/>
        <v>0</v>
      </c>
      <c r="P341" s="1858">
        <f t="shared" si="71"/>
        <v>0</v>
      </c>
      <c r="Q341" s="1858">
        <f t="shared" si="71"/>
        <v>0</v>
      </c>
      <c r="R341" s="1858">
        <f t="shared" si="71"/>
        <v>0</v>
      </c>
      <c r="S341" s="1858">
        <f t="shared" si="71"/>
        <v>0</v>
      </c>
      <c r="T341" s="1858">
        <f t="shared" si="71"/>
        <v>0</v>
      </c>
      <c r="U341" s="1682">
        <f t="shared" si="71"/>
        <v>150</v>
      </c>
    </row>
    <row r="342" spans="1:21" ht="30.75" customHeight="1" x14ac:dyDescent="0.25">
      <c r="A342" s="732"/>
      <c r="B342" s="1182" t="s">
        <v>454</v>
      </c>
      <c r="C342" s="1193"/>
      <c r="D342" s="1531" t="s">
        <v>463</v>
      </c>
      <c r="E342" s="1531" t="s">
        <v>495</v>
      </c>
      <c r="F342" s="409" t="s">
        <v>1018</v>
      </c>
      <c r="G342" s="1663" t="s">
        <v>1</v>
      </c>
      <c r="H342" s="1682">
        <v>21.337</v>
      </c>
      <c r="I342" s="529"/>
      <c r="J342" s="269"/>
      <c r="K342" s="1858"/>
      <c r="L342" s="1858"/>
      <c r="M342" s="1858"/>
      <c r="N342" s="1530">
        <v>150</v>
      </c>
      <c r="O342" s="1858"/>
      <c r="P342" s="1858"/>
      <c r="Q342" s="1858"/>
      <c r="R342" s="1858"/>
      <c r="S342" s="1858"/>
      <c r="T342" s="1858"/>
      <c r="U342" s="1682">
        <v>150</v>
      </c>
    </row>
    <row r="343" spans="1:21" ht="30.75" customHeight="1" x14ac:dyDescent="0.25">
      <c r="A343" s="732"/>
      <c r="B343" s="1872" t="s">
        <v>1096</v>
      </c>
      <c r="C343" s="409"/>
      <c r="D343" s="1217" t="s">
        <v>463</v>
      </c>
      <c r="E343" s="1217" t="s">
        <v>495</v>
      </c>
      <c r="F343" s="409" t="s">
        <v>1026</v>
      </c>
      <c r="G343" s="1662"/>
      <c r="H343" s="1682">
        <f>H345</f>
        <v>4129.9989999999998</v>
      </c>
      <c r="I343" s="529"/>
      <c r="J343" s="269"/>
      <c r="K343" s="1858"/>
      <c r="L343" s="1858"/>
      <c r="M343" s="1858"/>
      <c r="N343" s="1530">
        <f>N345</f>
        <v>4000</v>
      </c>
      <c r="O343" s="1858"/>
      <c r="P343" s="1858"/>
      <c r="Q343" s="1858"/>
      <c r="R343" s="1858"/>
      <c r="S343" s="1858"/>
      <c r="T343" s="1858"/>
      <c r="U343" s="1682">
        <f>U345</f>
        <v>4000</v>
      </c>
    </row>
    <row r="344" spans="1:21" ht="27" customHeight="1" x14ac:dyDescent="0.25">
      <c r="A344" s="732"/>
      <c r="B344" s="1879" t="s">
        <v>1027</v>
      </c>
      <c r="C344" s="409"/>
      <c r="D344" s="1217" t="s">
        <v>463</v>
      </c>
      <c r="E344" s="1217" t="s">
        <v>495</v>
      </c>
      <c r="F344" s="409" t="s">
        <v>1028</v>
      </c>
      <c r="G344" s="1662"/>
      <c r="H344" s="1682">
        <f>H345</f>
        <v>4129.9989999999998</v>
      </c>
      <c r="I344" s="529"/>
      <c r="J344" s="269"/>
      <c r="K344" s="1858"/>
      <c r="L344" s="1858"/>
      <c r="M344" s="1858"/>
      <c r="N344" s="1530">
        <f>N345</f>
        <v>4000</v>
      </c>
      <c r="O344" s="1858"/>
      <c r="P344" s="1858"/>
      <c r="Q344" s="1858"/>
      <c r="R344" s="1858"/>
      <c r="S344" s="1858"/>
      <c r="T344" s="1858"/>
      <c r="U344" s="1682">
        <f>U345</f>
        <v>4000</v>
      </c>
    </row>
    <row r="345" spans="1:21" ht="30.75" customHeight="1" x14ac:dyDescent="0.25">
      <c r="A345" s="732"/>
      <c r="B345" s="1870" t="s">
        <v>1029</v>
      </c>
      <c r="C345" s="409"/>
      <c r="D345" s="1217" t="s">
        <v>463</v>
      </c>
      <c r="E345" s="1217" t="s">
        <v>495</v>
      </c>
      <c r="F345" s="409" t="s">
        <v>1030</v>
      </c>
      <c r="G345" s="1662"/>
      <c r="H345" s="1682">
        <f>H346</f>
        <v>4129.9989999999998</v>
      </c>
      <c r="I345" s="529"/>
      <c r="J345" s="269"/>
      <c r="K345" s="1858"/>
      <c r="L345" s="1858"/>
      <c r="M345" s="1858"/>
      <c r="N345" s="1530">
        <f>N346</f>
        <v>4000</v>
      </c>
      <c r="O345" s="1858"/>
      <c r="P345" s="1858"/>
      <c r="Q345" s="1858"/>
      <c r="R345" s="1858"/>
      <c r="S345" s="1858"/>
      <c r="T345" s="1858"/>
      <c r="U345" s="1682">
        <f>U346</f>
        <v>4000</v>
      </c>
    </row>
    <row r="346" spans="1:21" ht="30.75" customHeight="1" x14ac:dyDescent="0.25">
      <c r="A346" s="732"/>
      <c r="B346" s="1871" t="s">
        <v>1031</v>
      </c>
      <c r="C346" s="409"/>
      <c r="D346" s="1217" t="s">
        <v>463</v>
      </c>
      <c r="E346" s="1217" t="s">
        <v>495</v>
      </c>
      <c r="F346" s="409" t="s">
        <v>1032</v>
      </c>
      <c r="G346" s="1662"/>
      <c r="H346" s="1682">
        <f>H348</f>
        <v>4129.9989999999998</v>
      </c>
      <c r="I346" s="529"/>
      <c r="J346" s="269"/>
      <c r="K346" s="1858"/>
      <c r="L346" s="1858"/>
      <c r="M346" s="1858"/>
      <c r="N346" s="1530">
        <f>N348</f>
        <v>4000</v>
      </c>
      <c r="O346" s="1858"/>
      <c r="P346" s="1858"/>
      <c r="Q346" s="1858"/>
      <c r="R346" s="1858"/>
      <c r="S346" s="1858"/>
      <c r="T346" s="1858"/>
      <c r="U346" s="1682">
        <f>U348</f>
        <v>4000</v>
      </c>
    </row>
    <row r="347" spans="1:21" ht="20.149999999999999" customHeight="1" x14ac:dyDescent="0.25">
      <c r="A347" s="732"/>
      <c r="B347" s="753" t="s">
        <v>948</v>
      </c>
      <c r="C347" s="409"/>
      <c r="D347" s="1217" t="s">
        <v>463</v>
      </c>
      <c r="E347" s="1217" t="s">
        <v>495</v>
      </c>
      <c r="F347" s="409" t="s">
        <v>1032</v>
      </c>
      <c r="G347" s="1662" t="s">
        <v>955</v>
      </c>
      <c r="H347" s="1682">
        <f t="shared" ref="H347:U347" si="72">H348</f>
        <v>4129.9989999999998</v>
      </c>
      <c r="I347" s="529">
        <f t="shared" si="72"/>
        <v>0</v>
      </c>
      <c r="J347" s="269">
        <f t="shared" si="72"/>
        <v>0</v>
      </c>
      <c r="K347" s="1858">
        <f t="shared" si="72"/>
        <v>0</v>
      </c>
      <c r="L347" s="1858">
        <f t="shared" si="72"/>
        <v>0</v>
      </c>
      <c r="M347" s="1858">
        <f t="shared" si="72"/>
        <v>0</v>
      </c>
      <c r="N347" s="1530">
        <f t="shared" si="72"/>
        <v>4000</v>
      </c>
      <c r="O347" s="1858">
        <f t="shared" si="72"/>
        <v>0</v>
      </c>
      <c r="P347" s="1858">
        <f t="shared" si="72"/>
        <v>0</v>
      </c>
      <c r="Q347" s="1858">
        <f t="shared" si="72"/>
        <v>0</v>
      </c>
      <c r="R347" s="1858">
        <f t="shared" si="72"/>
        <v>0</v>
      </c>
      <c r="S347" s="1858">
        <f t="shared" si="72"/>
        <v>0</v>
      </c>
      <c r="T347" s="1858">
        <f t="shared" si="72"/>
        <v>0</v>
      </c>
      <c r="U347" s="1682">
        <f t="shared" si="72"/>
        <v>4000</v>
      </c>
    </row>
    <row r="348" spans="1:21" ht="30.75" customHeight="1" x14ac:dyDescent="0.25">
      <c r="A348" s="732"/>
      <c r="B348" s="1182" t="s">
        <v>454</v>
      </c>
      <c r="C348" s="409"/>
      <c r="D348" s="1217" t="s">
        <v>463</v>
      </c>
      <c r="E348" s="1217" t="s">
        <v>495</v>
      </c>
      <c r="F348" s="409" t="s">
        <v>1032</v>
      </c>
      <c r="G348" s="1662" t="s">
        <v>1</v>
      </c>
      <c r="H348" s="1682">
        <v>4129.9989999999998</v>
      </c>
      <c r="I348" s="529"/>
      <c r="J348" s="269"/>
      <c r="K348" s="1858"/>
      <c r="L348" s="1858"/>
      <c r="M348" s="1858"/>
      <c r="N348" s="1530">
        <v>4000</v>
      </c>
      <c r="O348" s="1858"/>
      <c r="P348" s="1858"/>
      <c r="Q348" s="1858"/>
      <c r="R348" s="1858"/>
      <c r="S348" s="1858"/>
      <c r="T348" s="1858"/>
      <c r="U348" s="1682">
        <v>4000</v>
      </c>
    </row>
    <row r="349" spans="1:21" ht="30.75" customHeight="1" x14ac:dyDescent="0.25">
      <c r="A349" s="732"/>
      <c r="B349" s="1182" t="s">
        <v>499</v>
      </c>
      <c r="C349" s="1880"/>
      <c r="D349" s="1221" t="s">
        <v>463</v>
      </c>
      <c r="E349" s="1221" t="s">
        <v>495</v>
      </c>
      <c r="F349" s="1662" t="s">
        <v>89</v>
      </c>
      <c r="G349" s="1662"/>
      <c r="H349" s="1682">
        <f>H350</f>
        <v>5480</v>
      </c>
      <c r="I349" s="529"/>
      <c r="J349" s="269"/>
      <c r="K349" s="1858"/>
      <c r="L349" s="1858"/>
      <c r="M349" s="1858"/>
      <c r="N349" s="1200">
        <f>N350</f>
        <v>5560</v>
      </c>
      <c r="O349" s="1858"/>
      <c r="P349" s="1858"/>
      <c r="Q349" s="1858"/>
      <c r="R349" s="1858"/>
      <c r="S349" s="1858"/>
      <c r="T349" s="1858"/>
      <c r="U349" s="1682">
        <f>U350</f>
        <v>4643.2</v>
      </c>
    </row>
    <row r="350" spans="1:21" ht="30.75" customHeight="1" x14ac:dyDescent="0.25">
      <c r="A350" s="1179"/>
      <c r="B350" s="1882" t="s">
        <v>109</v>
      </c>
      <c r="C350" s="409"/>
      <c r="D350" s="1217" t="s">
        <v>463</v>
      </c>
      <c r="E350" s="1217" t="s">
        <v>495</v>
      </c>
      <c r="F350" s="409" t="s">
        <v>84</v>
      </c>
      <c r="G350" s="1883"/>
      <c r="H350" s="1682">
        <f>H351</f>
        <v>5480</v>
      </c>
      <c r="I350" s="529"/>
      <c r="J350" s="269"/>
      <c r="K350" s="1858"/>
      <c r="L350" s="1858"/>
      <c r="M350" s="1858"/>
      <c r="N350" s="1200">
        <f>N351</f>
        <v>5560</v>
      </c>
      <c r="O350" s="1858"/>
      <c r="P350" s="1858"/>
      <c r="Q350" s="1858"/>
      <c r="R350" s="1858"/>
      <c r="S350" s="1858"/>
      <c r="T350" s="1858"/>
      <c r="U350" s="1682">
        <f>U351</f>
        <v>4643.2</v>
      </c>
    </row>
    <row r="351" spans="1:21" ht="30.75" customHeight="1" x14ac:dyDescent="0.25">
      <c r="A351" s="1179"/>
      <c r="B351" s="1884" t="s">
        <v>109</v>
      </c>
      <c r="C351" s="409"/>
      <c r="D351" s="1217" t="s">
        <v>463</v>
      </c>
      <c r="E351" s="1217" t="s">
        <v>495</v>
      </c>
      <c r="F351" s="409" t="s">
        <v>82</v>
      </c>
      <c r="G351" s="1885"/>
      <c r="H351" s="1682">
        <f>H355+H354</f>
        <v>5480</v>
      </c>
      <c r="I351" s="529"/>
      <c r="J351" s="269"/>
      <c r="K351" s="1858"/>
      <c r="L351" s="1858"/>
      <c r="M351" s="1858"/>
      <c r="N351" s="1200">
        <f>N355+N354</f>
        <v>5560</v>
      </c>
      <c r="O351" s="1858"/>
      <c r="P351" s="1858"/>
      <c r="Q351" s="1858"/>
      <c r="R351" s="1858"/>
      <c r="S351" s="1858"/>
      <c r="T351" s="1858"/>
      <c r="U351" s="1682">
        <f>U355+U354</f>
        <v>4643.2</v>
      </c>
    </row>
    <row r="352" spans="1:21" ht="30.75" customHeight="1" x14ac:dyDescent="0.25">
      <c r="A352" s="1179"/>
      <c r="B352" s="1884" t="s">
        <v>1033</v>
      </c>
      <c r="C352" s="409"/>
      <c r="D352" s="1217" t="s">
        <v>463</v>
      </c>
      <c r="E352" s="1217" t="s">
        <v>495</v>
      </c>
      <c r="F352" s="409" t="s">
        <v>33</v>
      </c>
      <c r="G352" s="1885"/>
      <c r="H352" s="1682">
        <f>H354</f>
        <v>5480</v>
      </c>
      <c r="I352" s="529"/>
      <c r="J352" s="269"/>
      <c r="K352" s="1858"/>
      <c r="L352" s="1858"/>
      <c r="M352" s="1858"/>
      <c r="N352" s="1200">
        <f>N354</f>
        <v>5560</v>
      </c>
      <c r="O352" s="1858"/>
      <c r="P352" s="1858"/>
      <c r="Q352" s="1858"/>
      <c r="R352" s="1858"/>
      <c r="S352" s="1858"/>
      <c r="T352" s="1858"/>
      <c r="U352" s="1682">
        <f>U354</f>
        <v>4643.2</v>
      </c>
    </row>
    <row r="353" spans="1:21" ht="19.5" customHeight="1" x14ac:dyDescent="0.25">
      <c r="A353" s="1179"/>
      <c r="B353" s="1884" t="s">
        <v>1068</v>
      </c>
      <c r="C353" s="409"/>
      <c r="D353" s="1217" t="s">
        <v>463</v>
      </c>
      <c r="E353" s="1217" t="s">
        <v>495</v>
      </c>
      <c r="F353" s="409" t="s">
        <v>33</v>
      </c>
      <c r="G353" s="1885" t="s">
        <v>1064</v>
      </c>
      <c r="H353" s="1682">
        <f t="shared" ref="H353:U353" si="73">H354</f>
        <v>5480</v>
      </c>
      <c r="I353" s="529">
        <f t="shared" si="73"/>
        <v>0</v>
      </c>
      <c r="J353" s="269">
        <f t="shared" si="73"/>
        <v>0</v>
      </c>
      <c r="K353" s="1858">
        <f t="shared" si="73"/>
        <v>0</v>
      </c>
      <c r="L353" s="1858">
        <f t="shared" si="73"/>
        <v>0</v>
      </c>
      <c r="M353" s="1858">
        <f t="shared" si="73"/>
        <v>0</v>
      </c>
      <c r="N353" s="1200">
        <f t="shared" si="73"/>
        <v>5560</v>
      </c>
      <c r="O353" s="1858">
        <f t="shared" si="73"/>
        <v>0</v>
      </c>
      <c r="P353" s="1858">
        <f t="shared" si="73"/>
        <v>0</v>
      </c>
      <c r="Q353" s="1858">
        <f t="shared" si="73"/>
        <v>0</v>
      </c>
      <c r="R353" s="1858">
        <f t="shared" si="73"/>
        <v>0</v>
      </c>
      <c r="S353" s="1858">
        <f t="shared" si="73"/>
        <v>0</v>
      </c>
      <c r="T353" s="1858">
        <f t="shared" si="73"/>
        <v>0</v>
      </c>
      <c r="U353" s="1682">
        <f t="shared" si="73"/>
        <v>4643.2</v>
      </c>
    </row>
    <row r="354" spans="1:21" ht="30.75" customHeight="1" x14ac:dyDescent="0.25">
      <c r="A354" s="1179"/>
      <c r="B354" s="1884" t="s">
        <v>1034</v>
      </c>
      <c r="C354" s="409"/>
      <c r="D354" s="1217" t="s">
        <v>463</v>
      </c>
      <c r="E354" s="1217" t="s">
        <v>495</v>
      </c>
      <c r="F354" s="409" t="s">
        <v>33</v>
      </c>
      <c r="G354" s="1885" t="s">
        <v>521</v>
      </c>
      <c r="H354" s="1682">
        <v>5480</v>
      </c>
      <c r="I354" s="529"/>
      <c r="J354" s="269"/>
      <c r="K354" s="1858"/>
      <c r="L354" s="1858"/>
      <c r="M354" s="1858"/>
      <c r="N354" s="1200">
        <v>5560</v>
      </c>
      <c r="O354" s="1858"/>
      <c r="P354" s="1858"/>
      <c r="Q354" s="1858"/>
      <c r="R354" s="1858"/>
      <c r="S354" s="1858"/>
      <c r="T354" s="1858"/>
      <c r="U354" s="1682">
        <f>5643.2-1000</f>
        <v>4643.2</v>
      </c>
    </row>
    <row r="355" spans="1:21" ht="30.75" hidden="1" customHeight="1" x14ac:dyDescent="0.25">
      <c r="A355" s="1179"/>
      <c r="B355" s="1884" t="s">
        <v>1035</v>
      </c>
      <c r="C355" s="409"/>
      <c r="D355" s="1217" t="s">
        <v>463</v>
      </c>
      <c r="E355" s="1217" t="s">
        <v>495</v>
      </c>
      <c r="F355" s="409" t="s">
        <v>1036</v>
      </c>
      <c r="G355" s="1885"/>
      <c r="H355" s="1682">
        <f>H356</f>
        <v>0</v>
      </c>
      <c r="I355" s="529"/>
      <c r="J355" s="269"/>
      <c r="K355" s="1858"/>
      <c r="L355" s="1858"/>
      <c r="M355" s="1858"/>
      <c r="N355" s="1200"/>
      <c r="O355" s="1858"/>
      <c r="P355" s="1858"/>
      <c r="Q355" s="1858"/>
      <c r="R355" s="1858"/>
      <c r="S355" s="1858"/>
      <c r="T355" s="1858"/>
      <c r="U355" s="1682"/>
    </row>
    <row r="356" spans="1:21" ht="30.75" hidden="1" customHeight="1" x14ac:dyDescent="0.25">
      <c r="A356" s="1179"/>
      <c r="B356" s="1884" t="s">
        <v>454</v>
      </c>
      <c r="C356" s="409"/>
      <c r="D356" s="1217" t="s">
        <v>463</v>
      </c>
      <c r="E356" s="1217" t="s">
        <v>495</v>
      </c>
      <c r="F356" s="409" t="s">
        <v>1036</v>
      </c>
      <c r="G356" s="1662" t="s">
        <v>1</v>
      </c>
      <c r="H356" s="1682"/>
      <c r="I356" s="529"/>
      <c r="J356" s="269"/>
      <c r="K356" s="1858"/>
      <c r="L356" s="1858"/>
      <c r="M356" s="1858"/>
      <c r="N356" s="1200"/>
      <c r="O356" s="1858"/>
      <c r="P356" s="1858"/>
      <c r="Q356" s="1858"/>
      <c r="R356" s="1858"/>
      <c r="S356" s="1858"/>
      <c r="T356" s="1858"/>
      <c r="U356" s="1682"/>
    </row>
    <row r="357" spans="1:21" x14ac:dyDescent="0.25">
      <c r="A357" s="1179"/>
      <c r="B357" s="1184" t="s">
        <v>348</v>
      </c>
      <c r="C357" s="1177"/>
      <c r="D357" s="408" t="s">
        <v>506</v>
      </c>
      <c r="E357" s="408" t="s">
        <v>459</v>
      </c>
      <c r="F357" s="408"/>
      <c r="G357" s="1661"/>
      <c r="H357" s="1683">
        <f t="shared" ref="H357:J359" si="74">H358</f>
        <v>362</v>
      </c>
      <c r="I357" s="841">
        <f t="shared" si="74"/>
        <v>0</v>
      </c>
      <c r="J357" s="276">
        <f t="shared" si="74"/>
        <v>0</v>
      </c>
      <c r="K357" s="1858"/>
      <c r="L357" s="1858"/>
      <c r="M357" s="1858"/>
      <c r="N357" s="1208">
        <f t="shared" ref="N357:N359" si="75">N358</f>
        <v>377</v>
      </c>
      <c r="O357" s="1858"/>
      <c r="P357" s="1858"/>
      <c r="Q357" s="1858"/>
      <c r="R357" s="1858"/>
      <c r="S357" s="1858"/>
      <c r="T357" s="1858"/>
      <c r="U357" s="1683">
        <f t="shared" ref="U357:U359" si="76">U358</f>
        <v>392</v>
      </c>
    </row>
    <row r="358" spans="1:21" x14ac:dyDescent="0.25">
      <c r="A358" s="842"/>
      <c r="B358" s="1184" t="s">
        <v>964</v>
      </c>
      <c r="C358" s="1177"/>
      <c r="D358" s="408" t="s">
        <v>506</v>
      </c>
      <c r="E358" s="408" t="s">
        <v>506</v>
      </c>
      <c r="F358" s="408"/>
      <c r="G358" s="1661"/>
      <c r="H358" s="1683">
        <f t="shared" si="74"/>
        <v>362</v>
      </c>
      <c r="I358" s="841">
        <f t="shared" si="74"/>
        <v>0</v>
      </c>
      <c r="J358" s="276">
        <f t="shared" si="74"/>
        <v>0</v>
      </c>
      <c r="K358" s="1858"/>
      <c r="L358" s="1858"/>
      <c r="M358" s="1858"/>
      <c r="N358" s="1208">
        <f t="shared" si="75"/>
        <v>377</v>
      </c>
      <c r="O358" s="1858"/>
      <c r="P358" s="1858"/>
      <c r="Q358" s="1858"/>
      <c r="R358" s="1858"/>
      <c r="S358" s="1858"/>
      <c r="T358" s="1858"/>
      <c r="U358" s="1683">
        <f t="shared" si="76"/>
        <v>392</v>
      </c>
    </row>
    <row r="359" spans="1:21" ht="21" x14ac:dyDescent="0.25">
      <c r="A359" s="1179"/>
      <c r="B359" s="1205" t="s">
        <v>932</v>
      </c>
      <c r="C359" s="1180"/>
      <c r="D359" s="409" t="s">
        <v>506</v>
      </c>
      <c r="E359" s="409" t="s">
        <v>506</v>
      </c>
      <c r="F359" s="409" t="s">
        <v>273</v>
      </c>
      <c r="G359" s="1662"/>
      <c r="H359" s="1682">
        <f t="shared" si="74"/>
        <v>362</v>
      </c>
      <c r="I359" s="529">
        <f t="shared" si="74"/>
        <v>0</v>
      </c>
      <c r="J359" s="269">
        <f t="shared" si="74"/>
        <v>0</v>
      </c>
      <c r="K359" s="1858"/>
      <c r="L359" s="1858"/>
      <c r="M359" s="1858"/>
      <c r="N359" s="1200">
        <f t="shared" si="75"/>
        <v>377</v>
      </c>
      <c r="O359" s="1858"/>
      <c r="P359" s="1858"/>
      <c r="Q359" s="1858"/>
      <c r="R359" s="1858"/>
      <c r="S359" s="1858"/>
      <c r="T359" s="1858"/>
      <c r="U359" s="1682">
        <f t="shared" si="76"/>
        <v>392</v>
      </c>
    </row>
    <row r="360" spans="1:21" ht="21" x14ac:dyDescent="0.25">
      <c r="A360" s="1179"/>
      <c r="B360" s="1205" t="s">
        <v>909</v>
      </c>
      <c r="C360" s="1180"/>
      <c r="D360" s="409" t="s">
        <v>506</v>
      </c>
      <c r="E360" s="409" t="s">
        <v>506</v>
      </c>
      <c r="F360" s="409" t="s">
        <v>271</v>
      </c>
      <c r="G360" s="1662"/>
      <c r="H360" s="1682">
        <f>H361+H364</f>
        <v>362</v>
      </c>
      <c r="I360" s="529">
        <f>I361+I364</f>
        <v>0</v>
      </c>
      <c r="J360" s="269">
        <f>J361+J364</f>
        <v>0</v>
      </c>
      <c r="K360" s="1862">
        <v>348</v>
      </c>
      <c r="L360" s="1858"/>
      <c r="M360" s="1858"/>
      <c r="N360" s="1200">
        <f>N361+N364</f>
        <v>377</v>
      </c>
      <c r="O360" s="1858"/>
      <c r="P360" s="1858"/>
      <c r="Q360" s="1858"/>
      <c r="R360" s="1858"/>
      <c r="S360" s="1858"/>
      <c r="T360" s="1858"/>
      <c r="U360" s="1682">
        <f>U361+U364</f>
        <v>392</v>
      </c>
    </row>
    <row r="361" spans="1:21" ht="31.5" hidden="1" x14ac:dyDescent="0.25">
      <c r="A361" s="1179"/>
      <c r="B361" s="1205" t="s">
        <v>270</v>
      </c>
      <c r="C361" s="1180"/>
      <c r="D361" s="409" t="s">
        <v>506</v>
      </c>
      <c r="E361" s="409" t="s">
        <v>506</v>
      </c>
      <c r="F361" s="409" t="s">
        <v>267</v>
      </c>
      <c r="G361" s="1662"/>
      <c r="H361" s="1682">
        <f t="shared" ref="H361:J362" si="77">H362</f>
        <v>0</v>
      </c>
      <c r="I361" s="529">
        <f t="shared" si="77"/>
        <v>0</v>
      </c>
      <c r="J361" s="269">
        <f t="shared" si="77"/>
        <v>0</v>
      </c>
      <c r="K361" s="1858"/>
      <c r="L361" s="1858"/>
      <c r="M361" s="1858"/>
      <c r="N361" s="1200">
        <f t="shared" ref="N361:N362" si="78">N362</f>
        <v>0</v>
      </c>
      <c r="O361" s="1858"/>
      <c r="P361" s="1858"/>
      <c r="Q361" s="1858"/>
      <c r="R361" s="1858"/>
      <c r="S361" s="1858"/>
      <c r="T361" s="1858"/>
      <c r="U361" s="1682">
        <f t="shared" ref="U361:U362" si="79">U362</f>
        <v>0</v>
      </c>
    </row>
    <row r="362" spans="1:21" hidden="1" x14ac:dyDescent="0.25">
      <c r="A362" s="1233"/>
      <c r="B362" s="1250" t="s">
        <v>4</v>
      </c>
      <c r="C362" s="1180"/>
      <c r="D362" s="409" t="s">
        <v>506</v>
      </c>
      <c r="E362" s="409" t="s">
        <v>506</v>
      </c>
      <c r="F362" s="409" t="s">
        <v>507</v>
      </c>
      <c r="G362" s="1662"/>
      <c r="H362" s="1682">
        <f t="shared" si="77"/>
        <v>0</v>
      </c>
      <c r="I362" s="529">
        <f t="shared" si="77"/>
        <v>0</v>
      </c>
      <c r="J362" s="269">
        <f t="shared" si="77"/>
        <v>0</v>
      </c>
      <c r="K362" s="1858"/>
      <c r="L362" s="1858"/>
      <c r="M362" s="1858"/>
      <c r="N362" s="1200">
        <f t="shared" si="78"/>
        <v>0</v>
      </c>
      <c r="O362" s="1858"/>
      <c r="P362" s="1858"/>
      <c r="Q362" s="1858"/>
      <c r="R362" s="1858"/>
      <c r="S362" s="1858"/>
      <c r="T362" s="1858"/>
      <c r="U362" s="1682">
        <f t="shared" si="79"/>
        <v>0</v>
      </c>
    </row>
    <row r="363" spans="1:21" ht="21" hidden="1" x14ac:dyDescent="0.25">
      <c r="A363" s="1233"/>
      <c r="B363" s="1197" t="s">
        <v>268</v>
      </c>
      <c r="C363" s="1183"/>
      <c r="D363" s="409" t="s">
        <v>506</v>
      </c>
      <c r="E363" s="409" t="s">
        <v>506</v>
      </c>
      <c r="F363" s="409" t="s">
        <v>507</v>
      </c>
      <c r="G363" s="1662" t="s">
        <v>1</v>
      </c>
      <c r="H363" s="1682"/>
      <c r="I363" s="529"/>
      <c r="J363" s="269"/>
      <c r="K363" s="1858"/>
      <c r="L363" s="1858"/>
      <c r="M363" s="1858"/>
      <c r="N363" s="1200"/>
      <c r="O363" s="1858"/>
      <c r="P363" s="1858"/>
      <c r="Q363" s="1858"/>
      <c r="R363" s="1858"/>
      <c r="S363" s="1858"/>
      <c r="T363" s="1858"/>
      <c r="U363" s="1682"/>
    </row>
    <row r="364" spans="1:21" ht="21" x14ac:dyDescent="0.25">
      <c r="A364" s="1233"/>
      <c r="B364" s="753" t="s">
        <v>268</v>
      </c>
      <c r="C364" s="1183"/>
      <c r="D364" s="409" t="s">
        <v>506</v>
      </c>
      <c r="E364" s="409" t="s">
        <v>506</v>
      </c>
      <c r="F364" s="409" t="s">
        <v>267</v>
      </c>
      <c r="G364" s="1662"/>
      <c r="H364" s="1682">
        <f>H368+H365</f>
        <v>362</v>
      </c>
      <c r="I364" s="529">
        <f>I368</f>
        <v>0</v>
      </c>
      <c r="J364" s="269">
        <f>J368</f>
        <v>0</v>
      </c>
      <c r="K364" s="1858"/>
      <c r="L364" s="1858"/>
      <c r="M364" s="1858"/>
      <c r="N364" s="1682">
        <f>N368+N365</f>
        <v>377</v>
      </c>
      <c r="O364" s="1858"/>
      <c r="P364" s="1858"/>
      <c r="Q364" s="1858"/>
      <c r="R364" s="1858"/>
      <c r="S364" s="1858"/>
      <c r="T364" s="1858"/>
      <c r="U364" s="1682">
        <f>U368+U365</f>
        <v>392</v>
      </c>
    </row>
    <row r="365" spans="1:21" x14ac:dyDescent="0.25">
      <c r="A365" s="1233"/>
      <c r="B365" s="762" t="s">
        <v>1037</v>
      </c>
      <c r="C365" s="1183"/>
      <c r="D365" s="409" t="s">
        <v>506</v>
      </c>
      <c r="E365" s="409" t="s">
        <v>506</v>
      </c>
      <c r="F365" s="409" t="s">
        <v>507</v>
      </c>
      <c r="G365" s="1662"/>
      <c r="H365" s="1682">
        <f>H367</f>
        <v>112</v>
      </c>
      <c r="I365" s="529"/>
      <c r="J365" s="269"/>
      <c r="K365" s="1858"/>
      <c r="L365" s="1858"/>
      <c r="M365" s="1858"/>
      <c r="N365" s="1200">
        <f>N367</f>
        <v>117</v>
      </c>
      <c r="O365" s="1858"/>
      <c r="P365" s="1858"/>
      <c r="Q365" s="1858"/>
      <c r="R365" s="1858"/>
      <c r="S365" s="1858"/>
      <c r="T365" s="1858"/>
      <c r="U365" s="1682">
        <f>U367</f>
        <v>122</v>
      </c>
    </row>
    <row r="366" spans="1:21" x14ac:dyDescent="0.25">
      <c r="A366" s="1233"/>
      <c r="B366" s="753" t="s">
        <v>948</v>
      </c>
      <c r="C366" s="1183"/>
      <c r="D366" s="409" t="s">
        <v>506</v>
      </c>
      <c r="E366" s="409" t="s">
        <v>506</v>
      </c>
      <c r="F366" s="409" t="s">
        <v>507</v>
      </c>
      <c r="G366" s="1662" t="s">
        <v>955</v>
      </c>
      <c r="H366" s="1682"/>
      <c r="I366" s="529"/>
      <c r="J366" s="269"/>
      <c r="K366" s="1858"/>
      <c r="L366" s="1858"/>
      <c r="M366" s="1858"/>
      <c r="N366" s="1200"/>
      <c r="O366" s="1858"/>
      <c r="P366" s="1858"/>
      <c r="Q366" s="1858"/>
      <c r="R366" s="1858"/>
      <c r="S366" s="1858"/>
      <c r="T366" s="1858"/>
      <c r="U366" s="1682"/>
    </row>
    <row r="367" spans="1:21" ht="21" x14ac:dyDescent="0.25">
      <c r="A367" s="1233"/>
      <c r="B367" s="1191" t="s">
        <v>454</v>
      </c>
      <c r="C367" s="1183"/>
      <c r="D367" s="409" t="s">
        <v>506</v>
      </c>
      <c r="E367" s="409" t="s">
        <v>506</v>
      </c>
      <c r="F367" s="409" t="s">
        <v>507</v>
      </c>
      <c r="G367" s="1662" t="s">
        <v>1</v>
      </c>
      <c r="H367" s="1682">
        <v>112</v>
      </c>
      <c r="I367" s="529"/>
      <c r="J367" s="269"/>
      <c r="K367" s="1858"/>
      <c r="L367" s="1858"/>
      <c r="M367" s="1858"/>
      <c r="N367" s="1200">
        <v>117</v>
      </c>
      <c r="O367" s="1858"/>
      <c r="P367" s="1858"/>
      <c r="Q367" s="1858"/>
      <c r="R367" s="1858"/>
      <c r="S367" s="1858"/>
      <c r="T367" s="1858"/>
      <c r="U367" s="1682">
        <v>122</v>
      </c>
    </row>
    <row r="368" spans="1:21" x14ac:dyDescent="0.25">
      <c r="A368" s="1179"/>
      <c r="B368" s="1205" t="s">
        <v>266</v>
      </c>
      <c r="C368" s="1180"/>
      <c r="D368" s="409" t="s">
        <v>506</v>
      </c>
      <c r="E368" s="409" t="s">
        <v>506</v>
      </c>
      <c r="F368" s="409" t="s">
        <v>263</v>
      </c>
      <c r="G368" s="1662"/>
      <c r="H368" s="1682">
        <f t="shared" ref="H368:J368" si="80">H370</f>
        <v>250</v>
      </c>
      <c r="I368" s="529">
        <f t="shared" si="80"/>
        <v>0</v>
      </c>
      <c r="J368" s="269">
        <f t="shared" si="80"/>
        <v>0</v>
      </c>
      <c r="K368" s="1858"/>
      <c r="L368" s="1858"/>
      <c r="M368" s="1858"/>
      <c r="N368" s="1200">
        <f t="shared" ref="N368" si="81">N370</f>
        <v>260</v>
      </c>
      <c r="O368" s="1858"/>
      <c r="P368" s="1858"/>
      <c r="Q368" s="1858"/>
      <c r="R368" s="1858"/>
      <c r="S368" s="1858"/>
      <c r="T368" s="1858"/>
      <c r="U368" s="1682">
        <f t="shared" ref="U368" si="82">U370</f>
        <v>270</v>
      </c>
    </row>
    <row r="369" spans="1:21" x14ac:dyDescent="0.25">
      <c r="A369" s="1179"/>
      <c r="B369" s="753" t="s">
        <v>948</v>
      </c>
      <c r="C369" s="1180"/>
      <c r="D369" s="409" t="s">
        <v>506</v>
      </c>
      <c r="E369" s="409" t="s">
        <v>506</v>
      </c>
      <c r="F369" s="409" t="s">
        <v>263</v>
      </c>
      <c r="G369" s="1662" t="s">
        <v>955</v>
      </c>
      <c r="H369" s="1682">
        <f t="shared" ref="H369:U369" si="83">H370</f>
        <v>250</v>
      </c>
      <c r="I369" s="529">
        <f t="shared" si="83"/>
        <v>0</v>
      </c>
      <c r="J369" s="269">
        <f t="shared" si="83"/>
        <v>0</v>
      </c>
      <c r="K369" s="1858">
        <f t="shared" si="83"/>
        <v>0</v>
      </c>
      <c r="L369" s="1858">
        <f t="shared" si="83"/>
        <v>0</v>
      </c>
      <c r="M369" s="1858">
        <f t="shared" si="83"/>
        <v>0</v>
      </c>
      <c r="N369" s="1200">
        <f t="shared" si="83"/>
        <v>260</v>
      </c>
      <c r="O369" s="1858">
        <f t="shared" si="83"/>
        <v>0</v>
      </c>
      <c r="P369" s="1858">
        <f t="shared" si="83"/>
        <v>0</v>
      </c>
      <c r="Q369" s="1858">
        <f t="shared" si="83"/>
        <v>0</v>
      </c>
      <c r="R369" s="1858">
        <f t="shared" si="83"/>
        <v>0</v>
      </c>
      <c r="S369" s="1858">
        <f t="shared" si="83"/>
        <v>0</v>
      </c>
      <c r="T369" s="1858">
        <f t="shared" si="83"/>
        <v>0</v>
      </c>
      <c r="U369" s="1682">
        <f t="shared" si="83"/>
        <v>270</v>
      </c>
    </row>
    <row r="370" spans="1:21" ht="21" x14ac:dyDescent="0.25">
      <c r="A370" s="1179"/>
      <c r="B370" s="1191" t="s">
        <v>454</v>
      </c>
      <c r="C370" s="1183"/>
      <c r="D370" s="409" t="s">
        <v>506</v>
      </c>
      <c r="E370" s="409" t="s">
        <v>506</v>
      </c>
      <c r="F370" s="409" t="s">
        <v>263</v>
      </c>
      <c r="G370" s="1662" t="s">
        <v>1</v>
      </c>
      <c r="H370" s="1682">
        <v>250</v>
      </c>
      <c r="I370" s="529"/>
      <c r="J370" s="269"/>
      <c r="K370" s="1858"/>
      <c r="L370" s="1858"/>
      <c r="M370" s="1858"/>
      <c r="N370" s="1200">
        <v>260</v>
      </c>
      <c r="O370" s="1858"/>
      <c r="P370" s="1858"/>
      <c r="Q370" s="1858"/>
      <c r="R370" s="1858"/>
      <c r="S370" s="1858"/>
      <c r="T370" s="1858"/>
      <c r="U370" s="1682">
        <v>270</v>
      </c>
    </row>
    <row r="371" spans="1:21" s="760" customFormat="1" ht="13" x14ac:dyDescent="0.3">
      <c r="A371" s="842"/>
      <c r="B371" s="1251" t="s">
        <v>460</v>
      </c>
      <c r="C371" s="408"/>
      <c r="D371" s="1221" t="s">
        <v>453</v>
      </c>
      <c r="E371" s="1221" t="s">
        <v>459</v>
      </c>
      <c r="F371" s="408"/>
      <c r="G371" s="1661"/>
      <c r="H371" s="1683">
        <f>H372+H391</f>
        <v>20754.308000000001</v>
      </c>
      <c r="I371" s="841"/>
      <c r="J371" s="276"/>
      <c r="K371" s="1860"/>
      <c r="L371" s="1860"/>
      <c r="M371" s="1860"/>
      <c r="N371" s="1208">
        <f>N372+N391</f>
        <v>20342.901999999998</v>
      </c>
      <c r="O371" s="1860"/>
      <c r="P371" s="1860"/>
      <c r="Q371" s="1860"/>
      <c r="R371" s="1860"/>
      <c r="S371" s="1860"/>
      <c r="T371" s="1860"/>
      <c r="U371" s="1683">
        <f>U372+U391</f>
        <v>18539.767</v>
      </c>
    </row>
    <row r="372" spans="1:21" x14ac:dyDescent="0.25">
      <c r="A372" s="1179"/>
      <c r="B372" s="1173" t="s">
        <v>87</v>
      </c>
      <c r="C372" s="1177"/>
      <c r="D372" s="408" t="s">
        <v>453</v>
      </c>
      <c r="E372" s="408" t="s">
        <v>456</v>
      </c>
      <c r="F372" s="408"/>
      <c r="G372" s="1661"/>
      <c r="H372" s="1683">
        <f>H373+H383</f>
        <v>13721.308000000001</v>
      </c>
      <c r="I372" s="841">
        <f>I373+I384</f>
        <v>0</v>
      </c>
      <c r="J372" s="276">
        <f>J373+J384</f>
        <v>0</v>
      </c>
      <c r="K372" s="1858"/>
      <c r="L372" s="1858"/>
      <c r="M372" s="1858"/>
      <c r="N372" s="1208">
        <f>N373+N383</f>
        <v>13028.581999999999</v>
      </c>
      <c r="O372" s="1858"/>
      <c r="P372" s="1858"/>
      <c r="Q372" s="1858"/>
      <c r="R372" s="1858"/>
      <c r="S372" s="1858"/>
      <c r="T372" s="1858"/>
      <c r="U372" s="1683">
        <f>U373+U383</f>
        <v>10932.877</v>
      </c>
    </row>
    <row r="373" spans="1:21" ht="24.75" customHeight="1" x14ac:dyDescent="0.25">
      <c r="A373" s="1179"/>
      <c r="B373" s="753" t="s">
        <v>932</v>
      </c>
      <c r="C373" s="1177"/>
      <c r="D373" s="409" t="s">
        <v>453</v>
      </c>
      <c r="E373" s="409" t="s">
        <v>456</v>
      </c>
      <c r="F373" s="409" t="s">
        <v>273</v>
      </c>
      <c r="G373" s="1661"/>
      <c r="H373" s="1683">
        <f>H374</f>
        <v>13721.308000000001</v>
      </c>
      <c r="I373" s="841">
        <f t="shared" ref="I373:J375" si="84">I374</f>
        <v>0</v>
      </c>
      <c r="J373" s="276">
        <f t="shared" si="84"/>
        <v>0</v>
      </c>
      <c r="K373" s="1862">
        <f>K378+K380+K382+K387+K397+K390</f>
        <v>976.8</v>
      </c>
      <c r="L373" s="1858"/>
      <c r="M373" s="1858"/>
      <c r="N373" s="1208">
        <f>N374</f>
        <v>13028.581999999999</v>
      </c>
      <c r="O373" s="1858"/>
      <c r="P373" s="1858"/>
      <c r="Q373" s="1858"/>
      <c r="R373" s="1858"/>
      <c r="S373" s="1858"/>
      <c r="T373" s="1858"/>
      <c r="U373" s="1683">
        <f>U374</f>
        <v>10932.877</v>
      </c>
    </row>
    <row r="374" spans="1:21" ht="27.75" customHeight="1" x14ac:dyDescent="0.25">
      <c r="A374" s="1179"/>
      <c r="B374" s="1205" t="s">
        <v>911</v>
      </c>
      <c r="C374" s="1180"/>
      <c r="D374" s="409" t="s">
        <v>453</v>
      </c>
      <c r="E374" s="409" t="s">
        <v>456</v>
      </c>
      <c r="F374" s="409" t="s">
        <v>260</v>
      </c>
      <c r="G374" s="1662"/>
      <c r="H374" s="1682">
        <f>H375</f>
        <v>13721.308000000001</v>
      </c>
      <c r="I374" s="529">
        <f t="shared" si="84"/>
        <v>0</v>
      </c>
      <c r="J374" s="269">
        <f t="shared" si="84"/>
        <v>0</v>
      </c>
      <c r="K374" s="1858"/>
      <c r="L374" s="1858"/>
      <c r="M374" s="1858"/>
      <c r="N374" s="1200">
        <f>N375</f>
        <v>13028.581999999999</v>
      </c>
      <c r="O374" s="1858"/>
      <c r="P374" s="1858"/>
      <c r="Q374" s="1858"/>
      <c r="R374" s="1858"/>
      <c r="S374" s="1858"/>
      <c r="T374" s="1858"/>
      <c r="U374" s="1682">
        <f>U375</f>
        <v>10932.877</v>
      </c>
    </row>
    <row r="375" spans="1:21" x14ac:dyDescent="0.25">
      <c r="A375" s="842"/>
      <c r="B375" s="1205" t="s">
        <v>259</v>
      </c>
      <c r="C375" s="1180"/>
      <c r="D375" s="409" t="s">
        <v>453</v>
      </c>
      <c r="E375" s="409" t="s">
        <v>456</v>
      </c>
      <c r="F375" s="409" t="s">
        <v>258</v>
      </c>
      <c r="G375" s="1662"/>
      <c r="H375" s="1687">
        <f>H378+H380+H382+H390</f>
        <v>13721.308000000001</v>
      </c>
      <c r="I375" s="1655">
        <f t="shared" si="84"/>
        <v>0</v>
      </c>
      <c r="J375" s="1656">
        <f t="shared" si="84"/>
        <v>0</v>
      </c>
      <c r="K375" s="1886"/>
      <c r="L375" s="1886"/>
      <c r="M375" s="1886"/>
      <c r="N375" s="1654">
        <f>N378+N380+N382+N390</f>
        <v>13028.581999999999</v>
      </c>
      <c r="O375" s="1886"/>
      <c r="P375" s="1886"/>
      <c r="Q375" s="1886"/>
      <c r="R375" s="1886"/>
      <c r="S375" s="1886"/>
      <c r="T375" s="1886"/>
      <c r="U375" s="1687">
        <f>U378+U380+U382+U390</f>
        <v>10932.877</v>
      </c>
    </row>
    <row r="376" spans="1:21" x14ac:dyDescent="0.25">
      <c r="A376" s="842"/>
      <c r="B376" s="1197" t="s">
        <v>351</v>
      </c>
      <c r="C376" s="1180"/>
      <c r="D376" s="409" t="s">
        <v>453</v>
      </c>
      <c r="E376" s="409" t="s">
        <v>456</v>
      </c>
      <c r="F376" s="409" t="s">
        <v>254</v>
      </c>
      <c r="G376" s="1662"/>
      <c r="H376" s="1687">
        <f>H378+H380+H382</f>
        <v>11055.108</v>
      </c>
      <c r="I376" s="1655">
        <f>I378</f>
        <v>0</v>
      </c>
      <c r="J376" s="1656">
        <f>J378</f>
        <v>0</v>
      </c>
      <c r="K376" s="1886"/>
      <c r="L376" s="1886"/>
      <c r="M376" s="1886"/>
      <c r="N376" s="1654">
        <f>N378+N380+N382</f>
        <v>10362.382</v>
      </c>
      <c r="O376" s="1886"/>
      <c r="P376" s="1886"/>
      <c r="Q376" s="1886"/>
      <c r="R376" s="1886"/>
      <c r="S376" s="1886"/>
      <c r="T376" s="1886"/>
      <c r="U376" s="1687">
        <f>U378+U380+U382</f>
        <v>10932.877</v>
      </c>
    </row>
    <row r="377" spans="1:21" ht="39" x14ac:dyDescent="0.25">
      <c r="A377" s="842"/>
      <c r="B377" s="49" t="s">
        <v>1063</v>
      </c>
      <c r="C377" s="1180"/>
      <c r="D377" s="409" t="s">
        <v>453</v>
      </c>
      <c r="E377" s="409" t="s">
        <v>456</v>
      </c>
      <c r="F377" s="409" t="s">
        <v>254</v>
      </c>
      <c r="G377" s="1662" t="s">
        <v>1062</v>
      </c>
      <c r="H377" s="1687">
        <f t="shared" ref="H377:U377" si="85">H378</f>
        <v>7411.9359999999997</v>
      </c>
      <c r="I377" s="1655">
        <f t="shared" si="85"/>
        <v>0</v>
      </c>
      <c r="J377" s="1656">
        <f t="shared" si="85"/>
        <v>0</v>
      </c>
      <c r="K377" s="1886">
        <f t="shared" si="85"/>
        <v>0</v>
      </c>
      <c r="L377" s="1886">
        <f t="shared" si="85"/>
        <v>0</v>
      </c>
      <c r="M377" s="1886">
        <f t="shared" si="85"/>
        <v>0</v>
      </c>
      <c r="N377" s="1654">
        <f t="shared" si="85"/>
        <v>7708.4129999999996</v>
      </c>
      <c r="O377" s="1886">
        <f t="shared" si="85"/>
        <v>0</v>
      </c>
      <c r="P377" s="1886">
        <f t="shared" si="85"/>
        <v>0</v>
      </c>
      <c r="Q377" s="1886">
        <f t="shared" si="85"/>
        <v>0</v>
      </c>
      <c r="R377" s="1886">
        <f t="shared" si="85"/>
        <v>0</v>
      </c>
      <c r="S377" s="1886">
        <f t="shared" si="85"/>
        <v>0</v>
      </c>
      <c r="T377" s="1886">
        <f t="shared" si="85"/>
        <v>0</v>
      </c>
      <c r="U377" s="1687">
        <f t="shared" si="85"/>
        <v>8016.75</v>
      </c>
    </row>
    <row r="378" spans="1:21" x14ac:dyDescent="0.25">
      <c r="A378" s="842"/>
      <c r="B378" s="753" t="s">
        <v>840</v>
      </c>
      <c r="C378" s="1180"/>
      <c r="D378" s="409" t="s">
        <v>453</v>
      </c>
      <c r="E378" s="409" t="s">
        <v>456</v>
      </c>
      <c r="F378" s="409" t="s">
        <v>254</v>
      </c>
      <c r="G378" s="1662" t="s">
        <v>255</v>
      </c>
      <c r="H378" s="1682">
        <v>7411.9359999999997</v>
      </c>
      <c r="I378" s="529"/>
      <c r="J378" s="269"/>
      <c r="K378" s="1858"/>
      <c r="L378" s="1858"/>
      <c r="M378" s="1858"/>
      <c r="N378" s="1200">
        <v>7708.4129999999996</v>
      </c>
      <c r="O378" s="1858"/>
      <c r="P378" s="1858"/>
      <c r="Q378" s="1858"/>
      <c r="R378" s="1858"/>
      <c r="S378" s="1858"/>
      <c r="T378" s="1858"/>
      <c r="U378" s="1682">
        <v>8016.75</v>
      </c>
    </row>
    <row r="379" spans="1:21" x14ac:dyDescent="0.25">
      <c r="A379" s="842"/>
      <c r="B379" s="753" t="s">
        <v>948</v>
      </c>
      <c r="C379" s="1180"/>
      <c r="D379" s="409" t="s">
        <v>453</v>
      </c>
      <c r="E379" s="409" t="s">
        <v>456</v>
      </c>
      <c r="F379" s="409" t="s">
        <v>254</v>
      </c>
      <c r="G379" s="1662" t="s">
        <v>955</v>
      </c>
      <c r="H379" s="1682">
        <f t="shared" ref="H379:U379" si="86">H380</f>
        <v>3642.172</v>
      </c>
      <c r="I379" s="529">
        <f t="shared" si="86"/>
        <v>0</v>
      </c>
      <c r="J379" s="269">
        <f t="shared" si="86"/>
        <v>0</v>
      </c>
      <c r="K379" s="1858">
        <f t="shared" si="86"/>
        <v>0</v>
      </c>
      <c r="L379" s="1858">
        <f t="shared" si="86"/>
        <v>0</v>
      </c>
      <c r="M379" s="1858">
        <f t="shared" si="86"/>
        <v>0</v>
      </c>
      <c r="N379" s="1200">
        <f t="shared" si="86"/>
        <v>2652.9690000000001</v>
      </c>
      <c r="O379" s="1858">
        <f t="shared" si="86"/>
        <v>0</v>
      </c>
      <c r="P379" s="1858">
        <f t="shared" si="86"/>
        <v>0</v>
      </c>
      <c r="Q379" s="1858">
        <f t="shared" si="86"/>
        <v>0</v>
      </c>
      <c r="R379" s="1858">
        <f t="shared" si="86"/>
        <v>0</v>
      </c>
      <c r="S379" s="1858">
        <f t="shared" si="86"/>
        <v>0</v>
      </c>
      <c r="T379" s="1858">
        <f t="shared" si="86"/>
        <v>0</v>
      </c>
      <c r="U379" s="1682">
        <f t="shared" si="86"/>
        <v>2915.127</v>
      </c>
    </row>
    <row r="380" spans="1:21" ht="21" x14ac:dyDescent="0.25">
      <c r="A380" s="1179"/>
      <c r="B380" s="1182" t="s">
        <v>454</v>
      </c>
      <c r="C380" s="1183"/>
      <c r="D380" s="409" t="s">
        <v>453</v>
      </c>
      <c r="E380" s="409" t="s">
        <v>456</v>
      </c>
      <c r="F380" s="409" t="s">
        <v>254</v>
      </c>
      <c r="G380" s="1662" t="s">
        <v>1</v>
      </c>
      <c r="H380" s="1682">
        <v>3642.172</v>
      </c>
      <c r="I380" s="529"/>
      <c r="J380" s="269"/>
      <c r="K380" s="1859"/>
      <c r="L380" s="1858"/>
      <c r="M380" s="1858"/>
      <c r="N380" s="1200">
        <f>3787.859-1134.89</f>
        <v>2652.9690000000001</v>
      </c>
      <c r="O380" s="1858"/>
      <c r="P380" s="1858"/>
      <c r="Q380" s="1858"/>
      <c r="R380" s="1858"/>
      <c r="S380" s="1858"/>
      <c r="T380" s="1858"/>
      <c r="U380" s="1682">
        <f>3939.373-1024.286+0.04</f>
        <v>2915.127</v>
      </c>
    </row>
    <row r="381" spans="1:21" x14ac:dyDescent="0.25">
      <c r="A381" s="1179"/>
      <c r="B381" s="1182" t="s">
        <v>1068</v>
      </c>
      <c r="C381" s="1183"/>
      <c r="D381" s="409" t="s">
        <v>453</v>
      </c>
      <c r="E381" s="409" t="s">
        <v>456</v>
      </c>
      <c r="F381" s="409" t="s">
        <v>254</v>
      </c>
      <c r="G381" s="1662" t="s">
        <v>1064</v>
      </c>
      <c r="H381" s="1682">
        <f t="shared" ref="H381:U381" si="87">H382</f>
        <v>1</v>
      </c>
      <c r="I381" s="529">
        <f t="shared" si="87"/>
        <v>0</v>
      </c>
      <c r="J381" s="269">
        <f t="shared" si="87"/>
        <v>0</v>
      </c>
      <c r="K381" s="1859">
        <f t="shared" si="87"/>
        <v>0</v>
      </c>
      <c r="L381" s="1858">
        <f t="shared" si="87"/>
        <v>0</v>
      </c>
      <c r="M381" s="1858">
        <f t="shared" si="87"/>
        <v>0</v>
      </c>
      <c r="N381" s="1200">
        <f t="shared" si="87"/>
        <v>1</v>
      </c>
      <c r="O381" s="1858">
        <f t="shared" si="87"/>
        <v>0</v>
      </c>
      <c r="P381" s="1858">
        <f t="shared" si="87"/>
        <v>0</v>
      </c>
      <c r="Q381" s="1858">
        <f t="shared" si="87"/>
        <v>0</v>
      </c>
      <c r="R381" s="1858">
        <f t="shared" si="87"/>
        <v>0</v>
      </c>
      <c r="S381" s="1858">
        <f t="shared" si="87"/>
        <v>0</v>
      </c>
      <c r="T381" s="1858">
        <f t="shared" si="87"/>
        <v>0</v>
      </c>
      <c r="U381" s="1682">
        <f t="shared" si="87"/>
        <v>1</v>
      </c>
    </row>
    <row r="382" spans="1:21" x14ac:dyDescent="0.25">
      <c r="A382" s="1179"/>
      <c r="B382" s="1182" t="s">
        <v>457</v>
      </c>
      <c r="C382" s="1183"/>
      <c r="D382" s="409" t="s">
        <v>453</v>
      </c>
      <c r="E382" s="409" t="s">
        <v>456</v>
      </c>
      <c r="F382" s="409" t="s">
        <v>254</v>
      </c>
      <c r="G382" s="1662" t="s">
        <v>91</v>
      </c>
      <c r="H382" s="1682">
        <v>1</v>
      </c>
      <c r="I382" s="529"/>
      <c r="J382" s="269"/>
      <c r="K382" s="1858"/>
      <c r="L382" s="1858"/>
      <c r="M382" s="1858"/>
      <c r="N382" s="1200">
        <v>1</v>
      </c>
      <c r="O382" s="1858"/>
      <c r="P382" s="1858"/>
      <c r="Q382" s="1858"/>
      <c r="R382" s="1858"/>
      <c r="S382" s="1858"/>
      <c r="T382" s="1858"/>
      <c r="U382" s="1682">
        <v>1</v>
      </c>
    </row>
    <row r="383" spans="1:21" s="760" customFormat="1" ht="21" hidden="1" x14ac:dyDescent="0.3">
      <c r="A383" s="842"/>
      <c r="B383" s="1242" t="s">
        <v>499</v>
      </c>
      <c r="C383" s="1207"/>
      <c r="D383" s="408" t="s">
        <v>453</v>
      </c>
      <c r="E383" s="408" t="s">
        <v>456</v>
      </c>
      <c r="F383" s="408" t="s">
        <v>273</v>
      </c>
      <c r="G383" s="1661"/>
      <c r="H383" s="1683">
        <f>H384</f>
        <v>0</v>
      </c>
      <c r="I383" s="841"/>
      <c r="J383" s="276"/>
      <c r="K383" s="1858"/>
      <c r="L383" s="1860"/>
      <c r="M383" s="1860"/>
      <c r="N383" s="1208">
        <f>N384</f>
        <v>0</v>
      </c>
      <c r="O383" s="1860"/>
      <c r="P383" s="1860"/>
      <c r="Q383" s="1860"/>
      <c r="R383" s="1860"/>
      <c r="S383" s="1860"/>
      <c r="T383" s="1860"/>
      <c r="U383" s="1683">
        <f>U384</f>
        <v>0</v>
      </c>
    </row>
    <row r="384" spans="1:21" hidden="1" x14ac:dyDescent="0.25">
      <c r="A384" s="1179"/>
      <c r="B384" s="753" t="s">
        <v>109</v>
      </c>
      <c r="C384" s="1180"/>
      <c r="D384" s="409" t="s">
        <v>453</v>
      </c>
      <c r="E384" s="409" t="s">
        <v>456</v>
      </c>
      <c r="F384" s="409" t="s">
        <v>260</v>
      </c>
      <c r="G384" s="1662"/>
      <c r="H384" s="1682">
        <f>H385</f>
        <v>0</v>
      </c>
      <c r="I384" s="529">
        <f>I385</f>
        <v>0</v>
      </c>
      <c r="J384" s="269">
        <f>J385</f>
        <v>0</v>
      </c>
      <c r="K384" s="1858"/>
      <c r="L384" s="1858"/>
      <c r="M384" s="1858"/>
      <c r="N384" s="1200">
        <f>N385</f>
        <v>0</v>
      </c>
      <c r="O384" s="1858"/>
      <c r="P384" s="1858"/>
      <c r="Q384" s="1858"/>
      <c r="R384" s="1858"/>
      <c r="S384" s="1858"/>
      <c r="T384" s="1858"/>
      <c r="U384" s="1682">
        <f>U385</f>
        <v>0</v>
      </c>
    </row>
    <row r="385" spans="1:25" hidden="1" x14ac:dyDescent="0.25">
      <c r="A385" s="1179"/>
      <c r="B385" s="1205" t="s">
        <v>109</v>
      </c>
      <c r="C385" s="1180"/>
      <c r="D385" s="409" t="s">
        <v>453</v>
      </c>
      <c r="E385" s="409" t="s">
        <v>456</v>
      </c>
      <c r="F385" s="409" t="s">
        <v>258</v>
      </c>
      <c r="G385" s="1662"/>
      <c r="H385" s="1682"/>
      <c r="I385" s="529"/>
      <c r="J385" s="269"/>
      <c r="K385" s="1858"/>
      <c r="L385" s="1858"/>
      <c r="M385" s="1858"/>
      <c r="N385" s="1200"/>
      <c r="O385" s="1858"/>
      <c r="P385" s="1858"/>
      <c r="Q385" s="1858"/>
      <c r="R385" s="1858"/>
      <c r="S385" s="1858"/>
      <c r="T385" s="1858"/>
      <c r="U385" s="1682"/>
    </row>
    <row r="386" spans="1:25" hidden="1" x14ac:dyDescent="0.25">
      <c r="A386" s="1179"/>
      <c r="B386" s="1205" t="s">
        <v>830</v>
      </c>
      <c r="C386" s="1180"/>
      <c r="D386" s="409" t="s">
        <v>453</v>
      </c>
      <c r="E386" s="409" t="s">
        <v>456</v>
      </c>
      <c r="F386" s="409" t="s">
        <v>831</v>
      </c>
      <c r="G386" s="1662"/>
      <c r="H386" s="1682">
        <f>H387</f>
        <v>0</v>
      </c>
      <c r="I386" s="529">
        <f>I387+I393</f>
        <v>0</v>
      </c>
      <c r="J386" s="269">
        <f>J387+J393</f>
        <v>0</v>
      </c>
      <c r="K386" s="1858"/>
      <c r="L386" s="1858"/>
      <c r="M386" s="1858"/>
      <c r="N386" s="1200">
        <f>N387</f>
        <v>0</v>
      </c>
      <c r="O386" s="1858"/>
      <c r="P386" s="1858"/>
      <c r="Q386" s="1858"/>
      <c r="R386" s="1858"/>
      <c r="S386" s="1858"/>
      <c r="T386" s="1858"/>
      <c r="U386" s="1682">
        <f>U387</f>
        <v>0</v>
      </c>
    </row>
    <row r="387" spans="1:25" hidden="1" x14ac:dyDescent="0.25">
      <c r="A387" s="1179"/>
      <c r="B387" s="1197" t="s">
        <v>841</v>
      </c>
      <c r="C387" s="1180"/>
      <c r="D387" s="409" t="s">
        <v>453</v>
      </c>
      <c r="E387" s="409" t="s">
        <v>456</v>
      </c>
      <c r="F387" s="409" t="s">
        <v>831</v>
      </c>
      <c r="G387" s="1662" t="s">
        <v>255</v>
      </c>
      <c r="H387" s="1682"/>
      <c r="I387" s="529">
        <f>I391</f>
        <v>0</v>
      </c>
      <c r="J387" s="269">
        <f>J391</f>
        <v>0</v>
      </c>
      <c r="K387" s="1858">
        <v>976.8</v>
      </c>
      <c r="L387" s="1858"/>
      <c r="M387" s="1858"/>
      <c r="N387" s="1200"/>
      <c r="O387" s="1858"/>
      <c r="P387" s="1858"/>
      <c r="Q387" s="1858"/>
      <c r="R387" s="1858"/>
      <c r="S387" s="1858"/>
      <c r="T387" s="1858"/>
      <c r="U387" s="1682"/>
    </row>
    <row r="388" spans="1:25" x14ac:dyDescent="0.25">
      <c r="A388" s="1179"/>
      <c r="B388" s="1205" t="s">
        <v>830</v>
      </c>
      <c r="C388" s="1180"/>
      <c r="D388" s="409" t="s">
        <v>453</v>
      </c>
      <c r="E388" s="409" t="s">
        <v>456</v>
      </c>
      <c r="F388" s="409" t="s">
        <v>970</v>
      </c>
      <c r="G388" s="1662"/>
      <c r="H388" s="1682">
        <f>H390</f>
        <v>2666.2</v>
      </c>
      <c r="I388" s="529"/>
      <c r="J388" s="269"/>
      <c r="K388" s="1858"/>
      <c r="L388" s="1858"/>
      <c r="M388" s="1858"/>
      <c r="N388" s="1200">
        <f>N390</f>
        <v>2666.2</v>
      </c>
      <c r="O388" s="1858"/>
      <c r="P388" s="1858"/>
      <c r="Q388" s="1858"/>
      <c r="R388" s="1858"/>
      <c r="S388" s="1858"/>
      <c r="T388" s="1858"/>
      <c r="U388" s="1682">
        <f>U390</f>
        <v>0</v>
      </c>
      <c r="V388" s="1861">
        <v>2666.2</v>
      </c>
      <c r="W388" s="1861">
        <v>2666.2</v>
      </c>
      <c r="X388" s="1861">
        <v>2666.2</v>
      </c>
      <c r="Y388" s="239" t="s">
        <v>444</v>
      </c>
    </row>
    <row r="389" spans="1:25" ht="39" x14ac:dyDescent="0.25">
      <c r="A389" s="1179"/>
      <c r="B389" s="49" t="s">
        <v>1063</v>
      </c>
      <c r="C389" s="1180"/>
      <c r="D389" s="409" t="s">
        <v>453</v>
      </c>
      <c r="E389" s="409" t="s">
        <v>456</v>
      </c>
      <c r="F389" s="409" t="s">
        <v>970</v>
      </c>
      <c r="G389" s="1662" t="s">
        <v>1062</v>
      </c>
      <c r="H389" s="1682">
        <f t="shared" ref="H389:U389" si="88">H390</f>
        <v>2666.2</v>
      </c>
      <c r="I389" s="529">
        <f t="shared" si="88"/>
        <v>0</v>
      </c>
      <c r="J389" s="269">
        <f t="shared" si="88"/>
        <v>0</v>
      </c>
      <c r="K389" s="1858">
        <f t="shared" si="88"/>
        <v>0</v>
      </c>
      <c r="L389" s="1858">
        <f t="shared" si="88"/>
        <v>0</v>
      </c>
      <c r="M389" s="1858">
        <f t="shared" si="88"/>
        <v>0</v>
      </c>
      <c r="N389" s="1530">
        <f t="shared" si="88"/>
        <v>2666.2</v>
      </c>
      <c r="O389" s="1858">
        <f t="shared" si="88"/>
        <v>0</v>
      </c>
      <c r="P389" s="1858">
        <f t="shared" si="88"/>
        <v>0</v>
      </c>
      <c r="Q389" s="1858">
        <f t="shared" si="88"/>
        <v>0</v>
      </c>
      <c r="R389" s="1858">
        <f t="shared" si="88"/>
        <v>0</v>
      </c>
      <c r="S389" s="1858">
        <f t="shared" si="88"/>
        <v>0</v>
      </c>
      <c r="T389" s="1858">
        <f t="shared" si="88"/>
        <v>0</v>
      </c>
      <c r="U389" s="1682">
        <f t="shared" si="88"/>
        <v>0</v>
      </c>
      <c r="V389" s="1861"/>
      <c r="W389" s="1861"/>
      <c r="X389" s="1861"/>
      <c r="Y389" s="239"/>
    </row>
    <row r="390" spans="1:25" x14ac:dyDescent="0.25">
      <c r="A390" s="1179"/>
      <c r="B390" s="1197" t="s">
        <v>841</v>
      </c>
      <c r="C390" s="1180"/>
      <c r="D390" s="409" t="s">
        <v>453</v>
      </c>
      <c r="E390" s="409" t="s">
        <v>456</v>
      </c>
      <c r="F390" s="409" t="s">
        <v>970</v>
      </c>
      <c r="G390" s="1662" t="s">
        <v>255</v>
      </c>
      <c r="H390" s="1682">
        <v>2666.2</v>
      </c>
      <c r="I390" s="529"/>
      <c r="J390" s="269"/>
      <c r="K390" s="1858"/>
      <c r="L390" s="1858"/>
      <c r="M390" s="1858"/>
      <c r="N390" s="1682">
        <v>2666.2</v>
      </c>
      <c r="O390" s="1858"/>
      <c r="P390" s="1858"/>
      <c r="Q390" s="1858"/>
      <c r="R390" s="1858"/>
      <c r="S390" s="1858"/>
      <c r="T390" s="1858"/>
      <c r="U390" s="1682">
        <v>0</v>
      </c>
      <c r="V390" s="1861">
        <v>2666.2</v>
      </c>
      <c r="W390" s="1861">
        <v>2666.2</v>
      </c>
      <c r="X390" s="1861">
        <v>2666.2</v>
      </c>
    </row>
    <row r="391" spans="1:25" s="760" customFormat="1" ht="13" x14ac:dyDescent="0.3">
      <c r="A391" s="842"/>
      <c r="B391" s="1252" t="s">
        <v>244</v>
      </c>
      <c r="C391" s="1177"/>
      <c r="D391" s="408" t="s">
        <v>453</v>
      </c>
      <c r="E391" s="408" t="s">
        <v>452</v>
      </c>
      <c r="F391" s="408"/>
      <c r="G391" s="1661"/>
      <c r="H391" s="1683">
        <f>H392</f>
        <v>7033</v>
      </c>
      <c r="I391" s="841">
        <f>I392</f>
        <v>0</v>
      </c>
      <c r="J391" s="276">
        <f>J392</f>
        <v>0</v>
      </c>
      <c r="K391" s="1860"/>
      <c r="L391" s="1860"/>
      <c r="M391" s="1860"/>
      <c r="N391" s="1208">
        <f>N392</f>
        <v>7314.32</v>
      </c>
      <c r="O391" s="1860"/>
      <c r="P391" s="1860"/>
      <c r="Q391" s="1860"/>
      <c r="R391" s="1860"/>
      <c r="S391" s="1860"/>
      <c r="T391" s="1860"/>
      <c r="U391" s="1683">
        <f>U392</f>
        <v>7606.89</v>
      </c>
    </row>
    <row r="392" spans="1:25" ht="21" x14ac:dyDescent="0.25">
      <c r="A392" s="1179"/>
      <c r="B392" s="1242" t="s">
        <v>933</v>
      </c>
      <c r="C392" s="1183"/>
      <c r="D392" s="409" t="s">
        <v>453</v>
      </c>
      <c r="E392" s="409" t="s">
        <v>452</v>
      </c>
      <c r="F392" s="409" t="s">
        <v>273</v>
      </c>
      <c r="G392" s="1662"/>
      <c r="H392" s="1682">
        <f>H393</f>
        <v>7033</v>
      </c>
      <c r="I392" s="529"/>
      <c r="J392" s="269"/>
      <c r="K392" s="1858"/>
      <c r="L392" s="1858"/>
      <c r="M392" s="1858"/>
      <c r="N392" s="1200">
        <f>N393</f>
        <v>7314.32</v>
      </c>
      <c r="O392" s="1858"/>
      <c r="P392" s="1858"/>
      <c r="Q392" s="1858"/>
      <c r="R392" s="1858"/>
      <c r="S392" s="1858"/>
      <c r="T392" s="1858"/>
      <c r="U392" s="1682">
        <f>U393</f>
        <v>7606.89</v>
      </c>
    </row>
    <row r="393" spans="1:25" x14ac:dyDescent="0.25">
      <c r="A393" s="1179"/>
      <c r="B393" s="753" t="s">
        <v>836</v>
      </c>
      <c r="C393" s="1183"/>
      <c r="D393" s="409" t="s">
        <v>453</v>
      </c>
      <c r="E393" s="409" t="s">
        <v>452</v>
      </c>
      <c r="F393" s="409" t="s">
        <v>251</v>
      </c>
      <c r="G393" s="1662"/>
      <c r="H393" s="1682">
        <f>H394</f>
        <v>7033</v>
      </c>
      <c r="I393" s="529">
        <f>I394+I397</f>
        <v>0</v>
      </c>
      <c r="J393" s="269">
        <f>J394+J397</f>
        <v>0</v>
      </c>
      <c r="K393" s="1858"/>
      <c r="L393" s="1858"/>
      <c r="M393" s="1858"/>
      <c r="N393" s="1200">
        <f>N394</f>
        <v>7314.32</v>
      </c>
      <c r="O393" s="1858"/>
      <c r="P393" s="1858"/>
      <c r="Q393" s="1858"/>
      <c r="R393" s="1858"/>
      <c r="S393" s="1858"/>
      <c r="T393" s="1858"/>
      <c r="U393" s="1682">
        <f>U394</f>
        <v>7606.89</v>
      </c>
    </row>
    <row r="394" spans="1:25" x14ac:dyDescent="0.25">
      <c r="A394" s="1179"/>
      <c r="B394" s="753" t="s">
        <v>250</v>
      </c>
      <c r="C394" s="1180"/>
      <c r="D394" s="409" t="s">
        <v>453</v>
      </c>
      <c r="E394" s="409" t="s">
        <v>452</v>
      </c>
      <c r="F394" s="409" t="s">
        <v>249</v>
      </c>
      <c r="G394" s="1662"/>
      <c r="H394" s="1682">
        <f>H395</f>
        <v>7033</v>
      </c>
      <c r="I394" s="529">
        <f>I395</f>
        <v>0</v>
      </c>
      <c r="J394" s="269">
        <f>J395</f>
        <v>0</v>
      </c>
      <c r="K394" s="1858"/>
      <c r="L394" s="1858"/>
      <c r="M394" s="1858"/>
      <c r="N394" s="1200">
        <f>N395</f>
        <v>7314.32</v>
      </c>
      <c r="O394" s="1858"/>
      <c r="P394" s="1858"/>
      <c r="Q394" s="1858"/>
      <c r="R394" s="1858"/>
      <c r="S394" s="1858"/>
      <c r="T394" s="1858"/>
      <c r="U394" s="1682">
        <f>U395</f>
        <v>7606.89</v>
      </c>
    </row>
    <row r="395" spans="1:25" x14ac:dyDescent="0.25">
      <c r="A395" s="1179"/>
      <c r="B395" s="1242" t="s">
        <v>248</v>
      </c>
      <c r="C395" s="1183"/>
      <c r="D395" s="409" t="s">
        <v>453</v>
      </c>
      <c r="E395" s="409" t="s">
        <v>452</v>
      </c>
      <c r="F395" s="409" t="s">
        <v>243</v>
      </c>
      <c r="G395" s="1662"/>
      <c r="H395" s="1682">
        <f>H397</f>
        <v>7033</v>
      </c>
      <c r="I395" s="529">
        <v>0</v>
      </c>
      <c r="J395" s="269">
        <v>0</v>
      </c>
      <c r="K395" s="1858"/>
      <c r="L395" s="1858"/>
      <c r="M395" s="1858"/>
      <c r="N395" s="1200">
        <f>N397</f>
        <v>7314.32</v>
      </c>
      <c r="O395" s="1858"/>
      <c r="P395" s="1858"/>
      <c r="Q395" s="1858"/>
      <c r="R395" s="1858"/>
      <c r="S395" s="1858"/>
      <c r="T395" s="1858"/>
      <c r="U395" s="1682">
        <f>U397</f>
        <v>7606.89</v>
      </c>
    </row>
    <row r="396" spans="1:25" x14ac:dyDescent="0.25">
      <c r="A396" s="1179"/>
      <c r="B396" s="753" t="s">
        <v>948</v>
      </c>
      <c r="C396" s="1183"/>
      <c r="D396" s="409" t="s">
        <v>453</v>
      </c>
      <c r="E396" s="409" t="s">
        <v>452</v>
      </c>
      <c r="F396" s="409" t="s">
        <v>243</v>
      </c>
      <c r="G396" s="1662" t="s">
        <v>955</v>
      </c>
      <c r="H396" s="1682">
        <f t="shared" ref="H396:U396" si="89">H397</f>
        <v>7033</v>
      </c>
      <c r="I396" s="529">
        <f t="shared" si="89"/>
        <v>0</v>
      </c>
      <c r="J396" s="269">
        <f t="shared" si="89"/>
        <v>0</v>
      </c>
      <c r="K396" s="1858">
        <f t="shared" si="89"/>
        <v>0</v>
      </c>
      <c r="L396" s="1858">
        <f t="shared" si="89"/>
        <v>0</v>
      </c>
      <c r="M396" s="1858">
        <f t="shared" si="89"/>
        <v>0</v>
      </c>
      <c r="N396" s="1200">
        <f t="shared" si="89"/>
        <v>7314.32</v>
      </c>
      <c r="O396" s="1858">
        <f t="shared" si="89"/>
        <v>0</v>
      </c>
      <c r="P396" s="1858">
        <f t="shared" si="89"/>
        <v>0</v>
      </c>
      <c r="Q396" s="1858">
        <f t="shared" si="89"/>
        <v>0</v>
      </c>
      <c r="R396" s="1858">
        <f t="shared" si="89"/>
        <v>0</v>
      </c>
      <c r="S396" s="1858">
        <f t="shared" si="89"/>
        <v>0</v>
      </c>
      <c r="T396" s="1858">
        <f t="shared" si="89"/>
        <v>0</v>
      </c>
      <c r="U396" s="1682">
        <f t="shared" si="89"/>
        <v>7606.89</v>
      </c>
    </row>
    <row r="397" spans="1:25" ht="21" customHeight="1" x14ac:dyDescent="0.25">
      <c r="A397" s="1179"/>
      <c r="B397" s="753" t="s">
        <v>454</v>
      </c>
      <c r="C397" s="1180"/>
      <c r="D397" s="409" t="s">
        <v>453</v>
      </c>
      <c r="E397" s="409" t="s">
        <v>452</v>
      </c>
      <c r="F397" s="409" t="s">
        <v>243</v>
      </c>
      <c r="G397" s="1662" t="s">
        <v>1</v>
      </c>
      <c r="H397" s="1682">
        <v>7033</v>
      </c>
      <c r="I397" s="529"/>
      <c r="J397" s="269"/>
      <c r="K397" s="1858"/>
      <c r="L397" s="1858"/>
      <c r="M397" s="1858"/>
      <c r="N397" s="1200">
        <v>7314.32</v>
      </c>
      <c r="O397" s="1858"/>
      <c r="P397" s="1858"/>
      <c r="Q397" s="1858"/>
      <c r="R397" s="1858"/>
      <c r="S397" s="1858"/>
      <c r="T397" s="1858"/>
      <c r="U397" s="1682">
        <v>7606.89</v>
      </c>
    </row>
    <row r="398" spans="1:25" ht="21" hidden="1" x14ac:dyDescent="0.25">
      <c r="A398" s="1179"/>
      <c r="B398" s="1182" t="s">
        <v>454</v>
      </c>
      <c r="C398" s="1183"/>
      <c r="D398" s="409" t="s">
        <v>453</v>
      </c>
      <c r="E398" s="409" t="s">
        <v>452</v>
      </c>
      <c r="F398" s="409" t="s">
        <v>500</v>
      </c>
      <c r="G398" s="1662" t="s">
        <v>26</v>
      </c>
      <c r="H398" s="1682"/>
      <c r="I398" s="529"/>
      <c r="J398" s="269"/>
      <c r="K398" s="1858"/>
      <c r="L398" s="1858"/>
      <c r="M398" s="1858"/>
      <c r="N398" s="1200"/>
      <c r="O398" s="1858"/>
      <c r="P398" s="1858"/>
      <c r="Q398" s="1858"/>
      <c r="R398" s="1858"/>
      <c r="S398" s="1858"/>
      <c r="T398" s="1858"/>
      <c r="U398" s="1682"/>
    </row>
    <row r="399" spans="1:25" x14ac:dyDescent="0.25">
      <c r="A399" s="1179"/>
      <c r="B399" s="1184" t="s">
        <v>334</v>
      </c>
      <c r="C399" s="1177"/>
      <c r="D399" s="408" t="s">
        <v>496</v>
      </c>
      <c r="E399" s="408" t="s">
        <v>459</v>
      </c>
      <c r="F399" s="408"/>
      <c r="G399" s="1661"/>
      <c r="H399" s="1683">
        <f>H400+H407</f>
        <v>681.78300000000002</v>
      </c>
      <c r="I399" s="841">
        <f>I400+I407</f>
        <v>585.81999999999994</v>
      </c>
      <c r="J399" s="277">
        <f>J400+J407</f>
        <v>610.88699999999994</v>
      </c>
      <c r="K399" s="1858"/>
      <c r="L399" s="1858"/>
      <c r="M399" s="1858"/>
      <c r="N399" s="1208">
        <f>N400+N407</f>
        <v>709.05399999999997</v>
      </c>
      <c r="O399" s="1858"/>
      <c r="P399" s="1858"/>
      <c r="Q399" s="1858"/>
      <c r="R399" s="1858"/>
      <c r="S399" s="1858"/>
      <c r="T399" s="1858"/>
      <c r="U399" s="1683">
        <f>U400+U407</f>
        <v>737.41600000000005</v>
      </c>
    </row>
    <row r="400" spans="1:25" x14ac:dyDescent="0.25">
      <c r="A400" s="1179"/>
      <c r="B400" s="1184" t="s">
        <v>79</v>
      </c>
      <c r="C400" s="1177"/>
      <c r="D400" s="408" t="s">
        <v>496</v>
      </c>
      <c r="E400" s="408" t="s">
        <v>456</v>
      </c>
      <c r="F400" s="408"/>
      <c r="G400" s="1661"/>
      <c r="H400" s="1683">
        <f t="shared" ref="H400:J403" si="90">H401</f>
        <v>681.78300000000002</v>
      </c>
      <c r="I400" s="841">
        <f t="shared" si="90"/>
        <v>0</v>
      </c>
      <c r="J400" s="277">
        <f t="shared" si="90"/>
        <v>0</v>
      </c>
      <c r="K400" s="1862">
        <v>615.01599999999996</v>
      </c>
      <c r="L400" s="1858"/>
      <c r="M400" s="1858"/>
      <c r="N400" s="1208">
        <f t="shared" ref="N400:N403" si="91">N401</f>
        <v>709.05399999999997</v>
      </c>
      <c r="O400" s="1858"/>
      <c r="P400" s="1858"/>
      <c r="Q400" s="1858"/>
      <c r="R400" s="1858"/>
      <c r="S400" s="1858"/>
      <c r="T400" s="1858"/>
      <c r="U400" s="1683">
        <f t="shared" ref="U400:U403" si="92">U401</f>
        <v>737.41600000000005</v>
      </c>
    </row>
    <row r="401" spans="1:21" ht="21" x14ac:dyDescent="0.25">
      <c r="A401" s="1179"/>
      <c r="B401" s="753" t="s">
        <v>499</v>
      </c>
      <c r="C401" s="1177"/>
      <c r="D401" s="409" t="s">
        <v>496</v>
      </c>
      <c r="E401" s="409" t="s">
        <v>456</v>
      </c>
      <c r="F401" s="409" t="s">
        <v>89</v>
      </c>
      <c r="G401" s="1661"/>
      <c r="H401" s="1683">
        <f t="shared" si="90"/>
        <v>681.78300000000002</v>
      </c>
      <c r="I401" s="841">
        <f t="shared" si="90"/>
        <v>0</v>
      </c>
      <c r="J401" s="277">
        <f t="shared" si="90"/>
        <v>0</v>
      </c>
      <c r="K401" s="1858"/>
      <c r="L401" s="1858"/>
      <c r="M401" s="1858"/>
      <c r="N401" s="1208">
        <f t="shared" si="91"/>
        <v>709.05399999999997</v>
      </c>
      <c r="O401" s="1858"/>
      <c r="P401" s="1858"/>
      <c r="Q401" s="1858"/>
      <c r="R401" s="1858"/>
      <c r="S401" s="1858"/>
      <c r="T401" s="1858"/>
      <c r="U401" s="1683">
        <f t="shared" si="92"/>
        <v>737.41600000000005</v>
      </c>
    </row>
    <row r="402" spans="1:21" x14ac:dyDescent="0.25">
      <c r="A402" s="1179"/>
      <c r="B402" s="753" t="s">
        <v>109</v>
      </c>
      <c r="C402" s="1180"/>
      <c r="D402" s="409" t="s">
        <v>496</v>
      </c>
      <c r="E402" s="409" t="s">
        <v>456</v>
      </c>
      <c r="F402" s="409" t="s">
        <v>84</v>
      </c>
      <c r="G402" s="1662"/>
      <c r="H402" s="1682">
        <f t="shared" si="90"/>
        <v>681.78300000000002</v>
      </c>
      <c r="I402" s="529">
        <f t="shared" si="90"/>
        <v>0</v>
      </c>
      <c r="J402" s="270">
        <f t="shared" si="90"/>
        <v>0</v>
      </c>
      <c r="K402" s="1858"/>
      <c r="L402" s="1858"/>
      <c r="M402" s="1858"/>
      <c r="N402" s="1200">
        <f t="shared" si="91"/>
        <v>709.05399999999997</v>
      </c>
      <c r="O402" s="1858"/>
      <c r="P402" s="1858"/>
      <c r="Q402" s="1858"/>
      <c r="R402" s="1858"/>
      <c r="S402" s="1858"/>
      <c r="T402" s="1858"/>
      <c r="U402" s="1682">
        <f t="shared" si="92"/>
        <v>737.41600000000005</v>
      </c>
    </row>
    <row r="403" spans="1:21" x14ac:dyDescent="0.25">
      <c r="A403" s="1179"/>
      <c r="B403" s="753" t="s">
        <v>109</v>
      </c>
      <c r="C403" s="1180"/>
      <c r="D403" s="409" t="s">
        <v>496</v>
      </c>
      <c r="E403" s="409" t="s">
        <v>456</v>
      </c>
      <c r="F403" s="409" t="s">
        <v>82</v>
      </c>
      <c r="G403" s="1662"/>
      <c r="H403" s="1682">
        <f t="shared" si="90"/>
        <v>681.78300000000002</v>
      </c>
      <c r="I403" s="529">
        <f t="shared" si="90"/>
        <v>0</v>
      </c>
      <c r="J403" s="270">
        <f t="shared" si="90"/>
        <v>0</v>
      </c>
      <c r="K403" s="1858"/>
      <c r="L403" s="1858"/>
      <c r="M403" s="1858"/>
      <c r="N403" s="1200">
        <f t="shared" si="91"/>
        <v>709.05399999999997</v>
      </c>
      <c r="O403" s="1858"/>
      <c r="P403" s="1858"/>
      <c r="Q403" s="1858"/>
      <c r="R403" s="1858"/>
      <c r="S403" s="1858"/>
      <c r="T403" s="1858"/>
      <c r="U403" s="1682">
        <f t="shared" si="92"/>
        <v>737.41600000000005</v>
      </c>
    </row>
    <row r="404" spans="1:21" x14ac:dyDescent="0.25">
      <c r="A404" s="1179"/>
      <c r="B404" s="753" t="s">
        <v>81</v>
      </c>
      <c r="C404" s="1180"/>
      <c r="D404" s="409" t="s">
        <v>496</v>
      </c>
      <c r="E404" s="409" t="s">
        <v>456</v>
      </c>
      <c r="F404" s="409" t="s">
        <v>78</v>
      </c>
      <c r="G404" s="1662"/>
      <c r="H404" s="1682">
        <f>H406</f>
        <v>681.78300000000002</v>
      </c>
      <c r="I404" s="529">
        <f>I406</f>
        <v>0</v>
      </c>
      <c r="J404" s="270">
        <f>J406</f>
        <v>0</v>
      </c>
      <c r="K404" s="1858"/>
      <c r="L404" s="1858"/>
      <c r="M404" s="1858"/>
      <c r="N404" s="1200">
        <f>N406</f>
        <v>709.05399999999997</v>
      </c>
      <c r="O404" s="1858"/>
      <c r="P404" s="1858"/>
      <c r="Q404" s="1858"/>
      <c r="R404" s="1858"/>
      <c r="S404" s="1858"/>
      <c r="T404" s="1858"/>
      <c r="U404" s="1682">
        <f>U406</f>
        <v>737.41600000000005</v>
      </c>
    </row>
    <row r="405" spans="1:21" x14ac:dyDescent="0.25">
      <c r="A405" s="1179"/>
      <c r="B405" s="753" t="s">
        <v>852</v>
      </c>
      <c r="C405" s="1180"/>
      <c r="D405" s="409" t="s">
        <v>496</v>
      </c>
      <c r="E405" s="409" t="s">
        <v>456</v>
      </c>
      <c r="F405" s="409" t="s">
        <v>78</v>
      </c>
      <c r="G405" s="1662" t="s">
        <v>860</v>
      </c>
      <c r="H405" s="1682">
        <f t="shared" ref="H405:U405" si="93">H406</f>
        <v>681.78300000000002</v>
      </c>
      <c r="I405" s="529">
        <f t="shared" si="93"/>
        <v>0</v>
      </c>
      <c r="J405" s="404">
        <f t="shared" si="93"/>
        <v>0</v>
      </c>
      <c r="K405" s="1858">
        <f t="shared" si="93"/>
        <v>0</v>
      </c>
      <c r="L405" s="1858">
        <f t="shared" si="93"/>
        <v>0</v>
      </c>
      <c r="M405" s="1858">
        <f t="shared" si="93"/>
        <v>0</v>
      </c>
      <c r="N405" s="1200">
        <f t="shared" si="93"/>
        <v>709.05399999999997</v>
      </c>
      <c r="O405" s="1858">
        <f t="shared" si="93"/>
        <v>0</v>
      </c>
      <c r="P405" s="1858">
        <f t="shared" si="93"/>
        <v>0</v>
      </c>
      <c r="Q405" s="1858">
        <f t="shared" si="93"/>
        <v>0</v>
      </c>
      <c r="R405" s="1858">
        <f t="shared" si="93"/>
        <v>0</v>
      </c>
      <c r="S405" s="1858">
        <f t="shared" si="93"/>
        <v>0</v>
      </c>
      <c r="T405" s="1858">
        <f t="shared" si="93"/>
        <v>0</v>
      </c>
      <c r="U405" s="1682">
        <f t="shared" si="93"/>
        <v>737.41600000000005</v>
      </c>
    </row>
    <row r="406" spans="1:21" x14ac:dyDescent="0.25">
      <c r="A406" s="1179"/>
      <c r="B406" s="1236" t="s">
        <v>497</v>
      </c>
      <c r="C406" s="1183"/>
      <c r="D406" s="409" t="s">
        <v>496</v>
      </c>
      <c r="E406" s="409" t="s">
        <v>456</v>
      </c>
      <c r="F406" s="409" t="s">
        <v>78</v>
      </c>
      <c r="G406" s="1662" t="s">
        <v>77</v>
      </c>
      <c r="H406" s="1682">
        <v>681.78300000000002</v>
      </c>
      <c r="I406" s="529"/>
      <c r="J406" s="269"/>
      <c r="K406" s="1858"/>
      <c r="L406" s="1858"/>
      <c r="M406" s="1858"/>
      <c r="N406" s="1200">
        <v>709.05399999999997</v>
      </c>
      <c r="O406" s="1858"/>
      <c r="P406" s="1858"/>
      <c r="Q406" s="1858"/>
      <c r="R406" s="1858"/>
      <c r="S406" s="1858"/>
      <c r="T406" s="1858"/>
      <c r="U406" s="1682">
        <v>737.41600000000005</v>
      </c>
    </row>
    <row r="407" spans="1:21" hidden="1" x14ac:dyDescent="0.25">
      <c r="A407" s="1179"/>
      <c r="B407" s="1184" t="s">
        <v>45</v>
      </c>
      <c r="C407" s="1177"/>
      <c r="D407" s="408" t="s">
        <v>496</v>
      </c>
      <c r="E407" s="408" t="s">
        <v>495</v>
      </c>
      <c r="F407" s="408"/>
      <c r="G407" s="1661"/>
      <c r="H407" s="1683">
        <f t="shared" ref="H407:J410" si="94">H408</f>
        <v>0</v>
      </c>
      <c r="I407" s="841">
        <f t="shared" si="94"/>
        <v>585.81999999999994</v>
      </c>
      <c r="J407" s="277">
        <f t="shared" si="94"/>
        <v>610.88699999999994</v>
      </c>
      <c r="K407" s="1858"/>
      <c r="L407" s="1858"/>
      <c r="M407" s="1858"/>
      <c r="N407" s="1208">
        <f t="shared" ref="N407:N410" si="95">N408</f>
        <v>0</v>
      </c>
      <c r="O407" s="1858"/>
      <c r="P407" s="1858"/>
      <c r="Q407" s="1858"/>
      <c r="R407" s="1858"/>
      <c r="S407" s="1858"/>
      <c r="T407" s="1858"/>
      <c r="U407" s="1683">
        <f t="shared" ref="U407:U410" si="96">U408</f>
        <v>0</v>
      </c>
    </row>
    <row r="408" spans="1:21" ht="31.5" hidden="1" x14ac:dyDescent="0.25">
      <c r="A408" s="1179"/>
      <c r="B408" s="1203" t="s">
        <v>861</v>
      </c>
      <c r="C408" s="1177"/>
      <c r="D408" s="408" t="s">
        <v>496</v>
      </c>
      <c r="E408" s="408" t="s">
        <v>495</v>
      </c>
      <c r="F408" s="408" t="s">
        <v>468</v>
      </c>
      <c r="G408" s="1661"/>
      <c r="H408" s="1683">
        <f>H409+H413</f>
        <v>0</v>
      </c>
      <c r="I408" s="841">
        <f t="shared" si="94"/>
        <v>585.81999999999994</v>
      </c>
      <c r="J408" s="277">
        <f t="shared" si="94"/>
        <v>610.88699999999994</v>
      </c>
      <c r="K408" s="1858"/>
      <c r="L408" s="1858"/>
      <c r="M408" s="1858"/>
      <c r="N408" s="1208">
        <f>N409+N413</f>
        <v>0</v>
      </c>
      <c r="O408" s="1858"/>
      <c r="P408" s="1858"/>
      <c r="Q408" s="1858"/>
      <c r="R408" s="1858"/>
      <c r="S408" s="1858"/>
      <c r="T408" s="1858"/>
      <c r="U408" s="1683">
        <f>U409+U413</f>
        <v>0</v>
      </c>
    </row>
    <row r="409" spans="1:21" hidden="1" x14ac:dyDescent="0.25">
      <c r="A409" s="1179"/>
      <c r="B409" s="1203" t="s">
        <v>849</v>
      </c>
      <c r="C409" s="1180"/>
      <c r="D409" s="409" t="s">
        <v>496</v>
      </c>
      <c r="E409" s="409" t="s">
        <v>495</v>
      </c>
      <c r="F409" s="409" t="s">
        <v>854</v>
      </c>
      <c r="G409" s="1662"/>
      <c r="H409" s="1682">
        <f t="shared" si="94"/>
        <v>0</v>
      </c>
      <c r="I409" s="529">
        <f t="shared" si="94"/>
        <v>585.81999999999994</v>
      </c>
      <c r="J409" s="270">
        <f t="shared" si="94"/>
        <v>610.88699999999994</v>
      </c>
      <c r="K409" s="1858"/>
      <c r="L409" s="1858"/>
      <c r="M409" s="1858"/>
      <c r="N409" s="1200">
        <f t="shared" si="95"/>
        <v>0</v>
      </c>
      <c r="O409" s="1858"/>
      <c r="P409" s="1858"/>
      <c r="Q409" s="1858"/>
      <c r="R409" s="1858"/>
      <c r="S409" s="1858"/>
      <c r="T409" s="1858"/>
      <c r="U409" s="1682">
        <f t="shared" si="96"/>
        <v>0</v>
      </c>
    </row>
    <row r="410" spans="1:21" hidden="1" x14ac:dyDescent="0.25">
      <c r="A410" s="1179"/>
      <c r="B410" s="1203" t="s">
        <v>850</v>
      </c>
      <c r="C410" s="1180"/>
      <c r="D410" s="409" t="s">
        <v>496</v>
      </c>
      <c r="E410" s="409" t="s">
        <v>495</v>
      </c>
      <c r="F410" s="409" t="s">
        <v>855</v>
      </c>
      <c r="G410" s="1662"/>
      <c r="H410" s="1682">
        <f t="shared" si="94"/>
        <v>0</v>
      </c>
      <c r="I410" s="529">
        <f t="shared" si="94"/>
        <v>585.81999999999994</v>
      </c>
      <c r="J410" s="270">
        <f t="shared" si="94"/>
        <v>610.88699999999994</v>
      </c>
      <c r="K410" s="1858"/>
      <c r="L410" s="1858"/>
      <c r="M410" s="1858"/>
      <c r="N410" s="1200">
        <f t="shared" si="95"/>
        <v>0</v>
      </c>
      <c r="O410" s="1858"/>
      <c r="P410" s="1858"/>
      <c r="Q410" s="1858"/>
      <c r="R410" s="1858"/>
      <c r="S410" s="1858"/>
      <c r="T410" s="1858"/>
      <c r="U410" s="1682">
        <f t="shared" si="96"/>
        <v>0</v>
      </c>
    </row>
    <row r="411" spans="1:21" ht="35.25" hidden="1" customHeight="1" x14ac:dyDescent="0.25">
      <c r="A411" s="1179"/>
      <c r="B411" s="1232" t="s">
        <v>851</v>
      </c>
      <c r="C411" s="1180"/>
      <c r="D411" s="409" t="s">
        <v>496</v>
      </c>
      <c r="E411" s="409" t="s">
        <v>495</v>
      </c>
      <c r="F411" s="1864" t="s">
        <v>856</v>
      </c>
      <c r="G411" s="1662"/>
      <c r="H411" s="1682">
        <f>H412</f>
        <v>0</v>
      </c>
      <c r="I411" s="529">
        <f>I412+I416+I417</f>
        <v>585.81999999999994</v>
      </c>
      <c r="J411" s="270">
        <f>J412+J416+J417</f>
        <v>610.88699999999994</v>
      </c>
      <c r="K411" s="1858"/>
      <c r="L411" s="1858"/>
      <c r="M411" s="1858"/>
      <c r="N411" s="1200">
        <f>N412</f>
        <v>0</v>
      </c>
      <c r="O411" s="1858"/>
      <c r="P411" s="1858"/>
      <c r="Q411" s="1858"/>
      <c r="R411" s="1858"/>
      <c r="S411" s="1858"/>
      <c r="T411" s="1858"/>
      <c r="U411" s="1682">
        <f>U412</f>
        <v>0</v>
      </c>
    </row>
    <row r="412" spans="1:21" hidden="1" x14ac:dyDescent="0.25">
      <c r="A412" s="1179"/>
      <c r="B412" s="1236" t="s">
        <v>497</v>
      </c>
      <c r="C412" s="1183"/>
      <c r="D412" s="409" t="s">
        <v>496</v>
      </c>
      <c r="E412" s="409" t="s">
        <v>495</v>
      </c>
      <c r="F412" s="1864" t="s">
        <v>856</v>
      </c>
      <c r="G412" s="1662" t="s">
        <v>77</v>
      </c>
      <c r="H412" s="1865"/>
      <c r="I412" s="529">
        <v>31.3</v>
      </c>
      <c r="J412" s="269">
        <v>34.43</v>
      </c>
      <c r="K412" s="1858"/>
      <c r="L412" s="1858"/>
      <c r="M412" s="1858"/>
      <c r="N412" s="1866">
        <v>0</v>
      </c>
      <c r="O412" s="1858"/>
      <c r="P412" s="1858"/>
      <c r="Q412" s="1858"/>
      <c r="R412" s="1858"/>
      <c r="S412" s="1858"/>
      <c r="T412" s="1858"/>
      <c r="U412" s="1865">
        <v>0</v>
      </c>
    </row>
    <row r="413" spans="1:21" ht="21" hidden="1" x14ac:dyDescent="0.25">
      <c r="A413" s="1179"/>
      <c r="B413" s="1203" t="s">
        <v>853</v>
      </c>
      <c r="C413" s="1183"/>
      <c r="D413" s="409" t="s">
        <v>496</v>
      </c>
      <c r="E413" s="409" t="s">
        <v>495</v>
      </c>
      <c r="F413" s="1864" t="s">
        <v>857</v>
      </c>
      <c r="G413" s="1662"/>
      <c r="H413" s="1865">
        <f>H414</f>
        <v>0</v>
      </c>
      <c r="I413" s="529"/>
      <c r="J413" s="269"/>
      <c r="K413" s="1858"/>
      <c r="L413" s="1858"/>
      <c r="M413" s="1858"/>
      <c r="N413" s="1866">
        <f>N414</f>
        <v>0</v>
      </c>
      <c r="O413" s="1858"/>
      <c r="P413" s="1858"/>
      <c r="Q413" s="1858"/>
      <c r="R413" s="1858"/>
      <c r="S413" s="1858"/>
      <c r="T413" s="1858"/>
      <c r="U413" s="1865">
        <f>U414</f>
        <v>0</v>
      </c>
    </row>
    <row r="414" spans="1:21" hidden="1" x14ac:dyDescent="0.25">
      <c r="A414" s="1179"/>
      <c r="B414" s="1203" t="s">
        <v>850</v>
      </c>
      <c r="C414" s="1183"/>
      <c r="D414" s="409" t="s">
        <v>496</v>
      </c>
      <c r="E414" s="409" t="s">
        <v>495</v>
      </c>
      <c r="F414" s="409" t="s">
        <v>858</v>
      </c>
      <c r="G414" s="1662"/>
      <c r="H414" s="1865">
        <f>H415</f>
        <v>0</v>
      </c>
      <c r="I414" s="529"/>
      <c r="J414" s="269"/>
      <c r="K414" s="1858"/>
      <c r="L414" s="1858"/>
      <c r="M414" s="1858"/>
      <c r="N414" s="1866">
        <f>N415</f>
        <v>0</v>
      </c>
      <c r="O414" s="1858"/>
      <c r="P414" s="1858"/>
      <c r="Q414" s="1858"/>
      <c r="R414" s="1858"/>
      <c r="S414" s="1858"/>
      <c r="T414" s="1858"/>
      <c r="U414" s="1865">
        <f>U415</f>
        <v>0</v>
      </c>
    </row>
    <row r="415" spans="1:21" ht="31.5" hidden="1" x14ac:dyDescent="0.25">
      <c r="A415" s="1179"/>
      <c r="B415" s="1203" t="s">
        <v>851</v>
      </c>
      <c r="C415" s="1183"/>
      <c r="D415" s="409" t="s">
        <v>496</v>
      </c>
      <c r="E415" s="409" t="s">
        <v>495</v>
      </c>
      <c r="F415" s="1864" t="s">
        <v>859</v>
      </c>
      <c r="G415" s="1662"/>
      <c r="H415" s="1865">
        <f>H416</f>
        <v>0</v>
      </c>
      <c r="I415" s="529"/>
      <c r="J415" s="269"/>
      <c r="K415" s="1858"/>
      <c r="L415" s="1858"/>
      <c r="M415" s="1858"/>
      <c r="N415" s="1866">
        <f>N416</f>
        <v>0</v>
      </c>
      <c r="O415" s="1858"/>
      <c r="P415" s="1858"/>
      <c r="Q415" s="1858"/>
      <c r="R415" s="1858"/>
      <c r="S415" s="1858"/>
      <c r="T415" s="1858"/>
      <c r="U415" s="1865">
        <f>U416</f>
        <v>0</v>
      </c>
    </row>
    <row r="416" spans="1:21" hidden="1" x14ac:dyDescent="0.25">
      <c r="A416" s="1179"/>
      <c r="B416" s="1236" t="s">
        <v>497</v>
      </c>
      <c r="C416" s="1183"/>
      <c r="D416" s="409" t="s">
        <v>496</v>
      </c>
      <c r="E416" s="409" t="s">
        <v>495</v>
      </c>
      <c r="F416" s="1864" t="s">
        <v>859</v>
      </c>
      <c r="G416" s="1662" t="s">
        <v>77</v>
      </c>
      <c r="H416" s="1865"/>
      <c r="I416" s="529">
        <v>554.52</v>
      </c>
      <c r="J416" s="269">
        <v>576.45699999999999</v>
      </c>
      <c r="K416" s="1858"/>
      <c r="L416" s="1858"/>
      <c r="M416" s="1858"/>
      <c r="N416" s="1866">
        <v>0</v>
      </c>
      <c r="O416" s="1858"/>
      <c r="P416" s="1858"/>
      <c r="Q416" s="1858"/>
      <c r="R416" s="1858"/>
      <c r="S416" s="1858"/>
      <c r="T416" s="1858"/>
      <c r="U416" s="1865">
        <v>0</v>
      </c>
    </row>
    <row r="417" spans="1:21" hidden="1" x14ac:dyDescent="0.25">
      <c r="A417" s="1179"/>
      <c r="B417" s="1182" t="s">
        <v>497</v>
      </c>
      <c r="C417" s="1183"/>
      <c r="D417" s="409" t="s">
        <v>496</v>
      </c>
      <c r="E417" s="409" t="s">
        <v>495</v>
      </c>
      <c r="F417" s="409" t="s">
        <v>43</v>
      </c>
      <c r="G417" s="1662" t="s">
        <v>77</v>
      </c>
      <c r="H417" s="1682"/>
      <c r="I417" s="529"/>
      <c r="J417" s="269"/>
      <c r="K417" s="1858"/>
      <c r="L417" s="1858"/>
      <c r="M417" s="1858"/>
      <c r="N417" s="1200"/>
      <c r="O417" s="1858"/>
      <c r="P417" s="1858"/>
      <c r="Q417" s="1858"/>
      <c r="R417" s="1858"/>
      <c r="S417" s="1858"/>
      <c r="T417" s="1858"/>
      <c r="U417" s="1682"/>
    </row>
    <row r="418" spans="1:21" x14ac:dyDescent="0.25">
      <c r="A418" s="1179"/>
      <c r="B418" s="1184" t="s">
        <v>331</v>
      </c>
      <c r="C418" s="1177"/>
      <c r="D418" s="408" t="s">
        <v>464</v>
      </c>
      <c r="E418" s="408" t="s">
        <v>459</v>
      </c>
      <c r="F418" s="408"/>
      <c r="G418" s="1661"/>
      <c r="H418" s="1683">
        <f>H419+H427</f>
        <v>1650</v>
      </c>
      <c r="I418" s="841">
        <f>I419+I427</f>
        <v>0</v>
      </c>
      <c r="J418" s="277">
        <f>J419+J427</f>
        <v>0</v>
      </c>
      <c r="K418" s="1862">
        <v>600</v>
      </c>
      <c r="L418" s="1858"/>
      <c r="M418" s="1858"/>
      <c r="N418" s="1208">
        <f>N419+N427</f>
        <v>1700</v>
      </c>
      <c r="O418" s="1858"/>
      <c r="P418" s="1858"/>
      <c r="Q418" s="1858"/>
      <c r="R418" s="1858"/>
      <c r="S418" s="1858"/>
      <c r="T418" s="1858"/>
      <c r="U418" s="1683">
        <f>U419+U427</f>
        <v>1750</v>
      </c>
    </row>
    <row r="419" spans="1:21" hidden="1" x14ac:dyDescent="0.25">
      <c r="A419" s="1179"/>
      <c r="B419" s="1184" t="s">
        <v>494</v>
      </c>
      <c r="C419" s="1177"/>
      <c r="D419" s="408" t="s">
        <v>464</v>
      </c>
      <c r="E419" s="408" t="s">
        <v>488</v>
      </c>
      <c r="F419" s="408" t="s">
        <v>106</v>
      </c>
      <c r="G419" s="1661" t="s">
        <v>106</v>
      </c>
      <c r="H419" s="1683">
        <f t="shared" ref="H419:J422" si="97">H420</f>
        <v>0</v>
      </c>
      <c r="I419" s="841">
        <f t="shared" si="97"/>
        <v>0</v>
      </c>
      <c r="J419" s="277">
        <f t="shared" si="97"/>
        <v>0</v>
      </c>
      <c r="K419" s="1858"/>
      <c r="L419" s="1858"/>
      <c r="M419" s="1858"/>
      <c r="N419" s="1208">
        <f t="shared" ref="N419:N422" si="98">N420</f>
        <v>0</v>
      </c>
      <c r="O419" s="1858"/>
      <c r="P419" s="1858"/>
      <c r="Q419" s="1858"/>
      <c r="R419" s="1858"/>
      <c r="S419" s="1858"/>
      <c r="T419" s="1858"/>
      <c r="U419" s="1683">
        <f t="shared" ref="U419:U422" si="99">U420</f>
        <v>0</v>
      </c>
    </row>
    <row r="420" spans="1:21" ht="34.5" hidden="1" x14ac:dyDescent="0.25">
      <c r="A420" s="1179"/>
      <c r="B420" s="1184" t="s">
        <v>493</v>
      </c>
      <c r="C420" s="1177"/>
      <c r="D420" s="408" t="s">
        <v>464</v>
      </c>
      <c r="E420" s="408" t="s">
        <v>488</v>
      </c>
      <c r="F420" s="408" t="s">
        <v>311</v>
      </c>
      <c r="G420" s="1661"/>
      <c r="H420" s="1683">
        <f t="shared" si="97"/>
        <v>0</v>
      </c>
      <c r="I420" s="841">
        <f t="shared" si="97"/>
        <v>0</v>
      </c>
      <c r="J420" s="277">
        <f t="shared" si="97"/>
        <v>0</v>
      </c>
      <c r="K420" s="1858"/>
      <c r="L420" s="1858"/>
      <c r="M420" s="1858"/>
      <c r="N420" s="1208">
        <f t="shared" si="98"/>
        <v>0</v>
      </c>
      <c r="O420" s="1858"/>
      <c r="P420" s="1858"/>
      <c r="Q420" s="1858"/>
      <c r="R420" s="1858"/>
      <c r="S420" s="1858"/>
      <c r="T420" s="1858"/>
      <c r="U420" s="1683">
        <f t="shared" si="99"/>
        <v>0</v>
      </c>
    </row>
    <row r="421" spans="1:21" ht="34.5" hidden="1" x14ac:dyDescent="0.25">
      <c r="A421" s="1233"/>
      <c r="B421" s="1253" t="s">
        <v>492</v>
      </c>
      <c r="C421" s="1180"/>
      <c r="D421" s="409" t="s">
        <v>464</v>
      </c>
      <c r="E421" s="409" t="s">
        <v>488</v>
      </c>
      <c r="F421" s="409" t="s">
        <v>491</v>
      </c>
      <c r="G421" s="1662"/>
      <c r="H421" s="1682">
        <f t="shared" si="97"/>
        <v>0</v>
      </c>
      <c r="I421" s="529">
        <f t="shared" si="97"/>
        <v>0</v>
      </c>
      <c r="J421" s="270">
        <f t="shared" si="97"/>
        <v>0</v>
      </c>
      <c r="K421" s="1858"/>
      <c r="L421" s="1858"/>
      <c r="M421" s="1858"/>
      <c r="N421" s="1200">
        <f t="shared" si="98"/>
        <v>0</v>
      </c>
      <c r="O421" s="1858"/>
      <c r="P421" s="1858"/>
      <c r="Q421" s="1858"/>
      <c r="R421" s="1858"/>
      <c r="S421" s="1858"/>
      <c r="T421" s="1858"/>
      <c r="U421" s="1682">
        <f t="shared" si="99"/>
        <v>0</v>
      </c>
    </row>
    <row r="422" spans="1:21" hidden="1" x14ac:dyDescent="0.25">
      <c r="A422" s="1233"/>
      <c r="B422" s="1253" t="s">
        <v>490</v>
      </c>
      <c r="C422" s="1180"/>
      <c r="D422" s="409" t="s">
        <v>464</v>
      </c>
      <c r="E422" s="409" t="s">
        <v>488</v>
      </c>
      <c r="F422" s="409" t="s">
        <v>489</v>
      </c>
      <c r="G422" s="1662"/>
      <c r="H422" s="1682">
        <f t="shared" si="97"/>
        <v>0</v>
      </c>
      <c r="I422" s="529">
        <f t="shared" si="97"/>
        <v>0</v>
      </c>
      <c r="J422" s="270">
        <f t="shared" si="97"/>
        <v>0</v>
      </c>
      <c r="K422" s="1858"/>
      <c r="L422" s="1858"/>
      <c r="M422" s="1858"/>
      <c r="N422" s="1200">
        <f t="shared" si="98"/>
        <v>0</v>
      </c>
      <c r="O422" s="1858"/>
      <c r="P422" s="1858"/>
      <c r="Q422" s="1858"/>
      <c r="R422" s="1858"/>
      <c r="S422" s="1858"/>
      <c r="T422" s="1858"/>
      <c r="U422" s="1682">
        <f t="shared" si="99"/>
        <v>0</v>
      </c>
    </row>
    <row r="423" spans="1:21" hidden="1" x14ac:dyDescent="0.25">
      <c r="A423" s="1233"/>
      <c r="B423" s="1253" t="s">
        <v>351</v>
      </c>
      <c r="C423" s="1180"/>
      <c r="D423" s="409" t="s">
        <v>464</v>
      </c>
      <c r="E423" s="409" t="s">
        <v>488</v>
      </c>
      <c r="F423" s="409" t="s">
        <v>487</v>
      </c>
      <c r="G423" s="1662"/>
      <c r="H423" s="1682">
        <f>H424+H425+H426</f>
        <v>0</v>
      </c>
      <c r="I423" s="529">
        <f>I424+I425+I426</f>
        <v>0</v>
      </c>
      <c r="J423" s="270">
        <f>J424+J425+J426</f>
        <v>0</v>
      </c>
      <c r="K423" s="1858"/>
      <c r="L423" s="1858"/>
      <c r="M423" s="1858"/>
      <c r="N423" s="1200">
        <f>N424+N425+N426</f>
        <v>0</v>
      </c>
      <c r="O423" s="1858"/>
      <c r="P423" s="1858"/>
      <c r="Q423" s="1858"/>
      <c r="R423" s="1858"/>
      <c r="S423" s="1858"/>
      <c r="T423" s="1858"/>
      <c r="U423" s="1682">
        <f>U424+U425+U426</f>
        <v>0</v>
      </c>
    </row>
    <row r="424" spans="1:21" hidden="1" x14ac:dyDescent="0.25">
      <c r="A424" s="1179"/>
      <c r="B424" s="1254" t="s">
        <v>458</v>
      </c>
      <c r="C424" s="1183"/>
      <c r="D424" s="409" t="s">
        <v>464</v>
      </c>
      <c r="E424" s="409" t="s">
        <v>488</v>
      </c>
      <c r="F424" s="409" t="s">
        <v>487</v>
      </c>
      <c r="G424" s="1662" t="s">
        <v>255</v>
      </c>
      <c r="H424" s="1682"/>
      <c r="I424" s="529"/>
      <c r="J424" s="270"/>
      <c r="K424" s="1858"/>
      <c r="L424" s="1858"/>
      <c r="M424" s="1858"/>
      <c r="N424" s="1200"/>
      <c r="O424" s="1858"/>
      <c r="P424" s="1858"/>
      <c r="Q424" s="1858"/>
      <c r="R424" s="1858"/>
      <c r="S424" s="1858"/>
      <c r="T424" s="1858"/>
      <c r="U424" s="1682"/>
    </row>
    <row r="425" spans="1:21" ht="23" hidden="1" x14ac:dyDescent="0.25">
      <c r="A425" s="1179"/>
      <c r="B425" s="1254" t="s">
        <v>454</v>
      </c>
      <c r="C425" s="1183"/>
      <c r="D425" s="409" t="s">
        <v>464</v>
      </c>
      <c r="E425" s="409" t="s">
        <v>488</v>
      </c>
      <c r="F425" s="409" t="s">
        <v>487</v>
      </c>
      <c r="G425" s="1662" t="s">
        <v>1</v>
      </c>
      <c r="H425" s="1682"/>
      <c r="I425" s="529"/>
      <c r="J425" s="270"/>
      <c r="K425" s="1858"/>
      <c r="L425" s="1858"/>
      <c r="M425" s="1858"/>
      <c r="N425" s="1200"/>
      <c r="O425" s="1858"/>
      <c r="P425" s="1858"/>
      <c r="Q425" s="1858"/>
      <c r="R425" s="1858"/>
      <c r="S425" s="1858"/>
      <c r="T425" s="1858"/>
      <c r="U425" s="1682"/>
    </row>
    <row r="426" spans="1:21" hidden="1" x14ac:dyDescent="0.25">
      <c r="A426" s="1179"/>
      <c r="B426" s="1254" t="s">
        <v>457</v>
      </c>
      <c r="C426" s="1183"/>
      <c r="D426" s="409" t="s">
        <v>464</v>
      </c>
      <c r="E426" s="409" t="s">
        <v>488</v>
      </c>
      <c r="F426" s="409" t="s">
        <v>487</v>
      </c>
      <c r="G426" s="1662" t="s">
        <v>91</v>
      </c>
      <c r="H426" s="1682"/>
      <c r="I426" s="529"/>
      <c r="J426" s="270"/>
      <c r="K426" s="1858"/>
      <c r="L426" s="1858"/>
      <c r="M426" s="1858"/>
      <c r="N426" s="1200"/>
      <c r="O426" s="1858"/>
      <c r="P426" s="1858"/>
      <c r="Q426" s="1858"/>
      <c r="R426" s="1858"/>
      <c r="S426" s="1858"/>
      <c r="T426" s="1858"/>
      <c r="U426" s="1682"/>
    </row>
    <row r="427" spans="1:21" x14ac:dyDescent="0.25">
      <c r="A427" s="1179"/>
      <c r="B427" s="1184" t="s">
        <v>64</v>
      </c>
      <c r="C427" s="1177"/>
      <c r="D427" s="408" t="s">
        <v>464</v>
      </c>
      <c r="E427" s="408" t="s">
        <v>463</v>
      </c>
      <c r="F427" s="408" t="s">
        <v>106</v>
      </c>
      <c r="G427" s="1661" t="s">
        <v>106</v>
      </c>
      <c r="H427" s="1683">
        <f>H428+H455</f>
        <v>1650</v>
      </c>
      <c r="I427" s="841">
        <f>I428+I455</f>
        <v>0</v>
      </c>
      <c r="J427" s="277">
        <f>J428+J455</f>
        <v>0</v>
      </c>
      <c r="K427" s="1858"/>
      <c r="L427" s="1858"/>
      <c r="M427" s="1858"/>
      <c r="N427" s="1208">
        <f>N428+N455</f>
        <v>1700</v>
      </c>
      <c r="O427" s="1858"/>
      <c r="P427" s="1858"/>
      <c r="Q427" s="1858"/>
      <c r="R427" s="1858"/>
      <c r="S427" s="1858"/>
      <c r="T427" s="1858"/>
      <c r="U427" s="1683">
        <f>U428+U455</f>
        <v>1750</v>
      </c>
    </row>
    <row r="428" spans="1:21" ht="30" customHeight="1" x14ac:dyDescent="0.25">
      <c r="A428" s="1179"/>
      <c r="B428" s="1205" t="s">
        <v>906</v>
      </c>
      <c r="C428" s="1177"/>
      <c r="D428" s="409" t="s">
        <v>464</v>
      </c>
      <c r="E428" s="409" t="s">
        <v>463</v>
      </c>
      <c r="F428" s="409" t="s">
        <v>311</v>
      </c>
      <c r="G428" s="1661"/>
      <c r="H428" s="1683">
        <f>H429+H438</f>
        <v>1650</v>
      </c>
      <c r="I428" s="841">
        <f>I429+I438</f>
        <v>0</v>
      </c>
      <c r="J428" s="277">
        <f>J429+J438</f>
        <v>0</v>
      </c>
      <c r="K428" s="1858"/>
      <c r="L428" s="1858"/>
      <c r="M428" s="1858"/>
      <c r="N428" s="1208">
        <f>N429+N438</f>
        <v>1700</v>
      </c>
      <c r="O428" s="1858"/>
      <c r="P428" s="1858"/>
      <c r="Q428" s="1858"/>
      <c r="R428" s="1858"/>
      <c r="S428" s="1858"/>
      <c r="T428" s="1858"/>
      <c r="U428" s="1683">
        <f>U429+U438</f>
        <v>1750</v>
      </c>
    </row>
    <row r="429" spans="1:21" ht="21" hidden="1" x14ac:dyDescent="0.25">
      <c r="A429" s="1179"/>
      <c r="B429" s="753" t="s">
        <v>486</v>
      </c>
      <c r="C429" s="1180"/>
      <c r="D429" s="409" t="s">
        <v>464</v>
      </c>
      <c r="E429" s="409" t="s">
        <v>463</v>
      </c>
      <c r="F429" s="409" t="s">
        <v>485</v>
      </c>
      <c r="G429" s="1661"/>
      <c r="H429" s="1682">
        <f>H430+H433</f>
        <v>0</v>
      </c>
      <c r="I429" s="529">
        <f>I430+I433</f>
        <v>0</v>
      </c>
      <c r="J429" s="270">
        <f>J430+J433</f>
        <v>0</v>
      </c>
      <c r="K429" s="1858"/>
      <c r="L429" s="1858"/>
      <c r="M429" s="1858"/>
      <c r="N429" s="1200">
        <f>N430+N433</f>
        <v>0</v>
      </c>
      <c r="O429" s="1858"/>
      <c r="P429" s="1858"/>
      <c r="Q429" s="1858"/>
      <c r="R429" s="1858"/>
      <c r="S429" s="1858"/>
      <c r="T429" s="1858"/>
      <c r="U429" s="1682">
        <f>U430+U433</f>
        <v>0</v>
      </c>
    </row>
    <row r="430" spans="1:21" ht="21" hidden="1" x14ac:dyDescent="0.25">
      <c r="A430" s="1179"/>
      <c r="B430" s="753" t="s">
        <v>484</v>
      </c>
      <c r="C430" s="1180"/>
      <c r="D430" s="409" t="s">
        <v>464</v>
      </c>
      <c r="E430" s="409" t="s">
        <v>463</v>
      </c>
      <c r="F430" s="409" t="s">
        <v>483</v>
      </c>
      <c r="G430" s="1661"/>
      <c r="H430" s="1682">
        <f t="shared" ref="H430:J431" si="100">H431</f>
        <v>0</v>
      </c>
      <c r="I430" s="529">
        <f t="shared" si="100"/>
        <v>0</v>
      </c>
      <c r="J430" s="270">
        <f t="shared" si="100"/>
        <v>0</v>
      </c>
      <c r="K430" s="1858"/>
      <c r="L430" s="1858"/>
      <c r="M430" s="1858"/>
      <c r="N430" s="1200">
        <f t="shared" ref="N430:N431" si="101">N431</f>
        <v>0</v>
      </c>
      <c r="O430" s="1858"/>
      <c r="P430" s="1858"/>
      <c r="Q430" s="1858"/>
      <c r="R430" s="1858"/>
      <c r="S430" s="1858"/>
      <c r="T430" s="1858"/>
      <c r="U430" s="1682">
        <f t="shared" ref="U430:U431" si="102">U431</f>
        <v>0</v>
      </c>
    </row>
    <row r="431" spans="1:21" ht="21" hidden="1" x14ac:dyDescent="0.25">
      <c r="A431" s="1179"/>
      <c r="B431" s="753" t="s">
        <v>482</v>
      </c>
      <c r="C431" s="1180"/>
      <c r="D431" s="409" t="s">
        <v>464</v>
      </c>
      <c r="E431" s="409" t="s">
        <v>463</v>
      </c>
      <c r="F431" s="409" t="s">
        <v>480</v>
      </c>
      <c r="G431" s="1662"/>
      <c r="H431" s="1682">
        <f t="shared" si="100"/>
        <v>0</v>
      </c>
      <c r="I431" s="529">
        <f t="shared" si="100"/>
        <v>0</v>
      </c>
      <c r="J431" s="270">
        <f t="shared" si="100"/>
        <v>0</v>
      </c>
      <c r="K431" s="1858"/>
      <c r="L431" s="1858"/>
      <c r="M431" s="1858"/>
      <c r="N431" s="1200">
        <f t="shared" si="101"/>
        <v>0</v>
      </c>
      <c r="O431" s="1858"/>
      <c r="P431" s="1858"/>
      <c r="Q431" s="1858"/>
      <c r="R431" s="1858"/>
      <c r="S431" s="1858"/>
      <c r="T431" s="1858"/>
      <c r="U431" s="1682">
        <f t="shared" si="102"/>
        <v>0</v>
      </c>
    </row>
    <row r="432" spans="1:21" hidden="1" x14ac:dyDescent="0.25">
      <c r="A432" s="1179"/>
      <c r="B432" s="1182" t="s">
        <v>481</v>
      </c>
      <c r="C432" s="1183"/>
      <c r="D432" s="409" t="s">
        <v>464</v>
      </c>
      <c r="E432" s="409" t="s">
        <v>463</v>
      </c>
      <c r="F432" s="409" t="s">
        <v>480</v>
      </c>
      <c r="G432" s="1662" t="s">
        <v>26</v>
      </c>
      <c r="H432" s="1682">
        <v>0</v>
      </c>
      <c r="I432" s="529">
        <v>0</v>
      </c>
      <c r="J432" s="270">
        <v>0</v>
      </c>
      <c r="K432" s="1858"/>
      <c r="L432" s="1858"/>
      <c r="M432" s="1858"/>
      <c r="N432" s="1200">
        <v>0</v>
      </c>
      <c r="O432" s="1858"/>
      <c r="P432" s="1858"/>
      <c r="Q432" s="1858"/>
      <c r="R432" s="1858"/>
      <c r="S432" s="1858"/>
      <c r="T432" s="1858"/>
      <c r="U432" s="1682">
        <v>0</v>
      </c>
    </row>
    <row r="433" spans="1:21" hidden="1" x14ac:dyDescent="0.25">
      <c r="A433" s="1179"/>
      <c r="B433" s="753" t="s">
        <v>479</v>
      </c>
      <c r="C433" s="1180"/>
      <c r="D433" s="409" t="s">
        <v>464</v>
      </c>
      <c r="E433" s="409" t="s">
        <v>463</v>
      </c>
      <c r="F433" s="409" t="s">
        <v>478</v>
      </c>
      <c r="G433" s="1661"/>
      <c r="H433" s="1682">
        <f>H434+H436</f>
        <v>0</v>
      </c>
      <c r="I433" s="529">
        <f>I434+I436</f>
        <v>0</v>
      </c>
      <c r="J433" s="270">
        <f>J434+J436</f>
        <v>0</v>
      </c>
      <c r="K433" s="1858"/>
      <c r="L433" s="1858"/>
      <c r="M433" s="1858"/>
      <c r="N433" s="1200">
        <f>N434+N436</f>
        <v>0</v>
      </c>
      <c r="O433" s="1858"/>
      <c r="P433" s="1858"/>
      <c r="Q433" s="1858"/>
      <c r="R433" s="1858"/>
      <c r="S433" s="1858"/>
      <c r="T433" s="1858"/>
      <c r="U433" s="1682">
        <f>U434+U436</f>
        <v>0</v>
      </c>
    </row>
    <row r="434" spans="1:21" hidden="1" x14ac:dyDescent="0.25">
      <c r="A434" s="1179"/>
      <c r="B434" s="753" t="s">
        <v>477</v>
      </c>
      <c r="C434" s="1180"/>
      <c r="D434" s="409" t="s">
        <v>464</v>
      </c>
      <c r="E434" s="409" t="s">
        <v>463</v>
      </c>
      <c r="F434" s="409" t="s">
        <v>476</v>
      </c>
      <c r="G434" s="1662"/>
      <c r="H434" s="1682">
        <f>H435</f>
        <v>0</v>
      </c>
      <c r="I434" s="529">
        <f>I435</f>
        <v>0</v>
      </c>
      <c r="J434" s="270">
        <f>J435</f>
        <v>0</v>
      </c>
      <c r="K434" s="1858"/>
      <c r="L434" s="1858"/>
      <c r="M434" s="1858"/>
      <c r="N434" s="1200">
        <f>N435</f>
        <v>0</v>
      </c>
      <c r="O434" s="1858"/>
      <c r="P434" s="1858"/>
      <c r="Q434" s="1858"/>
      <c r="R434" s="1858"/>
      <c r="S434" s="1858"/>
      <c r="T434" s="1858"/>
      <c r="U434" s="1682">
        <f>U435</f>
        <v>0</v>
      </c>
    </row>
    <row r="435" spans="1:21" ht="21" hidden="1" x14ac:dyDescent="0.25">
      <c r="A435" s="1179"/>
      <c r="B435" s="1182" t="s">
        <v>454</v>
      </c>
      <c r="C435" s="1183"/>
      <c r="D435" s="409" t="s">
        <v>464</v>
      </c>
      <c r="E435" s="409" t="s">
        <v>463</v>
      </c>
      <c r="F435" s="409" t="s">
        <v>476</v>
      </c>
      <c r="G435" s="1662" t="s">
        <v>1</v>
      </c>
      <c r="H435" s="1682"/>
      <c r="I435" s="529"/>
      <c r="J435" s="270"/>
      <c r="K435" s="1858"/>
      <c r="L435" s="1858"/>
      <c r="M435" s="1858"/>
      <c r="N435" s="1200"/>
      <c r="O435" s="1858"/>
      <c r="P435" s="1858"/>
      <c r="Q435" s="1858"/>
      <c r="R435" s="1858"/>
      <c r="S435" s="1858"/>
      <c r="T435" s="1858"/>
      <c r="U435" s="1682"/>
    </row>
    <row r="436" spans="1:21" hidden="1" x14ac:dyDescent="0.25">
      <c r="A436" s="1179"/>
      <c r="B436" s="753" t="s">
        <v>475</v>
      </c>
      <c r="C436" s="1180"/>
      <c r="D436" s="409" t="s">
        <v>464</v>
      </c>
      <c r="E436" s="409" t="s">
        <v>463</v>
      </c>
      <c r="F436" s="409" t="s">
        <v>474</v>
      </c>
      <c r="G436" s="1662"/>
      <c r="H436" s="1682">
        <f>H437</f>
        <v>0</v>
      </c>
      <c r="I436" s="529">
        <f>I437</f>
        <v>0</v>
      </c>
      <c r="J436" s="270">
        <f>J437</f>
        <v>0</v>
      </c>
      <c r="K436" s="1858"/>
      <c r="L436" s="1858"/>
      <c r="M436" s="1858"/>
      <c r="N436" s="1200">
        <f>N437</f>
        <v>0</v>
      </c>
      <c r="O436" s="1858"/>
      <c r="P436" s="1858"/>
      <c r="Q436" s="1858"/>
      <c r="R436" s="1858"/>
      <c r="S436" s="1858"/>
      <c r="T436" s="1858"/>
      <c r="U436" s="1682">
        <f>U437</f>
        <v>0</v>
      </c>
    </row>
    <row r="437" spans="1:21" ht="21" hidden="1" x14ac:dyDescent="0.25">
      <c r="A437" s="1179"/>
      <c r="B437" s="1182" t="s">
        <v>454</v>
      </c>
      <c r="C437" s="1183"/>
      <c r="D437" s="409" t="s">
        <v>464</v>
      </c>
      <c r="E437" s="409" t="s">
        <v>463</v>
      </c>
      <c r="F437" s="409" t="s">
        <v>474</v>
      </c>
      <c r="G437" s="1662" t="s">
        <v>1</v>
      </c>
      <c r="H437" s="1682">
        <v>0</v>
      </c>
      <c r="I437" s="529">
        <v>0</v>
      </c>
      <c r="J437" s="270">
        <v>0</v>
      </c>
      <c r="K437" s="1858"/>
      <c r="L437" s="1858"/>
      <c r="M437" s="1858"/>
      <c r="N437" s="1200">
        <v>0</v>
      </c>
      <c r="O437" s="1858"/>
      <c r="P437" s="1858"/>
      <c r="Q437" s="1858"/>
      <c r="R437" s="1858"/>
      <c r="S437" s="1858"/>
      <c r="T437" s="1858"/>
      <c r="U437" s="1682">
        <v>0</v>
      </c>
    </row>
    <row r="438" spans="1:21" ht="30" customHeight="1" x14ac:dyDescent="0.25">
      <c r="A438" s="1179"/>
      <c r="B438" s="1205" t="s">
        <v>300</v>
      </c>
      <c r="C438" s="1180"/>
      <c r="D438" s="409" t="s">
        <v>464</v>
      </c>
      <c r="E438" s="409" t="s">
        <v>463</v>
      </c>
      <c r="F438" s="409" t="s">
        <v>299</v>
      </c>
      <c r="G438" s="1662"/>
      <c r="H438" s="1682">
        <f>H439+H446</f>
        <v>1650</v>
      </c>
      <c r="I438" s="529">
        <f>I439+I451</f>
        <v>0</v>
      </c>
      <c r="J438" s="270">
        <f>J439+J451</f>
        <v>0</v>
      </c>
      <c r="K438" s="1858"/>
      <c r="L438" s="1858"/>
      <c r="M438" s="1858"/>
      <c r="N438" s="1200">
        <f>N439+N446</f>
        <v>1700</v>
      </c>
      <c r="O438" s="1858"/>
      <c r="P438" s="1858"/>
      <c r="Q438" s="1858"/>
      <c r="R438" s="1858"/>
      <c r="S438" s="1858"/>
      <c r="T438" s="1858"/>
      <c r="U438" s="1682">
        <f>U439+U446</f>
        <v>1750</v>
      </c>
    </row>
    <row r="439" spans="1:21" ht="21" x14ac:dyDescent="0.25">
      <c r="A439" s="1179"/>
      <c r="B439" s="1203" t="s">
        <v>298</v>
      </c>
      <c r="C439" s="1180"/>
      <c r="D439" s="409" t="s">
        <v>464</v>
      </c>
      <c r="E439" s="409" t="s">
        <v>463</v>
      </c>
      <c r="F439" s="409" t="s">
        <v>297</v>
      </c>
      <c r="G439" s="1662"/>
      <c r="H439" s="1682">
        <f t="shared" ref="H439:J439" si="103">H440</f>
        <v>650</v>
      </c>
      <c r="I439" s="529">
        <f t="shared" si="103"/>
        <v>0</v>
      </c>
      <c r="J439" s="270">
        <f t="shared" si="103"/>
        <v>0</v>
      </c>
      <c r="K439" s="1858"/>
      <c r="L439" s="1858"/>
      <c r="M439" s="1858"/>
      <c r="N439" s="1200">
        <f t="shared" ref="N439" si="104">N440</f>
        <v>700</v>
      </c>
      <c r="O439" s="1858"/>
      <c r="P439" s="1858"/>
      <c r="Q439" s="1858"/>
      <c r="R439" s="1858"/>
      <c r="S439" s="1858"/>
      <c r="T439" s="1858"/>
      <c r="U439" s="1682">
        <f t="shared" ref="U439" si="105">U440</f>
        <v>750</v>
      </c>
    </row>
    <row r="440" spans="1:21" ht="21" customHeight="1" x14ac:dyDescent="0.25">
      <c r="A440" s="1233"/>
      <c r="B440" s="1205" t="s">
        <v>296</v>
      </c>
      <c r="C440" s="1180"/>
      <c r="D440" s="409" t="s">
        <v>464</v>
      </c>
      <c r="E440" s="409" t="s">
        <v>463</v>
      </c>
      <c r="F440" s="409" t="s">
        <v>294</v>
      </c>
      <c r="G440" s="1662"/>
      <c r="H440" s="1682">
        <f>H442</f>
        <v>650</v>
      </c>
      <c r="I440" s="529">
        <f>I442</f>
        <v>0</v>
      </c>
      <c r="J440" s="270">
        <f>J442</f>
        <v>0</v>
      </c>
      <c r="K440" s="1858"/>
      <c r="L440" s="1858"/>
      <c r="M440" s="1858"/>
      <c r="N440" s="1200">
        <f>N442</f>
        <v>700</v>
      </c>
      <c r="O440" s="1858"/>
      <c r="P440" s="1858"/>
      <c r="Q440" s="1858"/>
      <c r="R440" s="1858"/>
      <c r="S440" s="1858"/>
      <c r="T440" s="1858"/>
      <c r="U440" s="1682">
        <f>U442</f>
        <v>750</v>
      </c>
    </row>
    <row r="441" spans="1:21" x14ac:dyDescent="0.25">
      <c r="A441" s="1233"/>
      <c r="B441" s="753" t="s">
        <v>948</v>
      </c>
      <c r="C441" s="1180"/>
      <c r="D441" s="409" t="s">
        <v>464</v>
      </c>
      <c r="E441" s="409" t="s">
        <v>463</v>
      </c>
      <c r="F441" s="409" t="s">
        <v>294</v>
      </c>
      <c r="G441" s="1662" t="s">
        <v>955</v>
      </c>
      <c r="H441" s="1682">
        <f t="shared" ref="H441:U441" si="106">H442</f>
        <v>650</v>
      </c>
      <c r="I441" s="529">
        <f t="shared" si="106"/>
        <v>0</v>
      </c>
      <c r="J441" s="404">
        <f t="shared" si="106"/>
        <v>0</v>
      </c>
      <c r="K441" s="1858">
        <f t="shared" si="106"/>
        <v>0</v>
      </c>
      <c r="L441" s="1858">
        <f t="shared" si="106"/>
        <v>0</v>
      </c>
      <c r="M441" s="1858">
        <f t="shared" si="106"/>
        <v>0</v>
      </c>
      <c r="N441" s="1200">
        <f t="shared" si="106"/>
        <v>700</v>
      </c>
      <c r="O441" s="1858">
        <f t="shared" si="106"/>
        <v>0</v>
      </c>
      <c r="P441" s="1858">
        <f t="shared" si="106"/>
        <v>0</v>
      </c>
      <c r="Q441" s="1858">
        <f t="shared" si="106"/>
        <v>0</v>
      </c>
      <c r="R441" s="1858">
        <f t="shared" si="106"/>
        <v>0</v>
      </c>
      <c r="S441" s="1858">
        <f t="shared" si="106"/>
        <v>0</v>
      </c>
      <c r="T441" s="1858">
        <f t="shared" si="106"/>
        <v>0</v>
      </c>
      <c r="U441" s="1682">
        <f t="shared" si="106"/>
        <v>750</v>
      </c>
    </row>
    <row r="442" spans="1:21" ht="21" x14ac:dyDescent="0.25">
      <c r="A442" s="1233"/>
      <c r="B442" s="1182" t="s">
        <v>454</v>
      </c>
      <c r="C442" s="1183"/>
      <c r="D442" s="409" t="s">
        <v>464</v>
      </c>
      <c r="E442" s="409" t="s">
        <v>463</v>
      </c>
      <c r="F442" s="409" t="s">
        <v>294</v>
      </c>
      <c r="G442" s="1662" t="s">
        <v>1</v>
      </c>
      <c r="H442" s="1682">
        <v>650</v>
      </c>
      <c r="I442" s="529"/>
      <c r="J442" s="269"/>
      <c r="K442" s="1858"/>
      <c r="L442" s="1858"/>
      <c r="M442" s="1858"/>
      <c r="N442" s="1200">
        <v>700</v>
      </c>
      <c r="O442" s="1858"/>
      <c r="P442" s="1858"/>
      <c r="Q442" s="1858"/>
      <c r="R442" s="1858"/>
      <c r="S442" s="1858"/>
      <c r="T442" s="1858"/>
      <c r="U442" s="1682">
        <v>750</v>
      </c>
    </row>
    <row r="443" spans="1:21" ht="21" x14ac:dyDescent="0.25">
      <c r="A443" s="1233"/>
      <c r="B443" s="1393" t="s">
        <v>1057</v>
      </c>
      <c r="C443" s="1183"/>
      <c r="D443" s="409" t="s">
        <v>464</v>
      </c>
      <c r="E443" s="409" t="s">
        <v>463</v>
      </c>
      <c r="F443" s="409" t="s">
        <v>472</v>
      </c>
      <c r="G443" s="1662"/>
      <c r="H443" s="1682">
        <f>H444</f>
        <v>1000</v>
      </c>
      <c r="I443" s="529"/>
      <c r="J443" s="269"/>
      <c r="K443" s="1858"/>
      <c r="L443" s="1858"/>
      <c r="M443" s="1858"/>
      <c r="N443" s="1200">
        <f>N444</f>
        <v>1000</v>
      </c>
      <c r="O443" s="1858"/>
      <c r="P443" s="1858"/>
      <c r="Q443" s="1858"/>
      <c r="R443" s="1858"/>
      <c r="S443" s="1858"/>
      <c r="T443" s="1858"/>
      <c r="U443" s="1682">
        <f>U444</f>
        <v>1000</v>
      </c>
    </row>
    <row r="444" spans="1:21" x14ac:dyDescent="0.25">
      <c r="A444" s="1233"/>
      <c r="B444" s="1393" t="s">
        <v>1058</v>
      </c>
      <c r="C444" s="1183"/>
      <c r="D444" s="409" t="s">
        <v>464</v>
      </c>
      <c r="E444" s="409" t="s">
        <v>463</v>
      </c>
      <c r="F444" s="409" t="s">
        <v>1056</v>
      </c>
      <c r="G444" s="1662"/>
      <c r="H444" s="1682">
        <f>H446</f>
        <v>1000</v>
      </c>
      <c r="I444" s="529"/>
      <c r="J444" s="269"/>
      <c r="K444" s="1858"/>
      <c r="L444" s="1858"/>
      <c r="M444" s="1858"/>
      <c r="N444" s="1200">
        <f>N446</f>
        <v>1000</v>
      </c>
      <c r="O444" s="1858"/>
      <c r="P444" s="1858"/>
      <c r="Q444" s="1858"/>
      <c r="R444" s="1858"/>
      <c r="S444" s="1858"/>
      <c r="T444" s="1858"/>
      <c r="U444" s="1682">
        <f>U446</f>
        <v>1000</v>
      </c>
    </row>
    <row r="445" spans="1:21" x14ac:dyDescent="0.25">
      <c r="A445" s="1233"/>
      <c r="B445" s="1393" t="s">
        <v>1061</v>
      </c>
      <c r="C445" s="1183"/>
      <c r="D445" s="409" t="s">
        <v>464</v>
      </c>
      <c r="E445" s="409" t="s">
        <v>463</v>
      </c>
      <c r="F445" s="409" t="s">
        <v>1056</v>
      </c>
      <c r="G445" s="1662" t="s">
        <v>1060</v>
      </c>
      <c r="H445" s="1682">
        <f t="shared" ref="H445:U445" si="107">H446</f>
        <v>1000</v>
      </c>
      <c r="I445" s="529">
        <f t="shared" si="107"/>
        <v>0</v>
      </c>
      <c r="J445" s="269">
        <f t="shared" si="107"/>
        <v>0</v>
      </c>
      <c r="K445" s="1858">
        <f t="shared" si="107"/>
        <v>0</v>
      </c>
      <c r="L445" s="1858">
        <f t="shared" si="107"/>
        <v>0</v>
      </c>
      <c r="M445" s="1858">
        <f t="shared" si="107"/>
        <v>0</v>
      </c>
      <c r="N445" s="1200">
        <f t="shared" si="107"/>
        <v>1000</v>
      </c>
      <c r="O445" s="1858">
        <f t="shared" si="107"/>
        <v>0</v>
      </c>
      <c r="P445" s="1858">
        <f t="shared" si="107"/>
        <v>0</v>
      </c>
      <c r="Q445" s="1858">
        <f t="shared" si="107"/>
        <v>0</v>
      </c>
      <c r="R445" s="1858">
        <f t="shared" si="107"/>
        <v>0</v>
      </c>
      <c r="S445" s="1858">
        <f t="shared" si="107"/>
        <v>0</v>
      </c>
      <c r="T445" s="1858">
        <f t="shared" si="107"/>
        <v>0</v>
      </c>
      <c r="U445" s="1682">
        <f t="shared" si="107"/>
        <v>1000</v>
      </c>
    </row>
    <row r="446" spans="1:21" x14ac:dyDescent="0.25">
      <c r="A446" s="1233"/>
      <c r="B446" s="1408" t="s">
        <v>28</v>
      </c>
      <c r="C446" s="1183"/>
      <c r="D446" s="409" t="s">
        <v>464</v>
      </c>
      <c r="E446" s="409" t="s">
        <v>463</v>
      </c>
      <c r="F446" s="409" t="s">
        <v>1056</v>
      </c>
      <c r="G446" s="1662" t="s">
        <v>26</v>
      </c>
      <c r="H446" s="1682">
        <v>1000</v>
      </c>
      <c r="I446" s="529"/>
      <c r="J446" s="269"/>
      <c r="K446" s="1858"/>
      <c r="L446" s="1858"/>
      <c r="M446" s="1858"/>
      <c r="N446" s="1200">
        <v>1000</v>
      </c>
      <c r="O446" s="1858"/>
      <c r="P446" s="1858"/>
      <c r="Q446" s="1858"/>
      <c r="R446" s="1858"/>
      <c r="S446" s="1858"/>
      <c r="T446" s="1858"/>
      <c r="U446" s="1682">
        <v>1000</v>
      </c>
    </row>
    <row r="447" spans="1:21" hidden="1" x14ac:dyDescent="0.25">
      <c r="A447" s="1233"/>
      <c r="B447" s="1393" t="s">
        <v>64</v>
      </c>
      <c r="C447" s="1183"/>
      <c r="D447" s="409" t="s">
        <v>464</v>
      </c>
      <c r="E447" s="409" t="s">
        <v>463</v>
      </c>
      <c r="F447" s="409" t="s">
        <v>1056</v>
      </c>
      <c r="G447" s="1662"/>
      <c r="H447" s="1682"/>
      <c r="I447" s="529"/>
      <c r="J447" s="269"/>
      <c r="K447" s="1858"/>
      <c r="L447" s="1858"/>
      <c r="M447" s="1858"/>
      <c r="N447" s="1200"/>
      <c r="O447" s="1858"/>
      <c r="P447" s="1858"/>
      <c r="Q447" s="1858"/>
      <c r="R447" s="1858"/>
      <c r="S447" s="1858"/>
      <c r="T447" s="1858"/>
      <c r="U447" s="1682"/>
    </row>
    <row r="448" spans="1:21" x14ac:dyDescent="0.25">
      <c r="A448" s="1233"/>
      <c r="B448" s="1255" t="s">
        <v>934</v>
      </c>
      <c r="C448" s="1183"/>
      <c r="D448" s="408" t="s">
        <v>534</v>
      </c>
      <c r="E448" s="409"/>
      <c r="F448" s="409"/>
      <c r="G448" s="1662"/>
      <c r="H448" s="1683">
        <f>H449</f>
        <v>800</v>
      </c>
      <c r="I448" s="529"/>
      <c r="J448" s="269"/>
      <c r="K448" s="1862">
        <v>1200</v>
      </c>
      <c r="L448" s="1858"/>
      <c r="M448" s="1858"/>
      <c r="N448" s="1208">
        <f>N449</f>
        <v>850</v>
      </c>
      <c r="O448" s="1858"/>
      <c r="P448" s="1858"/>
      <c r="Q448" s="1858"/>
      <c r="R448" s="1858"/>
      <c r="S448" s="1858"/>
      <c r="T448" s="1858"/>
      <c r="U448" s="1683">
        <f>U449</f>
        <v>900</v>
      </c>
    </row>
    <row r="449" spans="1:21" x14ac:dyDescent="0.25">
      <c r="A449" s="1233"/>
      <c r="B449" s="752" t="s">
        <v>920</v>
      </c>
      <c r="C449" s="1183"/>
      <c r="D449" s="408" t="s">
        <v>534</v>
      </c>
      <c r="E449" s="408" t="s">
        <v>488</v>
      </c>
      <c r="F449" s="408"/>
      <c r="G449" s="1662"/>
      <c r="H449" s="1683">
        <f>H450</f>
        <v>800</v>
      </c>
      <c r="I449" s="529"/>
      <c r="J449" s="269"/>
      <c r="K449" s="1858"/>
      <c r="L449" s="1858"/>
      <c r="M449" s="1858"/>
      <c r="N449" s="1208">
        <f>N450</f>
        <v>850</v>
      </c>
      <c r="O449" s="1858"/>
      <c r="P449" s="1858"/>
      <c r="Q449" s="1858"/>
      <c r="R449" s="1858"/>
      <c r="S449" s="1858"/>
      <c r="T449" s="1858"/>
      <c r="U449" s="1683">
        <f>U450</f>
        <v>900</v>
      </c>
    </row>
    <row r="450" spans="1:21" x14ac:dyDescent="0.25">
      <c r="A450" s="305"/>
      <c r="B450" s="753" t="s">
        <v>109</v>
      </c>
      <c r="C450" s="1183"/>
      <c r="D450" s="409" t="s">
        <v>534</v>
      </c>
      <c r="E450" s="409" t="s">
        <v>488</v>
      </c>
      <c r="F450" s="409" t="s">
        <v>84</v>
      </c>
      <c r="G450" s="1662"/>
      <c r="H450" s="1682">
        <f>H451</f>
        <v>800</v>
      </c>
      <c r="I450" s="529"/>
      <c r="J450" s="269"/>
      <c r="K450" s="1858"/>
      <c r="L450" s="1858"/>
      <c r="M450" s="1858"/>
      <c r="N450" s="1200">
        <f>N451</f>
        <v>850</v>
      </c>
      <c r="O450" s="1858"/>
      <c r="P450" s="1858"/>
      <c r="Q450" s="1858"/>
      <c r="R450" s="1858"/>
      <c r="S450" s="1858"/>
      <c r="T450" s="1858"/>
      <c r="U450" s="1682">
        <f>U451</f>
        <v>900</v>
      </c>
    </row>
    <row r="451" spans="1:21" x14ac:dyDescent="0.25">
      <c r="A451" s="273"/>
      <c r="B451" s="753" t="s">
        <v>109</v>
      </c>
      <c r="C451" s="1180"/>
      <c r="D451" s="409" t="s">
        <v>534</v>
      </c>
      <c r="E451" s="409" t="s">
        <v>488</v>
      </c>
      <c r="F451" s="409" t="s">
        <v>82</v>
      </c>
      <c r="G451" s="1662"/>
      <c r="H451" s="1682">
        <f>H452</f>
        <v>800</v>
      </c>
      <c r="I451" s="529">
        <f>I452</f>
        <v>0</v>
      </c>
      <c r="J451" s="269">
        <f>J452</f>
        <v>0</v>
      </c>
      <c r="K451" s="1858"/>
      <c r="L451" s="1858"/>
      <c r="M451" s="1858"/>
      <c r="N451" s="1200">
        <f>N452</f>
        <v>850</v>
      </c>
      <c r="O451" s="1858"/>
      <c r="P451" s="1858"/>
      <c r="Q451" s="1858"/>
      <c r="R451" s="1858"/>
      <c r="S451" s="1858"/>
      <c r="T451" s="1858"/>
      <c r="U451" s="1682">
        <f>U452</f>
        <v>900</v>
      </c>
    </row>
    <row r="452" spans="1:21" ht="21" x14ac:dyDescent="0.25">
      <c r="A452" s="305"/>
      <c r="B452" s="1205" t="s">
        <v>935</v>
      </c>
      <c r="C452" s="1180"/>
      <c r="D452" s="409" t="s">
        <v>534</v>
      </c>
      <c r="E452" s="409" t="s">
        <v>488</v>
      </c>
      <c r="F452" s="409" t="s">
        <v>919</v>
      </c>
      <c r="G452" s="1662"/>
      <c r="H452" s="1682">
        <f>H454</f>
        <v>800</v>
      </c>
      <c r="I452" s="529">
        <f>I454</f>
        <v>0</v>
      </c>
      <c r="J452" s="269">
        <f>J454</f>
        <v>0</v>
      </c>
      <c r="K452" s="1858"/>
      <c r="L452" s="1858"/>
      <c r="M452" s="1858"/>
      <c r="N452" s="1200">
        <f>N454</f>
        <v>850</v>
      </c>
      <c r="O452" s="1858"/>
      <c r="P452" s="1858"/>
      <c r="Q452" s="1858"/>
      <c r="R452" s="1858"/>
      <c r="S452" s="1858"/>
      <c r="T452" s="1858"/>
      <c r="U452" s="1682">
        <f>U454</f>
        <v>900</v>
      </c>
    </row>
    <row r="453" spans="1:21" x14ac:dyDescent="0.25">
      <c r="A453" s="304"/>
      <c r="B453" s="1256" t="s">
        <v>921</v>
      </c>
      <c r="C453" s="1257"/>
      <c r="D453" s="409" t="s">
        <v>534</v>
      </c>
      <c r="E453" s="409" t="s">
        <v>488</v>
      </c>
      <c r="F453" s="409" t="s">
        <v>919</v>
      </c>
      <c r="G453" s="1663" t="s">
        <v>955</v>
      </c>
      <c r="H453" s="1688">
        <f>H454</f>
        <v>800</v>
      </c>
      <c r="I453" s="529"/>
      <c r="J453" s="269"/>
      <c r="K453" s="1858"/>
      <c r="L453" s="1858"/>
      <c r="M453" s="1858"/>
      <c r="N453" s="1258">
        <f>N454</f>
        <v>850</v>
      </c>
      <c r="O453" s="1858"/>
      <c r="P453" s="1858"/>
      <c r="Q453" s="1858"/>
      <c r="R453" s="1858"/>
      <c r="S453" s="1858"/>
      <c r="T453" s="1858"/>
      <c r="U453" s="1688">
        <f>U454</f>
        <v>900</v>
      </c>
    </row>
    <row r="454" spans="1:21" ht="21.5" thickBot="1" x14ac:dyDescent="0.3">
      <c r="A454" s="778"/>
      <c r="B454" s="1259" t="s">
        <v>454</v>
      </c>
      <c r="C454" s="1260"/>
      <c r="D454" s="2154" t="s">
        <v>534</v>
      </c>
      <c r="E454" s="2154" t="s">
        <v>488</v>
      </c>
      <c r="F454" s="2154" t="s">
        <v>919</v>
      </c>
      <c r="G454" s="1672" t="s">
        <v>1</v>
      </c>
      <c r="H454" s="1689">
        <v>800</v>
      </c>
      <c r="I454" s="529"/>
      <c r="J454" s="269"/>
      <c r="K454" s="1858"/>
      <c r="L454" s="1858"/>
      <c r="M454" s="1858"/>
      <c r="N454" s="1262">
        <v>850</v>
      </c>
      <c r="O454" s="1858"/>
      <c r="P454" s="1858"/>
      <c r="Q454" s="1858"/>
      <c r="R454" s="1858"/>
      <c r="S454" s="1858"/>
      <c r="T454" s="1858"/>
      <c r="U454" s="1689">
        <v>900</v>
      </c>
    </row>
    <row r="455" spans="1:21" ht="34.5" hidden="1" customHeight="1" x14ac:dyDescent="0.25">
      <c r="A455" s="291"/>
      <c r="B455" s="290" t="s">
        <v>469</v>
      </c>
      <c r="C455" s="289"/>
      <c r="D455" s="288" t="s">
        <v>464</v>
      </c>
      <c r="E455" s="288" t="s">
        <v>463</v>
      </c>
      <c r="F455" s="288" t="s">
        <v>468</v>
      </c>
      <c r="G455" s="2158"/>
      <c r="H455" s="2166">
        <f t="shared" ref="H455:J457" si="108">H456</f>
        <v>0</v>
      </c>
      <c r="I455" s="841">
        <f t="shared" si="108"/>
        <v>0</v>
      </c>
      <c r="J455" s="276">
        <f t="shared" si="108"/>
        <v>0</v>
      </c>
      <c r="K455" s="1858"/>
      <c r="L455" s="1858"/>
      <c r="M455" s="1858"/>
      <c r="N455" s="1263">
        <f t="shared" ref="N455:N457" si="109">N456</f>
        <v>0</v>
      </c>
      <c r="O455" s="1858"/>
      <c r="P455" s="1858"/>
      <c r="Q455" s="1858"/>
      <c r="R455" s="1858"/>
      <c r="S455" s="1858"/>
      <c r="T455" s="1858"/>
      <c r="U455" s="2166">
        <f t="shared" ref="U455:U457" si="110">U456</f>
        <v>0</v>
      </c>
    </row>
    <row r="456" spans="1:21" ht="13" hidden="1" thickBot="1" x14ac:dyDescent="0.3">
      <c r="A456" s="273"/>
      <c r="B456" s="285" t="s">
        <v>467</v>
      </c>
      <c r="C456" s="272"/>
      <c r="D456" s="271" t="s">
        <v>464</v>
      </c>
      <c r="E456" s="271" t="s">
        <v>463</v>
      </c>
      <c r="F456" s="271" t="s">
        <v>466</v>
      </c>
      <c r="G456" s="2159"/>
      <c r="H456" s="2167">
        <f t="shared" si="108"/>
        <v>0</v>
      </c>
      <c r="I456" s="529">
        <f t="shared" si="108"/>
        <v>0</v>
      </c>
      <c r="J456" s="269">
        <f t="shared" si="108"/>
        <v>0</v>
      </c>
      <c r="K456" s="1858"/>
      <c r="L456" s="1858"/>
      <c r="M456" s="1858"/>
      <c r="N456" s="1264">
        <f t="shared" si="109"/>
        <v>0</v>
      </c>
      <c r="O456" s="1858"/>
      <c r="P456" s="1858"/>
      <c r="Q456" s="1858"/>
      <c r="R456" s="1858"/>
      <c r="S456" s="1858"/>
      <c r="T456" s="1858"/>
      <c r="U456" s="2167">
        <f t="shared" si="110"/>
        <v>0</v>
      </c>
    </row>
    <row r="457" spans="1:21" ht="13" hidden="1" thickBot="1" x14ac:dyDescent="0.3">
      <c r="A457" s="305"/>
      <c r="B457" s="285" t="s">
        <v>465</v>
      </c>
      <c r="C457" s="272"/>
      <c r="D457" s="271" t="s">
        <v>464</v>
      </c>
      <c r="E457" s="271" t="s">
        <v>463</v>
      </c>
      <c r="F457" s="271" t="s">
        <v>462</v>
      </c>
      <c r="G457" s="2159"/>
      <c r="H457" s="2167">
        <f t="shared" si="108"/>
        <v>0</v>
      </c>
      <c r="I457" s="529">
        <f t="shared" si="108"/>
        <v>0</v>
      </c>
      <c r="J457" s="269">
        <f t="shared" si="108"/>
        <v>0</v>
      </c>
      <c r="K457" s="1858"/>
      <c r="L457" s="1858"/>
      <c r="M457" s="1858"/>
      <c r="N457" s="1264">
        <f t="shared" si="109"/>
        <v>0</v>
      </c>
      <c r="O457" s="1858"/>
      <c r="P457" s="1858"/>
      <c r="Q457" s="1858"/>
      <c r="R457" s="1858"/>
      <c r="S457" s="1858"/>
      <c r="T457" s="1858"/>
      <c r="U457" s="2167">
        <f t="shared" si="110"/>
        <v>0</v>
      </c>
    </row>
    <row r="458" spans="1:21" ht="20.5" hidden="1" thickBot="1" x14ac:dyDescent="0.3">
      <c r="A458" s="304"/>
      <c r="B458" s="303" t="s">
        <v>454</v>
      </c>
      <c r="C458" s="302"/>
      <c r="D458" s="301" t="s">
        <v>464</v>
      </c>
      <c r="E458" s="301" t="s">
        <v>463</v>
      </c>
      <c r="F458" s="301" t="s">
        <v>462</v>
      </c>
      <c r="G458" s="2160" t="s">
        <v>1</v>
      </c>
      <c r="H458" s="2168"/>
      <c r="I458" s="2164"/>
      <c r="J458" s="299"/>
      <c r="K458" s="1858"/>
      <c r="L458" s="1858"/>
      <c r="M458" s="1858"/>
      <c r="N458" s="1265"/>
      <c r="O458" s="1858"/>
      <c r="P458" s="1858"/>
      <c r="Q458" s="1858"/>
      <c r="R458" s="1858"/>
      <c r="S458" s="1858"/>
      <c r="T458" s="1858"/>
      <c r="U458" s="2168"/>
    </row>
    <row r="459" spans="1:21" ht="13" hidden="1" thickBot="1" x14ac:dyDescent="0.3">
      <c r="A459" s="437"/>
      <c r="B459" s="438"/>
      <c r="C459" s="439"/>
      <c r="D459" s="440"/>
      <c r="E459" s="440"/>
      <c r="F459" s="440"/>
      <c r="G459" s="2161"/>
      <c r="H459" s="2169"/>
      <c r="I459" s="2165"/>
      <c r="J459" s="442"/>
      <c r="K459" s="1858"/>
      <c r="L459" s="1858"/>
      <c r="M459" s="1858"/>
      <c r="N459" s="1266"/>
      <c r="O459" s="1858"/>
      <c r="P459" s="1858"/>
      <c r="Q459" s="1858"/>
      <c r="R459" s="1858"/>
      <c r="S459" s="1858"/>
      <c r="T459" s="1858"/>
      <c r="U459" s="2169"/>
    </row>
    <row r="460" spans="1:21" ht="13" hidden="1" thickBot="1" x14ac:dyDescent="0.3">
      <c r="A460" s="298">
        <v>3</v>
      </c>
      <c r="B460" s="297" t="s">
        <v>461</v>
      </c>
      <c r="C460" s="296" t="s">
        <v>430</v>
      </c>
      <c r="D460" s="295"/>
      <c r="E460" s="295"/>
      <c r="F460" s="295"/>
      <c r="G460" s="2162"/>
      <c r="H460" s="2170">
        <f>H461</f>
        <v>13305.932999999999</v>
      </c>
      <c r="I460" s="848">
        <f>I461</f>
        <v>8212.5999999999985</v>
      </c>
      <c r="J460" s="292">
        <f>J461</f>
        <v>8263</v>
      </c>
      <c r="K460" s="1858"/>
      <c r="L460" s="1858"/>
      <c r="M460" s="1858"/>
      <c r="N460" s="1267">
        <f>N461</f>
        <v>13454.880999999999</v>
      </c>
      <c r="O460" s="1858"/>
      <c r="P460" s="1858"/>
      <c r="Q460" s="1858"/>
      <c r="R460" s="1858"/>
      <c r="S460" s="1858"/>
      <c r="T460" s="1858"/>
      <c r="U460" s="2170">
        <f>U461</f>
        <v>13108.752</v>
      </c>
    </row>
    <row r="461" spans="1:21" ht="13" hidden="1" thickBot="1" x14ac:dyDescent="0.3">
      <c r="A461" s="291"/>
      <c r="B461" s="290" t="s">
        <v>460</v>
      </c>
      <c r="C461" s="289"/>
      <c r="D461" s="288" t="s">
        <v>453</v>
      </c>
      <c r="E461" s="288" t="s">
        <v>459</v>
      </c>
      <c r="F461" s="288"/>
      <c r="G461" s="2158"/>
      <c r="H461" s="2166">
        <f>H462+H475+H470</f>
        <v>13305.932999999999</v>
      </c>
      <c r="I461" s="849">
        <f>I462+I475</f>
        <v>8212.5999999999985</v>
      </c>
      <c r="J461" s="286">
        <f>J462+J475</f>
        <v>8263</v>
      </c>
      <c r="K461" s="1858"/>
      <c r="L461" s="1858"/>
      <c r="M461" s="1858"/>
      <c r="N461" s="1263">
        <f>N462+N475+N470</f>
        <v>13454.880999999999</v>
      </c>
      <c r="O461" s="1858"/>
      <c r="P461" s="1858"/>
      <c r="Q461" s="1858"/>
      <c r="R461" s="1858"/>
      <c r="S461" s="1858"/>
      <c r="T461" s="1858"/>
      <c r="U461" s="2166">
        <f>U462+U475+U470</f>
        <v>13108.752</v>
      </c>
    </row>
    <row r="462" spans="1:21" ht="13" hidden="1" thickBot="1" x14ac:dyDescent="0.3">
      <c r="A462" s="273"/>
      <c r="B462" s="282" t="s">
        <v>87</v>
      </c>
      <c r="C462" s="279"/>
      <c r="D462" s="278" t="s">
        <v>453</v>
      </c>
      <c r="E462" s="278" t="s">
        <v>456</v>
      </c>
      <c r="F462" s="278"/>
      <c r="G462" s="2163"/>
      <c r="H462" s="2171">
        <f t="shared" ref="H462:J465" si="111">H463</f>
        <v>7296.08</v>
      </c>
      <c r="I462" s="841">
        <f t="shared" si="111"/>
        <v>6962.0999999999995</v>
      </c>
      <c r="J462" s="276">
        <f t="shared" si="111"/>
        <v>6915</v>
      </c>
      <c r="K462" s="1858"/>
      <c r="L462" s="1858"/>
      <c r="M462" s="1858"/>
      <c r="N462" s="1268">
        <f t="shared" ref="N462:N465" si="112">N463</f>
        <v>7296.08</v>
      </c>
      <c r="O462" s="1858"/>
      <c r="P462" s="1858"/>
      <c r="Q462" s="1858"/>
      <c r="R462" s="1858"/>
      <c r="S462" s="1858"/>
      <c r="T462" s="1858"/>
      <c r="U462" s="2171">
        <f t="shared" ref="U462:U465" si="113">U463</f>
        <v>7296.08</v>
      </c>
    </row>
    <row r="463" spans="1:21" ht="32" hidden="1" thickBot="1" x14ac:dyDescent="0.3">
      <c r="A463" s="281"/>
      <c r="B463" s="307" t="s">
        <v>621</v>
      </c>
      <c r="C463" s="279"/>
      <c r="D463" s="278" t="s">
        <v>453</v>
      </c>
      <c r="E463" s="278" t="s">
        <v>456</v>
      </c>
      <c r="F463" s="278" t="s">
        <v>273</v>
      </c>
      <c r="G463" s="2163"/>
      <c r="H463" s="2171">
        <f t="shared" si="111"/>
        <v>7296.08</v>
      </c>
      <c r="I463" s="841">
        <f t="shared" si="111"/>
        <v>6962.0999999999995</v>
      </c>
      <c r="J463" s="276">
        <f t="shared" si="111"/>
        <v>6915</v>
      </c>
      <c r="K463" s="1858"/>
      <c r="L463" s="1858"/>
      <c r="M463" s="1858"/>
      <c r="N463" s="1268">
        <f t="shared" si="112"/>
        <v>7296.08</v>
      </c>
      <c r="O463" s="1858"/>
      <c r="P463" s="1858"/>
      <c r="Q463" s="1858"/>
      <c r="R463" s="1858"/>
      <c r="S463" s="1858"/>
      <c r="T463" s="1858"/>
      <c r="U463" s="2171">
        <f t="shared" si="113"/>
        <v>7296.08</v>
      </c>
    </row>
    <row r="464" spans="1:21" ht="30.5" hidden="1" thickBot="1" x14ac:dyDescent="0.3">
      <c r="A464" s="281"/>
      <c r="B464" s="310" t="s">
        <v>261</v>
      </c>
      <c r="C464" s="272"/>
      <c r="D464" s="271" t="s">
        <v>453</v>
      </c>
      <c r="E464" s="271" t="s">
        <v>456</v>
      </c>
      <c r="F464" s="271" t="s">
        <v>260</v>
      </c>
      <c r="G464" s="2159"/>
      <c r="H464" s="2167">
        <f t="shared" si="111"/>
        <v>7296.08</v>
      </c>
      <c r="I464" s="529">
        <f t="shared" si="111"/>
        <v>6962.0999999999995</v>
      </c>
      <c r="J464" s="269">
        <f t="shared" si="111"/>
        <v>6915</v>
      </c>
      <c r="K464" s="1858"/>
      <c r="L464" s="1858"/>
      <c r="M464" s="1858"/>
      <c r="N464" s="1264">
        <f t="shared" si="112"/>
        <v>7296.08</v>
      </c>
      <c r="O464" s="1858"/>
      <c r="P464" s="1858"/>
      <c r="Q464" s="1858"/>
      <c r="R464" s="1858"/>
      <c r="S464" s="1858"/>
      <c r="T464" s="1858"/>
      <c r="U464" s="2167">
        <f t="shared" si="113"/>
        <v>7296.08</v>
      </c>
    </row>
    <row r="465" spans="1:21" ht="13" hidden="1" thickBot="1" x14ac:dyDescent="0.3">
      <c r="A465" s="281"/>
      <c r="B465" s="274" t="s">
        <v>259</v>
      </c>
      <c r="C465" s="272"/>
      <c r="D465" s="271" t="s">
        <v>453</v>
      </c>
      <c r="E465" s="271" t="s">
        <v>456</v>
      </c>
      <c r="F465" s="271" t="s">
        <v>258</v>
      </c>
      <c r="G465" s="2159"/>
      <c r="H465" s="2167">
        <f t="shared" si="111"/>
        <v>7296.08</v>
      </c>
      <c r="I465" s="529">
        <f t="shared" si="111"/>
        <v>6962.0999999999995</v>
      </c>
      <c r="J465" s="269">
        <f t="shared" si="111"/>
        <v>6915</v>
      </c>
      <c r="K465" s="1858"/>
      <c r="L465" s="1858"/>
      <c r="M465" s="1858"/>
      <c r="N465" s="1264">
        <f t="shared" si="112"/>
        <v>7296.08</v>
      </c>
      <c r="O465" s="1858"/>
      <c r="P465" s="1858"/>
      <c r="Q465" s="1858"/>
      <c r="R465" s="1858"/>
      <c r="S465" s="1858"/>
      <c r="T465" s="1858"/>
      <c r="U465" s="2167">
        <f t="shared" si="113"/>
        <v>7296.08</v>
      </c>
    </row>
    <row r="466" spans="1:21" ht="13" hidden="1" thickBot="1" x14ac:dyDescent="0.3">
      <c r="A466" s="281"/>
      <c r="B466" s="285" t="s">
        <v>351</v>
      </c>
      <c r="C466" s="272"/>
      <c r="D466" s="271" t="s">
        <v>453</v>
      </c>
      <c r="E466" s="271" t="s">
        <v>456</v>
      </c>
      <c r="F466" s="271" t="s">
        <v>254</v>
      </c>
      <c r="G466" s="2159"/>
      <c r="H466" s="2167">
        <f>H467+H468+H469</f>
        <v>7296.08</v>
      </c>
      <c r="I466" s="529">
        <f>I467+I468+I469</f>
        <v>6962.0999999999995</v>
      </c>
      <c r="J466" s="269">
        <f>J467+J468+J469</f>
        <v>6915</v>
      </c>
      <c r="K466" s="1858"/>
      <c r="L466" s="1858"/>
      <c r="M466" s="1858"/>
      <c r="N466" s="1264">
        <f>N467+N468+N469</f>
        <v>7296.08</v>
      </c>
      <c r="O466" s="1858"/>
      <c r="P466" s="1858"/>
      <c r="Q466" s="1858"/>
      <c r="R466" s="1858"/>
      <c r="S466" s="1858"/>
      <c r="T466" s="1858"/>
      <c r="U466" s="2167">
        <f>U467+U468+U469</f>
        <v>7296.08</v>
      </c>
    </row>
    <row r="467" spans="1:21" ht="13" hidden="1" thickBot="1" x14ac:dyDescent="0.3">
      <c r="A467" s="273"/>
      <c r="B467" s="284" t="s">
        <v>458</v>
      </c>
      <c r="C467" s="283"/>
      <c r="D467" s="271" t="s">
        <v>453</v>
      </c>
      <c r="E467" s="271" t="s">
        <v>456</v>
      </c>
      <c r="F467" s="271" t="s">
        <v>254</v>
      </c>
      <c r="G467" s="2159" t="s">
        <v>255</v>
      </c>
      <c r="H467" s="2167">
        <f>4510.863-660.6</f>
        <v>3850.2630000000004</v>
      </c>
      <c r="I467" s="529">
        <v>4886.9669999999996</v>
      </c>
      <c r="J467" s="269">
        <v>5375.0079999999998</v>
      </c>
      <c r="K467" s="1858"/>
      <c r="L467" s="1858"/>
      <c r="M467" s="1858"/>
      <c r="N467" s="1264">
        <f>4510.863-660.6</f>
        <v>3850.2630000000004</v>
      </c>
      <c r="O467" s="1858"/>
      <c r="P467" s="1858"/>
      <c r="Q467" s="1858"/>
      <c r="R467" s="1858"/>
      <c r="S467" s="1858"/>
      <c r="T467" s="1858"/>
      <c r="U467" s="2167">
        <f>4510.863-660.6</f>
        <v>3850.2630000000004</v>
      </c>
    </row>
    <row r="468" spans="1:21" ht="20.5" hidden="1" thickBot="1" x14ac:dyDescent="0.3">
      <c r="A468" s="273"/>
      <c r="B468" s="284" t="s">
        <v>454</v>
      </c>
      <c r="C468" s="283"/>
      <c r="D468" s="271" t="s">
        <v>453</v>
      </c>
      <c r="E468" s="271" t="s">
        <v>456</v>
      </c>
      <c r="F468" s="271" t="s">
        <v>254</v>
      </c>
      <c r="G468" s="2159" t="s">
        <v>1</v>
      </c>
      <c r="H468" s="2167">
        <f>1564.263+1880.841</f>
        <v>3445.1039999999998</v>
      </c>
      <c r="I468" s="529">
        <v>2074.1329999999998</v>
      </c>
      <c r="J468" s="269">
        <v>1538.992</v>
      </c>
      <c r="K468" s="1858"/>
      <c r="L468" s="1858"/>
      <c r="M468" s="1858"/>
      <c r="N468" s="1264">
        <f>1564.263+1880.841</f>
        <v>3445.1039999999998</v>
      </c>
      <c r="O468" s="1858"/>
      <c r="P468" s="1858"/>
      <c r="Q468" s="1858"/>
      <c r="R468" s="1858"/>
      <c r="S468" s="1858"/>
      <c r="T468" s="1858"/>
      <c r="U468" s="2167">
        <f>1564.263+1880.841</f>
        <v>3445.1039999999998</v>
      </c>
    </row>
    <row r="469" spans="1:21" ht="13" hidden="1" thickBot="1" x14ac:dyDescent="0.3">
      <c r="A469" s="273"/>
      <c r="B469" s="284" t="s">
        <v>457</v>
      </c>
      <c r="C469" s="283"/>
      <c r="D469" s="271" t="s">
        <v>453</v>
      </c>
      <c r="E469" s="271" t="s">
        <v>456</v>
      </c>
      <c r="F469" s="271" t="s">
        <v>254</v>
      </c>
      <c r="G469" s="2159" t="s">
        <v>91</v>
      </c>
      <c r="H469" s="2167">
        <v>0.71299999999999997</v>
      </c>
      <c r="I469" s="529">
        <v>1</v>
      </c>
      <c r="J469" s="269">
        <v>1</v>
      </c>
      <c r="K469" s="1858"/>
      <c r="L469" s="1858"/>
      <c r="M469" s="1858"/>
      <c r="N469" s="1264">
        <v>0.71299999999999997</v>
      </c>
      <c r="O469" s="1858"/>
      <c r="P469" s="1858"/>
      <c r="Q469" s="1858"/>
      <c r="R469" s="1858"/>
      <c r="S469" s="1858"/>
      <c r="T469" s="1858"/>
      <c r="U469" s="2167">
        <v>0.71299999999999997</v>
      </c>
    </row>
    <row r="470" spans="1:21" ht="21.5" hidden="1" thickBot="1" x14ac:dyDescent="0.3">
      <c r="A470" s="732"/>
      <c r="B470" s="752" t="s">
        <v>499</v>
      </c>
      <c r="C470" s="408"/>
      <c r="D470" s="408" t="s">
        <v>453</v>
      </c>
      <c r="E470" s="408" t="s">
        <v>456</v>
      </c>
      <c r="F470" s="408" t="s">
        <v>89</v>
      </c>
      <c r="G470" s="1662"/>
      <c r="H470" s="1683">
        <f>H471</f>
        <v>660.6</v>
      </c>
      <c r="I470" s="529"/>
      <c r="J470" s="269"/>
      <c r="K470" s="1858"/>
      <c r="L470" s="1858"/>
      <c r="M470" s="1858"/>
      <c r="N470" s="1893">
        <f>N471</f>
        <v>660.6</v>
      </c>
      <c r="O470" s="1858"/>
      <c r="P470" s="1858"/>
      <c r="Q470" s="1858"/>
      <c r="R470" s="1858"/>
      <c r="S470" s="1858"/>
      <c r="T470" s="1858"/>
      <c r="U470" s="1683">
        <f>U471</f>
        <v>660.6</v>
      </c>
    </row>
    <row r="471" spans="1:21" ht="13" hidden="1" thickBot="1" x14ac:dyDescent="0.3">
      <c r="A471" s="732"/>
      <c r="B471" s="753" t="s">
        <v>109</v>
      </c>
      <c r="C471" s="409"/>
      <c r="D471" s="409" t="s">
        <v>453</v>
      </c>
      <c r="E471" s="409" t="s">
        <v>456</v>
      </c>
      <c r="F471" s="409" t="s">
        <v>84</v>
      </c>
      <c r="G471" s="1662"/>
      <c r="H471" s="1682">
        <f>H472</f>
        <v>660.6</v>
      </c>
      <c r="I471" s="529"/>
      <c r="J471" s="269"/>
      <c r="K471" s="1858"/>
      <c r="L471" s="1858"/>
      <c r="M471" s="1858"/>
      <c r="N471" s="1878">
        <f>N472</f>
        <v>660.6</v>
      </c>
      <c r="O471" s="1858"/>
      <c r="P471" s="1858"/>
      <c r="Q471" s="1858"/>
      <c r="R471" s="1858"/>
      <c r="S471" s="1858"/>
      <c r="T471" s="1858"/>
      <c r="U471" s="1682">
        <f>U472</f>
        <v>660.6</v>
      </c>
    </row>
    <row r="472" spans="1:21" ht="13" hidden="1" thickBot="1" x14ac:dyDescent="0.3">
      <c r="A472" s="732"/>
      <c r="B472" s="753" t="s">
        <v>109</v>
      </c>
      <c r="C472" s="409"/>
      <c r="D472" s="409" t="s">
        <v>453</v>
      </c>
      <c r="E472" s="409" t="s">
        <v>456</v>
      </c>
      <c r="F472" s="409" t="s">
        <v>82</v>
      </c>
      <c r="G472" s="1662"/>
      <c r="H472" s="1682">
        <f>H473</f>
        <v>660.6</v>
      </c>
      <c r="I472" s="529"/>
      <c r="J472" s="269"/>
      <c r="K472" s="1858"/>
      <c r="L472" s="1858"/>
      <c r="M472" s="1858"/>
      <c r="N472" s="1878">
        <f>N473</f>
        <v>660.6</v>
      </c>
      <c r="O472" s="1858"/>
      <c r="P472" s="1858"/>
      <c r="Q472" s="1858"/>
      <c r="R472" s="1858"/>
      <c r="S472" s="1858"/>
      <c r="T472" s="1858"/>
      <c r="U472" s="1682">
        <f>U473</f>
        <v>660.6</v>
      </c>
    </row>
    <row r="473" spans="1:21" ht="13" hidden="1" thickBot="1" x14ac:dyDescent="0.3">
      <c r="A473" s="732"/>
      <c r="B473" s="1894" t="s">
        <v>830</v>
      </c>
      <c r="C473" s="409"/>
      <c r="D473" s="409" t="s">
        <v>453</v>
      </c>
      <c r="E473" s="409" t="s">
        <v>456</v>
      </c>
      <c r="F473" s="409" t="s">
        <v>831</v>
      </c>
      <c r="G473" s="1662"/>
      <c r="H473" s="1682">
        <f>H474</f>
        <v>660.6</v>
      </c>
      <c r="I473" s="529"/>
      <c r="J473" s="269"/>
      <c r="K473" s="1858"/>
      <c r="L473" s="1858"/>
      <c r="M473" s="1858"/>
      <c r="N473" s="1878">
        <f>N474</f>
        <v>660.6</v>
      </c>
      <c r="O473" s="1858"/>
      <c r="P473" s="1858"/>
      <c r="Q473" s="1858"/>
      <c r="R473" s="1858"/>
      <c r="S473" s="1858"/>
      <c r="T473" s="1858"/>
      <c r="U473" s="1682">
        <f>U474</f>
        <v>660.6</v>
      </c>
    </row>
    <row r="474" spans="1:21" ht="13.5" hidden="1" thickBot="1" x14ac:dyDescent="0.3">
      <c r="A474" s="732"/>
      <c r="B474" s="754" t="s">
        <v>256</v>
      </c>
      <c r="C474" s="409"/>
      <c r="D474" s="409" t="s">
        <v>453</v>
      </c>
      <c r="E474" s="409" t="s">
        <v>456</v>
      </c>
      <c r="F474" s="409" t="s">
        <v>831</v>
      </c>
      <c r="G474" s="1662" t="s">
        <v>255</v>
      </c>
      <c r="H474" s="1682">
        <v>660.6</v>
      </c>
      <c r="I474" s="529"/>
      <c r="J474" s="269"/>
      <c r="K474" s="1858"/>
      <c r="L474" s="1858"/>
      <c r="M474" s="1858"/>
      <c r="N474" s="1878">
        <v>660.6</v>
      </c>
      <c r="O474" s="1858"/>
      <c r="P474" s="1858"/>
      <c r="Q474" s="1858"/>
      <c r="R474" s="1858"/>
      <c r="S474" s="1858"/>
      <c r="T474" s="1858"/>
      <c r="U474" s="1682">
        <v>660.6</v>
      </c>
    </row>
    <row r="475" spans="1:21" ht="13" hidden="1" thickBot="1" x14ac:dyDescent="0.3">
      <c r="A475" s="751"/>
      <c r="B475" s="282" t="s">
        <v>244</v>
      </c>
      <c r="C475" s="279"/>
      <c r="D475" s="278" t="s">
        <v>453</v>
      </c>
      <c r="E475" s="278" t="s">
        <v>452</v>
      </c>
      <c r="F475" s="278"/>
      <c r="G475" s="2163"/>
      <c r="H475" s="2171">
        <f t="shared" ref="H475:J476" si="114">H476</f>
        <v>5349.2529999999997</v>
      </c>
      <c r="I475" s="841">
        <f t="shared" si="114"/>
        <v>1250.5</v>
      </c>
      <c r="J475" s="276">
        <f t="shared" si="114"/>
        <v>1348</v>
      </c>
      <c r="K475" s="1858"/>
      <c r="L475" s="1858"/>
      <c r="M475" s="1858"/>
      <c r="N475" s="1268">
        <f t="shared" ref="N475:N476" si="115">N476</f>
        <v>5498.201</v>
      </c>
      <c r="O475" s="1858"/>
      <c r="P475" s="1858"/>
      <c r="Q475" s="1858"/>
      <c r="R475" s="1858"/>
      <c r="S475" s="1858"/>
      <c r="T475" s="1858"/>
      <c r="U475" s="2171">
        <f t="shared" ref="U475:U476" si="116">U476</f>
        <v>5152.0720000000001</v>
      </c>
    </row>
    <row r="476" spans="1:21" ht="32" hidden="1" thickBot="1" x14ac:dyDescent="0.3">
      <c r="A476" s="281"/>
      <c r="B476" s="307" t="s">
        <v>621</v>
      </c>
      <c r="C476" s="279"/>
      <c r="D476" s="278" t="s">
        <v>453</v>
      </c>
      <c r="E476" s="278" t="s">
        <v>452</v>
      </c>
      <c r="F476" s="278" t="s">
        <v>273</v>
      </c>
      <c r="G476" s="2163"/>
      <c r="H476" s="2171">
        <f t="shared" si="114"/>
        <v>5349.2529999999997</v>
      </c>
      <c r="I476" s="841">
        <f t="shared" si="114"/>
        <v>1250.5</v>
      </c>
      <c r="J476" s="276">
        <f t="shared" si="114"/>
        <v>1348</v>
      </c>
      <c r="K476" s="1858"/>
      <c r="L476" s="1858"/>
      <c r="M476" s="1858"/>
      <c r="N476" s="1268">
        <f t="shared" si="115"/>
        <v>5498.201</v>
      </c>
      <c r="O476" s="1858"/>
      <c r="P476" s="1858"/>
      <c r="Q476" s="1858"/>
      <c r="R476" s="1858"/>
      <c r="S476" s="1858"/>
      <c r="T476" s="1858"/>
      <c r="U476" s="2171">
        <f t="shared" si="116"/>
        <v>5152.0720000000001</v>
      </c>
    </row>
    <row r="477" spans="1:21" ht="13" hidden="1" thickBot="1" x14ac:dyDescent="0.3">
      <c r="A477" s="273"/>
      <c r="B477" s="310" t="s">
        <v>836</v>
      </c>
      <c r="C477" s="272"/>
      <c r="D477" s="271" t="s">
        <v>453</v>
      </c>
      <c r="E477" s="271" t="s">
        <v>452</v>
      </c>
      <c r="F477" s="271" t="s">
        <v>251</v>
      </c>
      <c r="G477" s="2159"/>
      <c r="H477" s="2167">
        <f>H478+H481</f>
        <v>5349.2529999999997</v>
      </c>
      <c r="I477" s="529">
        <f>I478+I481</f>
        <v>1250.5</v>
      </c>
      <c r="J477" s="269">
        <f>J478+J481</f>
        <v>1348</v>
      </c>
      <c r="K477" s="1858"/>
      <c r="L477" s="1858"/>
      <c r="M477" s="1858"/>
      <c r="N477" s="1264">
        <f>N478+N481</f>
        <v>5498.201</v>
      </c>
      <c r="O477" s="1858"/>
      <c r="P477" s="1858"/>
      <c r="Q477" s="1858"/>
      <c r="R477" s="1858"/>
      <c r="S477" s="1858"/>
      <c r="T477" s="1858"/>
      <c r="U477" s="2167">
        <f>U478+U481</f>
        <v>5152.0720000000001</v>
      </c>
    </row>
    <row r="478" spans="1:21" ht="13" hidden="1" thickBot="1" x14ac:dyDescent="0.3">
      <c r="A478" s="273"/>
      <c r="B478" s="274" t="s">
        <v>250</v>
      </c>
      <c r="C478" s="272"/>
      <c r="D478" s="271" t="s">
        <v>453</v>
      </c>
      <c r="E478" s="271" t="s">
        <v>452</v>
      </c>
      <c r="F478" s="271" t="s">
        <v>249</v>
      </c>
      <c r="G478" s="2159"/>
      <c r="H478" s="2167">
        <f t="shared" ref="H478:J479" si="117">H479</f>
        <v>1650.46</v>
      </c>
      <c r="I478" s="529">
        <f t="shared" si="117"/>
        <v>1250.5</v>
      </c>
      <c r="J478" s="269">
        <f t="shared" si="117"/>
        <v>1348</v>
      </c>
      <c r="K478" s="1858"/>
      <c r="L478" s="1858"/>
      <c r="M478" s="1858"/>
      <c r="N478" s="1264">
        <f t="shared" ref="N478:N479" si="118">N479</f>
        <v>1650.46</v>
      </c>
      <c r="O478" s="1858"/>
      <c r="P478" s="1858"/>
      <c r="Q478" s="1858"/>
      <c r="R478" s="1858"/>
      <c r="S478" s="1858"/>
      <c r="T478" s="1858"/>
      <c r="U478" s="2167">
        <f t="shared" ref="U478:U479" si="119">U479</f>
        <v>1650.46</v>
      </c>
    </row>
    <row r="479" spans="1:21" ht="13.5" hidden="1" thickBot="1" x14ac:dyDescent="0.3">
      <c r="A479" s="273"/>
      <c r="B479" s="90" t="s">
        <v>248</v>
      </c>
      <c r="C479" s="272"/>
      <c r="D479" s="271" t="s">
        <v>453</v>
      </c>
      <c r="E479" s="271" t="s">
        <v>452</v>
      </c>
      <c r="F479" s="271" t="s">
        <v>243</v>
      </c>
      <c r="G479" s="2159"/>
      <c r="H479" s="2167">
        <f t="shared" si="117"/>
        <v>1650.46</v>
      </c>
      <c r="I479" s="529">
        <f t="shared" si="117"/>
        <v>1250.5</v>
      </c>
      <c r="J479" s="269">
        <f t="shared" si="117"/>
        <v>1348</v>
      </c>
      <c r="K479" s="1858"/>
      <c r="L479" s="1858"/>
      <c r="M479" s="1858"/>
      <c r="N479" s="1264">
        <f t="shared" si="118"/>
        <v>1650.46</v>
      </c>
      <c r="O479" s="1858"/>
      <c r="P479" s="1858"/>
      <c r="Q479" s="1858"/>
      <c r="R479" s="1858"/>
      <c r="S479" s="1858"/>
      <c r="T479" s="1858"/>
      <c r="U479" s="2167">
        <f t="shared" si="119"/>
        <v>1650.46</v>
      </c>
    </row>
    <row r="480" spans="1:21" ht="20.5" hidden="1" thickBot="1" x14ac:dyDescent="0.3">
      <c r="A480" s="2155"/>
      <c r="B480" s="303" t="s">
        <v>454</v>
      </c>
      <c r="C480" s="302"/>
      <c r="D480" s="301" t="s">
        <v>453</v>
      </c>
      <c r="E480" s="301" t="s">
        <v>452</v>
      </c>
      <c r="F480" s="301" t="s">
        <v>243</v>
      </c>
      <c r="G480" s="2160" t="s">
        <v>1</v>
      </c>
      <c r="H480" s="2168">
        <v>1650.46</v>
      </c>
      <c r="I480" s="2164">
        <v>1250.5</v>
      </c>
      <c r="J480" s="299">
        <v>1348</v>
      </c>
      <c r="K480" s="1858"/>
      <c r="L480" s="1858"/>
      <c r="M480" s="1858"/>
      <c r="N480" s="1265">
        <v>1650.46</v>
      </c>
      <c r="O480" s="1858"/>
      <c r="P480" s="1858"/>
      <c r="Q480" s="1858"/>
      <c r="R480" s="1858"/>
      <c r="S480" s="1858"/>
      <c r="T480" s="1858"/>
      <c r="U480" s="2168">
        <v>1650.46</v>
      </c>
    </row>
    <row r="481" spans="1:21" ht="23.5" thickBot="1" x14ac:dyDescent="0.3">
      <c r="A481" s="1168">
        <v>2</v>
      </c>
      <c r="B481" s="1171" t="s">
        <v>1038</v>
      </c>
      <c r="C481" s="1161" t="s">
        <v>1039</v>
      </c>
      <c r="D481" s="1161"/>
      <c r="E481" s="1161"/>
      <c r="F481" s="1161"/>
      <c r="G481" s="1658"/>
      <c r="H481" s="1675">
        <f>H482+H582+H608+H657+H750+H760++H783+H801+H574+H826</f>
        <v>3698.7929999999997</v>
      </c>
      <c r="I481" s="848">
        <f>I482+I557+I583+I632+I706+I717+I756+I771+I549</f>
        <v>0</v>
      </c>
      <c r="J481" s="293">
        <f>J482+J557+J583+J632+J706+J717+J756+J771+J549</f>
        <v>0</v>
      </c>
      <c r="K481" s="2156"/>
      <c r="L481" s="2156"/>
      <c r="M481" s="2156"/>
      <c r="N481" s="1170">
        <f>N482+N582+N608+N657+N750+N760++N783+N801+N574+N826</f>
        <v>3847.741</v>
      </c>
      <c r="O481" s="2156"/>
      <c r="P481" s="2156"/>
      <c r="Q481" s="2156"/>
      <c r="R481" s="2156"/>
      <c r="S481" s="2156"/>
      <c r="T481" s="2156"/>
      <c r="U481" s="1675">
        <f>U482+U582+U608+U657+U750+U760++U783+U801+U574+U826</f>
        <v>3501.6120000000001</v>
      </c>
    </row>
    <row r="482" spans="1:21" x14ac:dyDescent="0.25">
      <c r="A482" s="145"/>
      <c r="B482" s="1173" t="s">
        <v>431</v>
      </c>
      <c r="C482" s="1174"/>
      <c r="D482" s="1175" t="s">
        <v>456</v>
      </c>
      <c r="E482" s="1175" t="s">
        <v>459</v>
      </c>
      <c r="F482" s="1175"/>
      <c r="G482" s="1660"/>
      <c r="H482" s="1676">
        <f>H489+H496+H521+H539+H551+H557</f>
        <v>3698.7929999999997</v>
      </c>
      <c r="I482" s="849">
        <f>I483+I496+I513</f>
        <v>0</v>
      </c>
      <c r="J482" s="287">
        <f>J483+J496+J513</f>
        <v>0</v>
      </c>
      <c r="K482" s="1862">
        <f>K495+K502+K504+K507+K526+K527+K528+K530+K532+K538+K544+K556+K560+K561+K562+K563</f>
        <v>5</v>
      </c>
      <c r="L482" s="1858"/>
      <c r="M482" s="1858"/>
      <c r="N482" s="1176">
        <f>N489+N496+N521+N539+N551+N557</f>
        <v>3847.741</v>
      </c>
      <c r="O482" s="1858"/>
      <c r="P482" s="1858"/>
      <c r="Q482" s="1858"/>
      <c r="R482" s="1858"/>
      <c r="S482" s="1858"/>
      <c r="T482" s="1858"/>
      <c r="U482" s="1676">
        <f>U489+U496+U521+U539+U551+U557</f>
        <v>3501.6120000000001</v>
      </c>
    </row>
    <row r="483" spans="1:21" ht="21" hidden="1" x14ac:dyDescent="0.25">
      <c r="A483" s="32"/>
      <c r="B483" s="752" t="s">
        <v>600</v>
      </c>
      <c r="C483" s="1177"/>
      <c r="D483" s="408" t="s">
        <v>456</v>
      </c>
      <c r="E483" s="408" t="s">
        <v>488</v>
      </c>
      <c r="F483" s="408"/>
      <c r="G483" s="1661"/>
      <c r="H483" s="1677"/>
      <c r="I483" s="850">
        <f t="shared" ref="I483:J487" si="120">I484</f>
        <v>0</v>
      </c>
      <c r="J483" s="355">
        <f t="shared" si="120"/>
        <v>0</v>
      </c>
      <c r="K483" s="1858"/>
      <c r="L483" s="1858"/>
      <c r="M483" s="1858"/>
      <c r="N483" s="1178"/>
      <c r="O483" s="1858"/>
      <c r="P483" s="1858"/>
      <c r="Q483" s="1858"/>
      <c r="R483" s="1858"/>
      <c r="S483" s="1858"/>
      <c r="T483" s="1858"/>
      <c r="U483" s="1677"/>
    </row>
    <row r="484" spans="1:21" ht="21" hidden="1" x14ac:dyDescent="0.25">
      <c r="A484" s="32"/>
      <c r="B484" s="753" t="s">
        <v>599</v>
      </c>
      <c r="C484" s="1180"/>
      <c r="D484" s="409" t="s">
        <v>456</v>
      </c>
      <c r="E484" s="409" t="s">
        <v>488</v>
      </c>
      <c r="F484" s="409" t="s">
        <v>157</v>
      </c>
      <c r="G484" s="1662"/>
      <c r="H484" s="1678"/>
      <c r="I484" s="851">
        <f t="shared" si="120"/>
        <v>0</v>
      </c>
      <c r="J484" s="353">
        <f t="shared" si="120"/>
        <v>0</v>
      </c>
      <c r="K484" s="1858"/>
      <c r="L484" s="1858"/>
      <c r="M484" s="1858"/>
      <c r="N484" s="1181"/>
      <c r="O484" s="1858"/>
      <c r="P484" s="1858"/>
      <c r="Q484" s="1858"/>
      <c r="R484" s="1858"/>
      <c r="S484" s="1858"/>
      <c r="T484" s="1858"/>
      <c r="U484" s="1678"/>
    </row>
    <row r="485" spans="1:21" ht="21" hidden="1" x14ac:dyDescent="0.25">
      <c r="A485" s="32"/>
      <c r="B485" s="753" t="s">
        <v>596</v>
      </c>
      <c r="C485" s="1180"/>
      <c r="D485" s="409" t="s">
        <v>456</v>
      </c>
      <c r="E485" s="409" t="s">
        <v>488</v>
      </c>
      <c r="F485" s="409" t="s">
        <v>598</v>
      </c>
      <c r="G485" s="1662"/>
      <c r="H485" s="1678"/>
      <c r="I485" s="851">
        <f t="shared" si="120"/>
        <v>0</v>
      </c>
      <c r="J485" s="353">
        <f t="shared" si="120"/>
        <v>0</v>
      </c>
      <c r="K485" s="1858"/>
      <c r="L485" s="1858"/>
      <c r="M485" s="1858"/>
      <c r="N485" s="1181"/>
      <c r="O485" s="1858"/>
      <c r="P485" s="1858"/>
      <c r="Q485" s="1858"/>
      <c r="R485" s="1858"/>
      <c r="S485" s="1858"/>
      <c r="T485" s="1858"/>
      <c r="U485" s="1678"/>
    </row>
    <row r="486" spans="1:21" hidden="1" x14ac:dyDescent="0.25">
      <c r="A486" s="32"/>
      <c r="B486" s="753" t="s">
        <v>582</v>
      </c>
      <c r="C486" s="1180"/>
      <c r="D486" s="409" t="s">
        <v>595</v>
      </c>
      <c r="E486" s="409" t="s">
        <v>594</v>
      </c>
      <c r="F486" s="409" t="s">
        <v>597</v>
      </c>
      <c r="G486" s="1662"/>
      <c r="H486" s="1678"/>
      <c r="I486" s="851">
        <f t="shared" si="120"/>
        <v>0</v>
      </c>
      <c r="J486" s="353">
        <f t="shared" si="120"/>
        <v>0</v>
      </c>
      <c r="K486" s="1858"/>
      <c r="L486" s="1858"/>
      <c r="M486" s="1858"/>
      <c r="N486" s="1181"/>
      <c r="O486" s="1858"/>
      <c r="P486" s="1858"/>
      <c r="Q486" s="1858"/>
      <c r="R486" s="1858"/>
      <c r="S486" s="1858"/>
      <c r="T486" s="1858"/>
      <c r="U486" s="1678"/>
    </row>
    <row r="487" spans="1:21" ht="21" hidden="1" x14ac:dyDescent="0.25">
      <c r="A487" s="32"/>
      <c r="B487" s="753" t="s">
        <v>596</v>
      </c>
      <c r="C487" s="1180"/>
      <c r="D487" s="409" t="s">
        <v>595</v>
      </c>
      <c r="E487" s="409" t="s">
        <v>594</v>
      </c>
      <c r="F487" s="409" t="s">
        <v>593</v>
      </c>
      <c r="G487" s="1662"/>
      <c r="H487" s="1678"/>
      <c r="I487" s="851">
        <f t="shared" si="120"/>
        <v>0</v>
      </c>
      <c r="J487" s="353">
        <f t="shared" si="120"/>
        <v>0</v>
      </c>
      <c r="K487" s="1858"/>
      <c r="L487" s="1858"/>
      <c r="M487" s="1858"/>
      <c r="N487" s="1181"/>
      <c r="O487" s="1858"/>
      <c r="P487" s="1858"/>
      <c r="Q487" s="1858"/>
      <c r="R487" s="1858"/>
      <c r="S487" s="1858"/>
      <c r="T487" s="1858"/>
      <c r="U487" s="1678"/>
    </row>
    <row r="488" spans="1:21" hidden="1" x14ac:dyDescent="0.25">
      <c r="A488" s="32"/>
      <c r="B488" s="1182" t="s">
        <v>571</v>
      </c>
      <c r="C488" s="1183"/>
      <c r="D488" s="409" t="s">
        <v>456</v>
      </c>
      <c r="E488" s="409" t="s">
        <v>488</v>
      </c>
      <c r="F488" s="409" t="s">
        <v>593</v>
      </c>
      <c r="G488" s="1662" t="s">
        <v>5</v>
      </c>
      <c r="H488" s="1678"/>
      <c r="I488" s="851"/>
      <c r="J488" s="353"/>
      <c r="K488" s="1858"/>
      <c r="L488" s="1858"/>
      <c r="M488" s="1858"/>
      <c r="N488" s="1181"/>
      <c r="O488" s="1858"/>
      <c r="P488" s="1858"/>
      <c r="Q488" s="1858"/>
      <c r="R488" s="1858"/>
      <c r="S488" s="1858"/>
      <c r="T488" s="1858"/>
      <c r="U488" s="1678"/>
    </row>
    <row r="489" spans="1:21" ht="23" x14ac:dyDescent="0.25">
      <c r="A489" s="32"/>
      <c r="B489" s="1184" t="s">
        <v>600</v>
      </c>
      <c r="C489" s="1183"/>
      <c r="D489" s="408" t="s">
        <v>456</v>
      </c>
      <c r="E489" s="408" t="s">
        <v>488</v>
      </c>
      <c r="F489" s="409"/>
      <c r="G489" s="1662"/>
      <c r="H489" s="1677">
        <f>H490</f>
        <v>1761.778</v>
      </c>
      <c r="I489" s="851"/>
      <c r="J489" s="353"/>
      <c r="K489" s="1858">
        <f>K495+K502+K504+K507</f>
        <v>5</v>
      </c>
      <c r="L489" s="1858">
        <f>K489-3579.885</f>
        <v>-3574.8850000000002</v>
      </c>
      <c r="M489" s="1858"/>
      <c r="N489" s="1178">
        <f>N490</f>
        <v>1832.249</v>
      </c>
      <c r="O489" s="1858"/>
      <c r="P489" s="1858"/>
      <c r="Q489" s="1858"/>
      <c r="R489" s="1858"/>
      <c r="S489" s="1858"/>
      <c r="T489" s="1858"/>
      <c r="U489" s="1677">
        <f>U490</f>
        <v>1905.539</v>
      </c>
    </row>
    <row r="490" spans="1:21" ht="21" x14ac:dyDescent="0.25">
      <c r="A490" s="32"/>
      <c r="B490" s="753" t="s">
        <v>866</v>
      </c>
      <c r="C490" s="1183"/>
      <c r="D490" s="409" t="s">
        <v>456</v>
      </c>
      <c r="E490" s="409" t="s">
        <v>488</v>
      </c>
      <c r="F490" s="409" t="s">
        <v>157</v>
      </c>
      <c r="G490" s="1662"/>
      <c r="H490" s="1678">
        <f>H491</f>
        <v>1761.778</v>
      </c>
      <c r="I490" s="851"/>
      <c r="J490" s="353"/>
      <c r="K490" s="1858"/>
      <c r="L490" s="1858"/>
      <c r="M490" s="1858"/>
      <c r="N490" s="1181">
        <f>N491</f>
        <v>1832.249</v>
      </c>
      <c r="O490" s="1858"/>
      <c r="P490" s="1858"/>
      <c r="Q490" s="1858"/>
      <c r="R490" s="1858"/>
      <c r="S490" s="1858"/>
      <c r="T490" s="1858"/>
      <c r="U490" s="1678">
        <f>U491</f>
        <v>1905.539</v>
      </c>
    </row>
    <row r="491" spans="1:21" ht="21" x14ac:dyDescent="0.25">
      <c r="A491" s="32"/>
      <c r="B491" s="753" t="s">
        <v>867</v>
      </c>
      <c r="C491" s="1183"/>
      <c r="D491" s="409" t="s">
        <v>456</v>
      </c>
      <c r="E491" s="409" t="s">
        <v>488</v>
      </c>
      <c r="F491" s="409" t="s">
        <v>598</v>
      </c>
      <c r="G491" s="1662"/>
      <c r="H491" s="1678">
        <f>H492</f>
        <v>1761.778</v>
      </c>
      <c r="I491" s="851"/>
      <c r="J491" s="353"/>
      <c r="K491" s="1858"/>
      <c r="L491" s="1858"/>
      <c r="M491" s="1858"/>
      <c r="N491" s="1181">
        <f>N492</f>
        <v>1832.249</v>
      </c>
      <c r="O491" s="1858"/>
      <c r="P491" s="1858"/>
      <c r="Q491" s="1858"/>
      <c r="R491" s="1858"/>
      <c r="S491" s="1858"/>
      <c r="T491" s="1858"/>
      <c r="U491" s="1678">
        <f>U492</f>
        <v>1905.539</v>
      </c>
    </row>
    <row r="492" spans="1:21" x14ac:dyDescent="0.25">
      <c r="A492" s="32"/>
      <c r="B492" s="753" t="s">
        <v>582</v>
      </c>
      <c r="C492" s="1183"/>
      <c r="D492" s="409" t="s">
        <v>456</v>
      </c>
      <c r="E492" s="409" t="s">
        <v>488</v>
      </c>
      <c r="F492" s="409" t="s">
        <v>597</v>
      </c>
      <c r="G492" s="1662"/>
      <c r="H492" s="1678">
        <f>H493</f>
        <v>1761.778</v>
      </c>
      <c r="I492" s="851"/>
      <c r="J492" s="353"/>
      <c r="K492" s="1858"/>
      <c r="L492" s="1858"/>
      <c r="M492" s="1858"/>
      <c r="N492" s="1181">
        <f>N493</f>
        <v>1832.249</v>
      </c>
      <c r="O492" s="1858"/>
      <c r="P492" s="1858"/>
      <c r="Q492" s="1858"/>
      <c r="R492" s="1858"/>
      <c r="S492" s="1858"/>
      <c r="T492" s="1858"/>
      <c r="U492" s="1678">
        <f>U493</f>
        <v>1905.539</v>
      </c>
    </row>
    <row r="493" spans="1:21" ht="21" x14ac:dyDescent="0.25">
      <c r="A493" s="32"/>
      <c r="B493" s="753" t="s">
        <v>867</v>
      </c>
      <c r="C493" s="1183"/>
      <c r="D493" s="409" t="s">
        <v>456</v>
      </c>
      <c r="E493" s="409" t="s">
        <v>488</v>
      </c>
      <c r="F493" s="409" t="s">
        <v>593</v>
      </c>
      <c r="G493" s="1662"/>
      <c r="H493" s="1678">
        <f>H495</f>
        <v>1761.778</v>
      </c>
      <c r="I493" s="851"/>
      <c r="J493" s="353"/>
      <c r="K493" s="1858"/>
      <c r="L493" s="1858"/>
      <c r="M493" s="1858"/>
      <c r="N493" s="1181">
        <f>N495</f>
        <v>1832.249</v>
      </c>
      <c r="O493" s="1858"/>
      <c r="P493" s="1858"/>
      <c r="Q493" s="1858"/>
      <c r="R493" s="1858"/>
      <c r="S493" s="1858"/>
      <c r="T493" s="1858"/>
      <c r="U493" s="1678">
        <f>U495</f>
        <v>1905.539</v>
      </c>
    </row>
    <row r="494" spans="1:21" ht="39" x14ac:dyDescent="0.25">
      <c r="A494" s="32"/>
      <c r="B494" s="49" t="s">
        <v>1063</v>
      </c>
      <c r="C494" s="1183"/>
      <c r="D494" s="409" t="s">
        <v>456</v>
      </c>
      <c r="E494" s="409" t="s">
        <v>488</v>
      </c>
      <c r="F494" s="409" t="s">
        <v>593</v>
      </c>
      <c r="G494" s="1662" t="s">
        <v>1062</v>
      </c>
      <c r="H494" s="1678">
        <f t="shared" ref="H494:U494" si="121">H495</f>
        <v>1761.778</v>
      </c>
      <c r="I494" s="851">
        <f t="shared" si="121"/>
        <v>0</v>
      </c>
      <c r="J494" s="353">
        <f t="shared" si="121"/>
        <v>0</v>
      </c>
      <c r="K494" s="1858">
        <f t="shared" si="121"/>
        <v>0</v>
      </c>
      <c r="L494" s="1858">
        <f t="shared" si="121"/>
        <v>0</v>
      </c>
      <c r="M494" s="1858">
        <f t="shared" si="121"/>
        <v>0</v>
      </c>
      <c r="N494" s="1181">
        <f t="shared" si="121"/>
        <v>1832.249</v>
      </c>
      <c r="O494" s="1858">
        <f t="shared" si="121"/>
        <v>0</v>
      </c>
      <c r="P494" s="1858">
        <f t="shared" si="121"/>
        <v>0</v>
      </c>
      <c r="Q494" s="1858">
        <f t="shared" si="121"/>
        <v>0</v>
      </c>
      <c r="R494" s="1858">
        <f t="shared" si="121"/>
        <v>0</v>
      </c>
      <c r="S494" s="1858">
        <f t="shared" si="121"/>
        <v>0</v>
      </c>
      <c r="T494" s="1858">
        <f t="shared" si="121"/>
        <v>0</v>
      </c>
      <c r="U494" s="1678">
        <f t="shared" si="121"/>
        <v>1905.539</v>
      </c>
    </row>
    <row r="495" spans="1:21" x14ac:dyDescent="0.25">
      <c r="A495" s="32"/>
      <c r="B495" s="1185" t="s">
        <v>571</v>
      </c>
      <c r="C495" s="1183"/>
      <c r="D495" s="409" t="s">
        <v>456</v>
      </c>
      <c r="E495" s="409" t="s">
        <v>488</v>
      </c>
      <c r="F495" s="409" t="s">
        <v>593</v>
      </c>
      <c r="G495" s="1662" t="s">
        <v>5</v>
      </c>
      <c r="H495" s="1678">
        <v>1761.778</v>
      </c>
      <c r="I495" s="851"/>
      <c r="J495" s="353"/>
      <c r="K495" s="1858"/>
      <c r="L495" s="1858"/>
      <c r="M495" s="1858"/>
      <c r="N495" s="1181">
        <v>1832.249</v>
      </c>
      <c r="O495" s="1858"/>
      <c r="P495" s="1858"/>
      <c r="Q495" s="1858"/>
      <c r="R495" s="1858"/>
      <c r="S495" s="1858"/>
      <c r="T495" s="1858"/>
      <c r="U495" s="1678">
        <v>1905.539</v>
      </c>
    </row>
    <row r="496" spans="1:21" ht="34.5" x14ac:dyDescent="0.25">
      <c r="A496" s="32"/>
      <c r="B496" s="1184" t="s">
        <v>592</v>
      </c>
      <c r="C496" s="1177"/>
      <c r="D496" s="408" t="s">
        <v>456</v>
      </c>
      <c r="E496" s="408" t="s">
        <v>495</v>
      </c>
      <c r="F496" s="408"/>
      <c r="G496" s="1661"/>
      <c r="H496" s="1677">
        <f>H497</f>
        <v>1937.0149999999999</v>
      </c>
      <c r="I496" s="850">
        <f>I497</f>
        <v>0</v>
      </c>
      <c r="J496" s="355">
        <f>J497</f>
        <v>0</v>
      </c>
      <c r="K496" s="1858"/>
      <c r="L496" s="1858"/>
      <c r="M496" s="1858"/>
      <c r="N496" s="1178">
        <f>N497</f>
        <v>2015.492</v>
      </c>
      <c r="O496" s="1858"/>
      <c r="P496" s="1858"/>
      <c r="Q496" s="1858"/>
      <c r="R496" s="1858"/>
      <c r="S496" s="1858"/>
      <c r="T496" s="1858"/>
      <c r="U496" s="1677">
        <f>U497</f>
        <v>1596.0729999999999</v>
      </c>
    </row>
    <row r="497" spans="1:21" ht="21" x14ac:dyDescent="0.25">
      <c r="A497" s="32"/>
      <c r="B497" s="753" t="s">
        <v>588</v>
      </c>
      <c r="C497" s="1180"/>
      <c r="D497" s="409" t="s">
        <v>456</v>
      </c>
      <c r="E497" s="409" t="s">
        <v>495</v>
      </c>
      <c r="F497" s="409" t="s">
        <v>157</v>
      </c>
      <c r="G497" s="1662"/>
      <c r="H497" s="1678">
        <f>H498+H509</f>
        <v>1937.0149999999999</v>
      </c>
      <c r="I497" s="851">
        <f>I498+I509</f>
        <v>0</v>
      </c>
      <c r="J497" s="353">
        <f>J498+J509</f>
        <v>0</v>
      </c>
      <c r="K497" s="1858"/>
      <c r="L497" s="1858"/>
      <c r="M497" s="1858"/>
      <c r="N497" s="1181">
        <f>N498+N509</f>
        <v>2015.492</v>
      </c>
      <c r="O497" s="1858"/>
      <c r="P497" s="1858"/>
      <c r="Q497" s="1858"/>
      <c r="R497" s="1858"/>
      <c r="S497" s="1858"/>
      <c r="T497" s="1858"/>
      <c r="U497" s="1678">
        <f>U498+U509</f>
        <v>1596.0729999999999</v>
      </c>
    </row>
    <row r="498" spans="1:21" ht="21" x14ac:dyDescent="0.25">
      <c r="A498" s="32"/>
      <c r="B498" s="753" t="s">
        <v>591</v>
      </c>
      <c r="C498" s="1180"/>
      <c r="D498" s="409" t="s">
        <v>456</v>
      </c>
      <c r="E498" s="409" t="s">
        <v>495</v>
      </c>
      <c r="F498" s="409" t="s">
        <v>155</v>
      </c>
      <c r="G498" s="1662"/>
      <c r="H498" s="1678">
        <f t="shared" ref="H498:J499" si="122">H499</f>
        <v>1937.0149999999999</v>
      </c>
      <c r="I498" s="851">
        <f t="shared" si="122"/>
        <v>0</v>
      </c>
      <c r="J498" s="353">
        <f t="shared" si="122"/>
        <v>0</v>
      </c>
      <c r="K498" s="1858"/>
      <c r="L498" s="1858"/>
      <c r="M498" s="1858"/>
      <c r="N498" s="1181">
        <f t="shared" ref="N498:N499" si="123">N499</f>
        <v>2015.492</v>
      </c>
      <c r="O498" s="1858"/>
      <c r="P498" s="1858"/>
      <c r="Q498" s="1858"/>
      <c r="R498" s="1858"/>
      <c r="S498" s="1858"/>
      <c r="T498" s="1858"/>
      <c r="U498" s="1678">
        <f t="shared" ref="U498:U499" si="124">U499</f>
        <v>1596.0729999999999</v>
      </c>
    </row>
    <row r="499" spans="1:21" x14ac:dyDescent="0.25">
      <c r="A499" s="32"/>
      <c r="B499" s="753" t="s">
        <v>582</v>
      </c>
      <c r="C499" s="1180"/>
      <c r="D499" s="409" t="s">
        <v>456</v>
      </c>
      <c r="E499" s="409" t="s">
        <v>495</v>
      </c>
      <c r="F499" s="409" t="s">
        <v>154</v>
      </c>
      <c r="G499" s="1662"/>
      <c r="H499" s="1678">
        <f t="shared" si="122"/>
        <v>1937.0149999999999</v>
      </c>
      <c r="I499" s="851">
        <f t="shared" si="122"/>
        <v>0</v>
      </c>
      <c r="J499" s="353">
        <f t="shared" si="122"/>
        <v>0</v>
      </c>
      <c r="K499" s="1858"/>
      <c r="L499" s="1858"/>
      <c r="M499" s="1858"/>
      <c r="N499" s="1181">
        <f t="shared" si="123"/>
        <v>2015.492</v>
      </c>
      <c r="O499" s="1858"/>
      <c r="P499" s="1858"/>
      <c r="Q499" s="1858"/>
      <c r="R499" s="1858"/>
      <c r="S499" s="1858"/>
      <c r="T499" s="1858"/>
      <c r="U499" s="1678">
        <f t="shared" si="124"/>
        <v>1596.0729999999999</v>
      </c>
    </row>
    <row r="500" spans="1:21" x14ac:dyDescent="0.25">
      <c r="A500" s="32"/>
      <c r="B500" s="753" t="s">
        <v>153</v>
      </c>
      <c r="C500" s="1180"/>
      <c r="D500" s="409" t="s">
        <v>456</v>
      </c>
      <c r="E500" s="409" t="s">
        <v>495</v>
      </c>
      <c r="F500" s="409" t="s">
        <v>152</v>
      </c>
      <c r="G500" s="1662"/>
      <c r="H500" s="1678">
        <f>H502+H504+H507+H505</f>
        <v>1937.0149999999999</v>
      </c>
      <c r="I500" s="851">
        <f>I502+I504</f>
        <v>0</v>
      </c>
      <c r="J500" s="353">
        <f>J502+J504</f>
        <v>0</v>
      </c>
      <c r="K500" s="1858"/>
      <c r="L500" s="1858"/>
      <c r="M500" s="1858"/>
      <c r="N500" s="1181">
        <f>N502+N504+N507</f>
        <v>2015.492</v>
      </c>
      <c r="O500" s="1858"/>
      <c r="P500" s="1858"/>
      <c r="Q500" s="1858"/>
      <c r="R500" s="1858"/>
      <c r="S500" s="1858"/>
      <c r="T500" s="1858"/>
      <c r="U500" s="1678">
        <f>U502+U504+U507</f>
        <v>1596.0729999999999</v>
      </c>
    </row>
    <row r="501" spans="1:21" ht="39" x14ac:dyDescent="0.25">
      <c r="A501" s="32"/>
      <c r="B501" s="49" t="s">
        <v>1063</v>
      </c>
      <c r="C501" s="1180"/>
      <c r="D501" s="409" t="s">
        <v>456</v>
      </c>
      <c r="E501" s="409" t="s">
        <v>495</v>
      </c>
      <c r="F501" s="409" t="s">
        <v>152</v>
      </c>
      <c r="G501" s="1662" t="s">
        <v>1062</v>
      </c>
      <c r="H501" s="1678">
        <f t="shared" ref="H501:U501" si="125">H502</f>
        <v>994.077</v>
      </c>
      <c r="I501" s="851">
        <f t="shared" si="125"/>
        <v>0</v>
      </c>
      <c r="J501" s="1187">
        <f t="shared" si="125"/>
        <v>0</v>
      </c>
      <c r="K501" s="1858">
        <f t="shared" si="125"/>
        <v>0</v>
      </c>
      <c r="L501" s="1858">
        <f t="shared" si="125"/>
        <v>0</v>
      </c>
      <c r="M501" s="1858">
        <f t="shared" si="125"/>
        <v>0</v>
      </c>
      <c r="N501" s="1181">
        <f t="shared" si="125"/>
        <v>1033.8399999999999</v>
      </c>
      <c r="O501" s="1858">
        <f t="shared" si="125"/>
        <v>0</v>
      </c>
      <c r="P501" s="1858">
        <f t="shared" si="125"/>
        <v>0</v>
      </c>
      <c r="Q501" s="1858">
        <f t="shared" si="125"/>
        <v>0</v>
      </c>
      <c r="R501" s="1858">
        <f t="shared" si="125"/>
        <v>0</v>
      </c>
      <c r="S501" s="1858">
        <f t="shared" si="125"/>
        <v>0</v>
      </c>
      <c r="T501" s="1858">
        <f t="shared" si="125"/>
        <v>0</v>
      </c>
      <c r="U501" s="1678">
        <f t="shared" si="125"/>
        <v>1075.194</v>
      </c>
    </row>
    <row r="502" spans="1:21" x14ac:dyDescent="0.25">
      <c r="A502" s="32"/>
      <c r="B502" s="1182" t="s">
        <v>571</v>
      </c>
      <c r="C502" s="1183"/>
      <c r="D502" s="409" t="s">
        <v>456</v>
      </c>
      <c r="E502" s="409" t="s">
        <v>495</v>
      </c>
      <c r="F502" s="409" t="s">
        <v>152</v>
      </c>
      <c r="G502" s="1662" t="s">
        <v>5</v>
      </c>
      <c r="H502" s="1678">
        <v>994.077</v>
      </c>
      <c r="I502" s="851"/>
      <c r="J502" s="352"/>
      <c r="K502" s="1858"/>
      <c r="L502" s="1858"/>
      <c r="M502" s="1858"/>
      <c r="N502" s="1181">
        <v>1033.8399999999999</v>
      </c>
      <c r="O502" s="1858"/>
      <c r="P502" s="1858"/>
      <c r="Q502" s="1858"/>
      <c r="R502" s="1858"/>
      <c r="S502" s="1858"/>
      <c r="T502" s="1858"/>
      <c r="U502" s="1678">
        <v>1075.194</v>
      </c>
    </row>
    <row r="503" spans="1:21" x14ac:dyDescent="0.25">
      <c r="A503" s="32"/>
      <c r="B503" s="1256" t="s">
        <v>921</v>
      </c>
      <c r="C503" s="1183"/>
      <c r="D503" s="409" t="s">
        <v>456</v>
      </c>
      <c r="E503" s="409" t="s">
        <v>495</v>
      </c>
      <c r="F503" s="409" t="s">
        <v>152</v>
      </c>
      <c r="G503" s="1662" t="s">
        <v>955</v>
      </c>
      <c r="H503" s="1678">
        <f t="shared" ref="H503:U503" si="126">H504</f>
        <v>941.93799999999999</v>
      </c>
      <c r="I503" s="851">
        <f t="shared" si="126"/>
        <v>0</v>
      </c>
      <c r="J503" s="352">
        <f t="shared" si="126"/>
        <v>0</v>
      </c>
      <c r="K503" s="1858">
        <f t="shared" si="126"/>
        <v>0</v>
      </c>
      <c r="L503" s="1858">
        <f t="shared" si="126"/>
        <v>0</v>
      </c>
      <c r="M503" s="1858">
        <f t="shared" si="126"/>
        <v>0</v>
      </c>
      <c r="N503" s="1181">
        <f t="shared" si="126"/>
        <v>980.65200000000004</v>
      </c>
      <c r="O503" s="1858">
        <f t="shared" si="126"/>
        <v>0</v>
      </c>
      <c r="P503" s="1858">
        <f t="shared" si="126"/>
        <v>0</v>
      </c>
      <c r="Q503" s="1858">
        <f t="shared" si="126"/>
        <v>0</v>
      </c>
      <c r="R503" s="1858">
        <f t="shared" si="126"/>
        <v>0</v>
      </c>
      <c r="S503" s="1858">
        <f t="shared" si="126"/>
        <v>0</v>
      </c>
      <c r="T503" s="1858">
        <f t="shared" si="126"/>
        <v>0</v>
      </c>
      <c r="U503" s="1678">
        <f t="shared" si="126"/>
        <v>519.87900000000002</v>
      </c>
    </row>
    <row r="504" spans="1:21" ht="21" x14ac:dyDescent="0.25">
      <c r="A504" s="32"/>
      <c r="B504" s="1182" t="s">
        <v>454</v>
      </c>
      <c r="C504" s="1183"/>
      <c r="D504" s="409" t="s">
        <v>456</v>
      </c>
      <c r="E504" s="409" t="s">
        <v>495</v>
      </c>
      <c r="F504" s="409" t="s">
        <v>152</v>
      </c>
      <c r="G504" s="1662" t="s">
        <v>1</v>
      </c>
      <c r="H504" s="1838">
        <v>941.93799999999999</v>
      </c>
      <c r="I504" s="851"/>
      <c r="J504" s="352"/>
      <c r="K504" s="1859"/>
      <c r="L504" s="1858"/>
      <c r="M504" s="1858"/>
      <c r="N504" s="1840">
        <v>980.65200000000004</v>
      </c>
      <c r="O504" s="1858"/>
      <c r="P504" s="1858"/>
      <c r="Q504" s="1858"/>
      <c r="R504" s="1858"/>
      <c r="S504" s="1858"/>
      <c r="T504" s="1858"/>
      <c r="U504" s="1838">
        <f>1019.879-500</f>
        <v>519.87900000000002</v>
      </c>
    </row>
    <row r="505" spans="1:21" hidden="1" x14ac:dyDescent="0.25">
      <c r="A505" s="1478"/>
      <c r="B505" s="1191" t="s">
        <v>1003</v>
      </c>
      <c r="C505" s="1192"/>
      <c r="D505" s="409" t="s">
        <v>456</v>
      </c>
      <c r="E505" s="409" t="s">
        <v>495</v>
      </c>
      <c r="F505" s="409" t="s">
        <v>152</v>
      </c>
      <c r="G505" s="1663" t="s">
        <v>95</v>
      </c>
      <c r="H505" s="1896"/>
      <c r="I505" s="852"/>
      <c r="J505" s="1897"/>
      <c r="K505" s="1859"/>
      <c r="L505" s="1858"/>
      <c r="M505" s="1858"/>
      <c r="N505" s="1898"/>
      <c r="O505" s="1858"/>
      <c r="P505" s="1858"/>
      <c r="Q505" s="1858"/>
      <c r="R505" s="1858"/>
      <c r="S505" s="1858"/>
      <c r="T505" s="1858"/>
      <c r="U505" s="1896"/>
    </row>
    <row r="506" spans="1:21" x14ac:dyDescent="0.25">
      <c r="A506" s="1478"/>
      <c r="B506" s="1191" t="s">
        <v>1068</v>
      </c>
      <c r="C506" s="1192"/>
      <c r="D506" s="1193" t="s">
        <v>456</v>
      </c>
      <c r="E506" s="1193" t="s">
        <v>495</v>
      </c>
      <c r="F506" s="1193" t="s">
        <v>152</v>
      </c>
      <c r="G506" s="1663" t="s">
        <v>1064</v>
      </c>
      <c r="H506" s="1896">
        <f t="shared" ref="H506:U506" si="127">H507</f>
        <v>1</v>
      </c>
      <c r="I506" s="852">
        <f t="shared" si="127"/>
        <v>0</v>
      </c>
      <c r="J506" s="1897">
        <f t="shared" si="127"/>
        <v>0</v>
      </c>
      <c r="K506" s="1859">
        <f t="shared" si="127"/>
        <v>5</v>
      </c>
      <c r="L506" s="1858">
        <f t="shared" si="127"/>
        <v>0</v>
      </c>
      <c r="M506" s="1858">
        <f t="shared" si="127"/>
        <v>0</v>
      </c>
      <c r="N506" s="1898">
        <f t="shared" si="127"/>
        <v>1</v>
      </c>
      <c r="O506" s="1858">
        <f t="shared" si="127"/>
        <v>0</v>
      </c>
      <c r="P506" s="1858">
        <f t="shared" si="127"/>
        <v>0</v>
      </c>
      <c r="Q506" s="1858">
        <f t="shared" si="127"/>
        <v>0</v>
      </c>
      <c r="R506" s="1858">
        <f t="shared" si="127"/>
        <v>0</v>
      </c>
      <c r="S506" s="1858">
        <f t="shared" si="127"/>
        <v>0</v>
      </c>
      <c r="T506" s="1858">
        <f t="shared" si="127"/>
        <v>0</v>
      </c>
      <c r="U506" s="1896">
        <f t="shared" si="127"/>
        <v>1</v>
      </c>
    </row>
    <row r="507" spans="1:21" ht="13" thickBot="1" x14ac:dyDescent="0.3">
      <c r="A507" s="26"/>
      <c r="B507" s="1259" t="s">
        <v>457</v>
      </c>
      <c r="C507" s="1260"/>
      <c r="D507" s="1261" t="s">
        <v>456</v>
      </c>
      <c r="E507" s="1261" t="s">
        <v>495</v>
      </c>
      <c r="F507" s="1261" t="s">
        <v>152</v>
      </c>
      <c r="G507" s="1672" t="s">
        <v>91</v>
      </c>
      <c r="H507" s="1899">
        <v>1</v>
      </c>
      <c r="I507" s="1900"/>
      <c r="J507" s="1901"/>
      <c r="K507" s="1902">
        <v>5</v>
      </c>
      <c r="L507" s="1903"/>
      <c r="M507" s="1903"/>
      <c r="N507" s="1904">
        <v>1</v>
      </c>
      <c r="O507" s="1903"/>
      <c r="P507" s="1903"/>
      <c r="Q507" s="1903"/>
      <c r="R507" s="1903"/>
      <c r="S507" s="1903"/>
      <c r="T507" s="1903"/>
      <c r="U507" s="1899">
        <v>1</v>
      </c>
    </row>
  </sheetData>
  <mergeCells count="5">
    <mergeCell ref="H5:U5"/>
    <mergeCell ref="B12:H12"/>
    <mergeCell ref="A13:U13"/>
    <mergeCell ref="A14:U14"/>
    <mergeCell ref="A15:U15"/>
  </mergeCells>
  <pageMargins left="0.72" right="0.22" top="0.31" bottom="0.33" header="0.31" footer="0.17"/>
  <pageSetup paperSize="9" scale="50" firstPageNumber="55" fitToHeight="3" orientation="portrait" useFirstPageNumber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17"/>
  <sheetViews>
    <sheetView topLeftCell="A12" zoomScale="75" zoomScaleNormal="75" workbookViewId="0">
      <selection activeCell="K30" sqref="K30:S31"/>
    </sheetView>
  </sheetViews>
  <sheetFormatPr defaultColWidth="9.1796875" defaultRowHeight="15.5" x14ac:dyDescent="0.35"/>
  <cols>
    <col min="1" max="2" width="9.1796875" style="547" customWidth="1"/>
    <col min="3" max="3" width="15.54296875" style="547" customWidth="1"/>
    <col min="4" max="5" width="9.1796875" style="547" customWidth="1"/>
    <col min="6" max="6" width="19" style="547" customWidth="1"/>
    <col min="7" max="7" width="15.453125" style="547" customWidth="1"/>
    <col min="8" max="8" width="18.26953125" style="547" customWidth="1"/>
    <col min="9" max="9" width="9.1796875" style="547" customWidth="1"/>
    <col min="10" max="10" width="26.453125" style="547" customWidth="1"/>
    <col min="11" max="11" width="9.1796875" style="547" customWidth="1"/>
    <col min="12" max="12" width="11.7265625" style="547" customWidth="1"/>
    <col min="13" max="16" width="17.453125" style="548" hidden="1" customWidth="1"/>
    <col min="17" max="17" width="18.26953125" style="549" hidden="1" customWidth="1"/>
    <col min="18" max="18" width="9.1796875" style="547" customWidth="1"/>
    <col min="19" max="19" width="13" style="547" customWidth="1"/>
    <col min="20" max="20" width="9.1796875" style="547" hidden="1" customWidth="1"/>
    <col min="21" max="256" width="9.1796875" style="547"/>
    <col min="257" max="258" width="9.1796875" style="547" customWidth="1"/>
    <col min="259" max="259" width="15.54296875" style="547" customWidth="1"/>
    <col min="260" max="261" width="9.1796875" style="547" customWidth="1"/>
    <col min="262" max="262" width="19" style="547" customWidth="1"/>
    <col min="263" max="263" width="15.453125" style="547" customWidth="1"/>
    <col min="264" max="264" width="18.26953125" style="547" customWidth="1"/>
    <col min="265" max="265" width="9.1796875" style="547" customWidth="1"/>
    <col min="266" max="266" width="26.453125" style="547" customWidth="1"/>
    <col min="267" max="267" width="9.1796875" style="547" customWidth="1"/>
    <col min="268" max="268" width="11.7265625" style="547" customWidth="1"/>
    <col min="269" max="273" width="0" style="547" hidden="1" customWidth="1"/>
    <col min="274" max="274" width="9.1796875" style="547" customWidth="1"/>
    <col min="275" max="275" width="13" style="547" customWidth="1"/>
    <col min="276" max="276" width="0" style="547" hidden="1" customWidth="1"/>
    <col min="277" max="512" width="9.1796875" style="547"/>
    <col min="513" max="514" width="9.1796875" style="547" customWidth="1"/>
    <col min="515" max="515" width="15.54296875" style="547" customWidth="1"/>
    <col min="516" max="517" width="9.1796875" style="547" customWidth="1"/>
    <col min="518" max="518" width="19" style="547" customWidth="1"/>
    <col min="519" max="519" width="15.453125" style="547" customWidth="1"/>
    <col min="520" max="520" width="18.26953125" style="547" customWidth="1"/>
    <col min="521" max="521" width="9.1796875" style="547" customWidth="1"/>
    <col min="522" max="522" width="26.453125" style="547" customWidth="1"/>
    <col min="523" max="523" width="9.1796875" style="547" customWidth="1"/>
    <col min="524" max="524" width="11.7265625" style="547" customWidth="1"/>
    <col min="525" max="529" width="0" style="547" hidden="1" customWidth="1"/>
    <col min="530" max="530" width="9.1796875" style="547" customWidth="1"/>
    <col min="531" max="531" width="13" style="547" customWidth="1"/>
    <col min="532" max="532" width="0" style="547" hidden="1" customWidth="1"/>
    <col min="533" max="768" width="9.1796875" style="547"/>
    <col min="769" max="770" width="9.1796875" style="547" customWidth="1"/>
    <col min="771" max="771" width="15.54296875" style="547" customWidth="1"/>
    <col min="772" max="773" width="9.1796875" style="547" customWidth="1"/>
    <col min="774" max="774" width="19" style="547" customWidth="1"/>
    <col min="775" max="775" width="15.453125" style="547" customWidth="1"/>
    <col min="776" max="776" width="18.26953125" style="547" customWidth="1"/>
    <col min="777" max="777" width="9.1796875" style="547" customWidth="1"/>
    <col min="778" max="778" width="26.453125" style="547" customWidth="1"/>
    <col min="779" max="779" width="9.1796875" style="547" customWidth="1"/>
    <col min="780" max="780" width="11.7265625" style="547" customWidth="1"/>
    <col min="781" max="785" width="0" style="547" hidden="1" customWidth="1"/>
    <col min="786" max="786" width="9.1796875" style="547" customWidth="1"/>
    <col min="787" max="787" width="13" style="547" customWidth="1"/>
    <col min="788" max="788" width="0" style="547" hidden="1" customWidth="1"/>
    <col min="789" max="1024" width="9.1796875" style="547"/>
    <col min="1025" max="1026" width="9.1796875" style="547" customWidth="1"/>
    <col min="1027" max="1027" width="15.54296875" style="547" customWidth="1"/>
    <col min="1028" max="1029" width="9.1796875" style="547" customWidth="1"/>
    <col min="1030" max="1030" width="19" style="547" customWidth="1"/>
    <col min="1031" max="1031" width="15.453125" style="547" customWidth="1"/>
    <col min="1032" max="1032" width="18.26953125" style="547" customWidth="1"/>
    <col min="1033" max="1033" width="9.1796875" style="547" customWidth="1"/>
    <col min="1034" max="1034" width="26.453125" style="547" customWidth="1"/>
    <col min="1035" max="1035" width="9.1796875" style="547" customWidth="1"/>
    <col min="1036" max="1036" width="11.7265625" style="547" customWidth="1"/>
    <col min="1037" max="1041" width="0" style="547" hidden="1" customWidth="1"/>
    <col min="1042" max="1042" width="9.1796875" style="547" customWidth="1"/>
    <col min="1043" max="1043" width="13" style="547" customWidth="1"/>
    <col min="1044" max="1044" width="0" style="547" hidden="1" customWidth="1"/>
    <col min="1045" max="1280" width="9.1796875" style="547"/>
    <col min="1281" max="1282" width="9.1796875" style="547" customWidth="1"/>
    <col min="1283" max="1283" width="15.54296875" style="547" customWidth="1"/>
    <col min="1284" max="1285" width="9.1796875" style="547" customWidth="1"/>
    <col min="1286" max="1286" width="19" style="547" customWidth="1"/>
    <col min="1287" max="1287" width="15.453125" style="547" customWidth="1"/>
    <col min="1288" max="1288" width="18.26953125" style="547" customWidth="1"/>
    <col min="1289" max="1289" width="9.1796875" style="547" customWidth="1"/>
    <col min="1290" max="1290" width="26.453125" style="547" customWidth="1"/>
    <col min="1291" max="1291" width="9.1796875" style="547" customWidth="1"/>
    <col min="1292" max="1292" width="11.7265625" style="547" customWidth="1"/>
    <col min="1293" max="1297" width="0" style="547" hidden="1" customWidth="1"/>
    <col min="1298" max="1298" width="9.1796875" style="547" customWidth="1"/>
    <col min="1299" max="1299" width="13" style="547" customWidth="1"/>
    <col min="1300" max="1300" width="0" style="547" hidden="1" customWidth="1"/>
    <col min="1301" max="1536" width="9.1796875" style="547"/>
    <col min="1537" max="1538" width="9.1796875" style="547" customWidth="1"/>
    <col min="1539" max="1539" width="15.54296875" style="547" customWidth="1"/>
    <col min="1540" max="1541" width="9.1796875" style="547" customWidth="1"/>
    <col min="1542" max="1542" width="19" style="547" customWidth="1"/>
    <col min="1543" max="1543" width="15.453125" style="547" customWidth="1"/>
    <col min="1544" max="1544" width="18.26953125" style="547" customWidth="1"/>
    <col min="1545" max="1545" width="9.1796875" style="547" customWidth="1"/>
    <col min="1546" max="1546" width="26.453125" style="547" customWidth="1"/>
    <col min="1547" max="1547" width="9.1796875" style="547" customWidth="1"/>
    <col min="1548" max="1548" width="11.7265625" style="547" customWidth="1"/>
    <col min="1549" max="1553" width="0" style="547" hidden="1" customWidth="1"/>
    <col min="1554" max="1554" width="9.1796875" style="547" customWidth="1"/>
    <col min="1555" max="1555" width="13" style="547" customWidth="1"/>
    <col min="1556" max="1556" width="0" style="547" hidden="1" customWidth="1"/>
    <col min="1557" max="1792" width="9.1796875" style="547"/>
    <col min="1793" max="1794" width="9.1796875" style="547" customWidth="1"/>
    <col min="1795" max="1795" width="15.54296875" style="547" customWidth="1"/>
    <col min="1796" max="1797" width="9.1796875" style="547" customWidth="1"/>
    <col min="1798" max="1798" width="19" style="547" customWidth="1"/>
    <col min="1799" max="1799" width="15.453125" style="547" customWidth="1"/>
    <col min="1800" max="1800" width="18.26953125" style="547" customWidth="1"/>
    <col min="1801" max="1801" width="9.1796875" style="547" customWidth="1"/>
    <col min="1802" max="1802" width="26.453125" style="547" customWidth="1"/>
    <col min="1803" max="1803" width="9.1796875" style="547" customWidth="1"/>
    <col min="1804" max="1804" width="11.7265625" style="547" customWidth="1"/>
    <col min="1805" max="1809" width="0" style="547" hidden="1" customWidth="1"/>
    <col min="1810" max="1810" width="9.1796875" style="547" customWidth="1"/>
    <col min="1811" max="1811" width="13" style="547" customWidth="1"/>
    <col min="1812" max="1812" width="0" style="547" hidden="1" customWidth="1"/>
    <col min="1813" max="2048" width="9.1796875" style="547"/>
    <col min="2049" max="2050" width="9.1796875" style="547" customWidth="1"/>
    <col min="2051" max="2051" width="15.54296875" style="547" customWidth="1"/>
    <col min="2052" max="2053" width="9.1796875" style="547" customWidth="1"/>
    <col min="2054" max="2054" width="19" style="547" customWidth="1"/>
    <col min="2055" max="2055" width="15.453125" style="547" customWidth="1"/>
    <col min="2056" max="2056" width="18.26953125" style="547" customWidth="1"/>
    <col min="2057" max="2057" width="9.1796875" style="547" customWidth="1"/>
    <col min="2058" max="2058" width="26.453125" style="547" customWidth="1"/>
    <col min="2059" max="2059" width="9.1796875" style="547" customWidth="1"/>
    <col min="2060" max="2060" width="11.7265625" style="547" customWidth="1"/>
    <col min="2061" max="2065" width="0" style="547" hidden="1" customWidth="1"/>
    <col min="2066" max="2066" width="9.1796875" style="547" customWidth="1"/>
    <col min="2067" max="2067" width="13" style="547" customWidth="1"/>
    <col min="2068" max="2068" width="0" style="547" hidden="1" customWidth="1"/>
    <col min="2069" max="2304" width="9.1796875" style="547"/>
    <col min="2305" max="2306" width="9.1796875" style="547" customWidth="1"/>
    <col min="2307" max="2307" width="15.54296875" style="547" customWidth="1"/>
    <col min="2308" max="2309" width="9.1796875" style="547" customWidth="1"/>
    <col min="2310" max="2310" width="19" style="547" customWidth="1"/>
    <col min="2311" max="2311" width="15.453125" style="547" customWidth="1"/>
    <col min="2312" max="2312" width="18.26953125" style="547" customWidth="1"/>
    <col min="2313" max="2313" width="9.1796875" style="547" customWidth="1"/>
    <col min="2314" max="2314" width="26.453125" style="547" customWidth="1"/>
    <col min="2315" max="2315" width="9.1796875" style="547" customWidth="1"/>
    <col min="2316" max="2316" width="11.7265625" style="547" customWidth="1"/>
    <col min="2317" max="2321" width="0" style="547" hidden="1" customWidth="1"/>
    <col min="2322" max="2322" width="9.1796875" style="547" customWidth="1"/>
    <col min="2323" max="2323" width="13" style="547" customWidth="1"/>
    <col min="2324" max="2324" width="0" style="547" hidden="1" customWidth="1"/>
    <col min="2325" max="2560" width="9.1796875" style="547"/>
    <col min="2561" max="2562" width="9.1796875" style="547" customWidth="1"/>
    <col min="2563" max="2563" width="15.54296875" style="547" customWidth="1"/>
    <col min="2564" max="2565" width="9.1796875" style="547" customWidth="1"/>
    <col min="2566" max="2566" width="19" style="547" customWidth="1"/>
    <col min="2567" max="2567" width="15.453125" style="547" customWidth="1"/>
    <col min="2568" max="2568" width="18.26953125" style="547" customWidth="1"/>
    <col min="2569" max="2569" width="9.1796875" style="547" customWidth="1"/>
    <col min="2570" max="2570" width="26.453125" style="547" customWidth="1"/>
    <col min="2571" max="2571" width="9.1796875" style="547" customWidth="1"/>
    <col min="2572" max="2572" width="11.7265625" style="547" customWidth="1"/>
    <col min="2573" max="2577" width="0" style="547" hidden="1" customWidth="1"/>
    <col min="2578" max="2578" width="9.1796875" style="547" customWidth="1"/>
    <col min="2579" max="2579" width="13" style="547" customWidth="1"/>
    <col min="2580" max="2580" width="0" style="547" hidden="1" customWidth="1"/>
    <col min="2581" max="2816" width="9.1796875" style="547"/>
    <col min="2817" max="2818" width="9.1796875" style="547" customWidth="1"/>
    <col min="2819" max="2819" width="15.54296875" style="547" customWidth="1"/>
    <col min="2820" max="2821" width="9.1796875" style="547" customWidth="1"/>
    <col min="2822" max="2822" width="19" style="547" customWidth="1"/>
    <col min="2823" max="2823" width="15.453125" style="547" customWidth="1"/>
    <col min="2824" max="2824" width="18.26953125" style="547" customWidth="1"/>
    <col min="2825" max="2825" width="9.1796875" style="547" customWidth="1"/>
    <col min="2826" max="2826" width="26.453125" style="547" customWidth="1"/>
    <col min="2827" max="2827" width="9.1796875" style="547" customWidth="1"/>
    <col min="2828" max="2828" width="11.7265625" style="547" customWidth="1"/>
    <col min="2829" max="2833" width="0" style="547" hidden="1" customWidth="1"/>
    <col min="2834" max="2834" width="9.1796875" style="547" customWidth="1"/>
    <col min="2835" max="2835" width="13" style="547" customWidth="1"/>
    <col min="2836" max="2836" width="0" style="547" hidden="1" customWidth="1"/>
    <col min="2837" max="3072" width="9.1796875" style="547"/>
    <col min="3073" max="3074" width="9.1796875" style="547" customWidth="1"/>
    <col min="3075" max="3075" width="15.54296875" style="547" customWidth="1"/>
    <col min="3076" max="3077" width="9.1796875" style="547" customWidth="1"/>
    <col min="3078" max="3078" width="19" style="547" customWidth="1"/>
    <col min="3079" max="3079" width="15.453125" style="547" customWidth="1"/>
    <col min="3080" max="3080" width="18.26953125" style="547" customWidth="1"/>
    <col min="3081" max="3081" width="9.1796875" style="547" customWidth="1"/>
    <col min="3082" max="3082" width="26.453125" style="547" customWidth="1"/>
    <col min="3083" max="3083" width="9.1796875" style="547" customWidth="1"/>
    <col min="3084" max="3084" width="11.7265625" style="547" customWidth="1"/>
    <col min="3085" max="3089" width="0" style="547" hidden="1" customWidth="1"/>
    <col min="3090" max="3090" width="9.1796875" style="547" customWidth="1"/>
    <col min="3091" max="3091" width="13" style="547" customWidth="1"/>
    <col min="3092" max="3092" width="0" style="547" hidden="1" customWidth="1"/>
    <col min="3093" max="3328" width="9.1796875" style="547"/>
    <col min="3329" max="3330" width="9.1796875" style="547" customWidth="1"/>
    <col min="3331" max="3331" width="15.54296875" style="547" customWidth="1"/>
    <col min="3332" max="3333" width="9.1796875" style="547" customWidth="1"/>
    <col min="3334" max="3334" width="19" style="547" customWidth="1"/>
    <col min="3335" max="3335" width="15.453125" style="547" customWidth="1"/>
    <col min="3336" max="3336" width="18.26953125" style="547" customWidth="1"/>
    <col min="3337" max="3337" width="9.1796875" style="547" customWidth="1"/>
    <col min="3338" max="3338" width="26.453125" style="547" customWidth="1"/>
    <col min="3339" max="3339" width="9.1796875" style="547" customWidth="1"/>
    <col min="3340" max="3340" width="11.7265625" style="547" customWidth="1"/>
    <col min="3341" max="3345" width="0" style="547" hidden="1" customWidth="1"/>
    <col min="3346" max="3346" width="9.1796875" style="547" customWidth="1"/>
    <col min="3347" max="3347" width="13" style="547" customWidth="1"/>
    <col min="3348" max="3348" width="0" style="547" hidden="1" customWidth="1"/>
    <col min="3349" max="3584" width="9.1796875" style="547"/>
    <col min="3585" max="3586" width="9.1796875" style="547" customWidth="1"/>
    <col min="3587" max="3587" width="15.54296875" style="547" customWidth="1"/>
    <col min="3588" max="3589" width="9.1796875" style="547" customWidth="1"/>
    <col min="3590" max="3590" width="19" style="547" customWidth="1"/>
    <col min="3591" max="3591" width="15.453125" style="547" customWidth="1"/>
    <col min="3592" max="3592" width="18.26953125" style="547" customWidth="1"/>
    <col min="3593" max="3593" width="9.1796875" style="547" customWidth="1"/>
    <col min="3594" max="3594" width="26.453125" style="547" customWidth="1"/>
    <col min="3595" max="3595" width="9.1796875" style="547" customWidth="1"/>
    <col min="3596" max="3596" width="11.7265625" style="547" customWidth="1"/>
    <col min="3597" max="3601" width="0" style="547" hidden="1" customWidth="1"/>
    <col min="3602" max="3602" width="9.1796875" style="547" customWidth="1"/>
    <col min="3603" max="3603" width="13" style="547" customWidth="1"/>
    <col min="3604" max="3604" width="0" style="547" hidden="1" customWidth="1"/>
    <col min="3605" max="3840" width="9.1796875" style="547"/>
    <col min="3841" max="3842" width="9.1796875" style="547" customWidth="1"/>
    <col min="3843" max="3843" width="15.54296875" style="547" customWidth="1"/>
    <col min="3844" max="3845" width="9.1796875" style="547" customWidth="1"/>
    <col min="3846" max="3846" width="19" style="547" customWidth="1"/>
    <col min="3847" max="3847" width="15.453125" style="547" customWidth="1"/>
    <col min="3848" max="3848" width="18.26953125" style="547" customWidth="1"/>
    <col min="3849" max="3849" width="9.1796875" style="547" customWidth="1"/>
    <col min="3850" max="3850" width="26.453125" style="547" customWidth="1"/>
    <col min="3851" max="3851" width="9.1796875" style="547" customWidth="1"/>
    <col min="3852" max="3852" width="11.7265625" style="547" customWidth="1"/>
    <col min="3853" max="3857" width="0" style="547" hidden="1" customWidth="1"/>
    <col min="3858" max="3858" width="9.1796875" style="547" customWidth="1"/>
    <col min="3859" max="3859" width="13" style="547" customWidth="1"/>
    <col min="3860" max="3860" width="0" style="547" hidden="1" customWidth="1"/>
    <col min="3861" max="4096" width="9.1796875" style="547"/>
    <col min="4097" max="4098" width="9.1796875" style="547" customWidth="1"/>
    <col min="4099" max="4099" width="15.54296875" style="547" customWidth="1"/>
    <col min="4100" max="4101" width="9.1796875" style="547" customWidth="1"/>
    <col min="4102" max="4102" width="19" style="547" customWidth="1"/>
    <col min="4103" max="4103" width="15.453125" style="547" customWidth="1"/>
    <col min="4104" max="4104" width="18.26953125" style="547" customWidth="1"/>
    <col min="4105" max="4105" width="9.1796875" style="547" customWidth="1"/>
    <col min="4106" max="4106" width="26.453125" style="547" customWidth="1"/>
    <col min="4107" max="4107" width="9.1796875" style="547" customWidth="1"/>
    <col min="4108" max="4108" width="11.7265625" style="547" customWidth="1"/>
    <col min="4109" max="4113" width="0" style="547" hidden="1" customWidth="1"/>
    <col min="4114" max="4114" width="9.1796875" style="547" customWidth="1"/>
    <col min="4115" max="4115" width="13" style="547" customWidth="1"/>
    <col min="4116" max="4116" width="0" style="547" hidden="1" customWidth="1"/>
    <col min="4117" max="4352" width="9.1796875" style="547"/>
    <col min="4353" max="4354" width="9.1796875" style="547" customWidth="1"/>
    <col min="4355" max="4355" width="15.54296875" style="547" customWidth="1"/>
    <col min="4356" max="4357" width="9.1796875" style="547" customWidth="1"/>
    <col min="4358" max="4358" width="19" style="547" customWidth="1"/>
    <col min="4359" max="4359" width="15.453125" style="547" customWidth="1"/>
    <col min="4360" max="4360" width="18.26953125" style="547" customWidth="1"/>
    <col min="4361" max="4361" width="9.1796875" style="547" customWidth="1"/>
    <col min="4362" max="4362" width="26.453125" style="547" customWidth="1"/>
    <col min="4363" max="4363" width="9.1796875" style="547" customWidth="1"/>
    <col min="4364" max="4364" width="11.7265625" style="547" customWidth="1"/>
    <col min="4365" max="4369" width="0" style="547" hidden="1" customWidth="1"/>
    <col min="4370" max="4370" width="9.1796875" style="547" customWidth="1"/>
    <col min="4371" max="4371" width="13" style="547" customWidth="1"/>
    <col min="4372" max="4372" width="0" style="547" hidden="1" customWidth="1"/>
    <col min="4373" max="4608" width="9.1796875" style="547"/>
    <col min="4609" max="4610" width="9.1796875" style="547" customWidth="1"/>
    <col min="4611" max="4611" width="15.54296875" style="547" customWidth="1"/>
    <col min="4612" max="4613" width="9.1796875" style="547" customWidth="1"/>
    <col min="4614" max="4614" width="19" style="547" customWidth="1"/>
    <col min="4615" max="4615" width="15.453125" style="547" customWidth="1"/>
    <col min="4616" max="4616" width="18.26953125" style="547" customWidth="1"/>
    <col min="4617" max="4617" width="9.1796875" style="547" customWidth="1"/>
    <col min="4618" max="4618" width="26.453125" style="547" customWidth="1"/>
    <col min="4619" max="4619" width="9.1796875" style="547" customWidth="1"/>
    <col min="4620" max="4620" width="11.7265625" style="547" customWidth="1"/>
    <col min="4621" max="4625" width="0" style="547" hidden="1" customWidth="1"/>
    <col min="4626" max="4626" width="9.1796875" style="547" customWidth="1"/>
    <col min="4627" max="4627" width="13" style="547" customWidth="1"/>
    <col min="4628" max="4628" width="0" style="547" hidden="1" customWidth="1"/>
    <col min="4629" max="4864" width="9.1796875" style="547"/>
    <col min="4865" max="4866" width="9.1796875" style="547" customWidth="1"/>
    <col min="4867" max="4867" width="15.54296875" style="547" customWidth="1"/>
    <col min="4868" max="4869" width="9.1796875" style="547" customWidth="1"/>
    <col min="4870" max="4870" width="19" style="547" customWidth="1"/>
    <col min="4871" max="4871" width="15.453125" style="547" customWidth="1"/>
    <col min="4872" max="4872" width="18.26953125" style="547" customWidth="1"/>
    <col min="4873" max="4873" width="9.1796875" style="547" customWidth="1"/>
    <col min="4874" max="4874" width="26.453125" style="547" customWidth="1"/>
    <col min="4875" max="4875" width="9.1796875" style="547" customWidth="1"/>
    <col min="4876" max="4876" width="11.7265625" style="547" customWidth="1"/>
    <col min="4877" max="4881" width="0" style="547" hidden="1" customWidth="1"/>
    <col min="4882" max="4882" width="9.1796875" style="547" customWidth="1"/>
    <col min="4883" max="4883" width="13" style="547" customWidth="1"/>
    <col min="4884" max="4884" width="0" style="547" hidden="1" customWidth="1"/>
    <col min="4885" max="5120" width="9.1796875" style="547"/>
    <col min="5121" max="5122" width="9.1796875" style="547" customWidth="1"/>
    <col min="5123" max="5123" width="15.54296875" style="547" customWidth="1"/>
    <col min="5124" max="5125" width="9.1796875" style="547" customWidth="1"/>
    <col min="5126" max="5126" width="19" style="547" customWidth="1"/>
    <col min="5127" max="5127" width="15.453125" style="547" customWidth="1"/>
    <col min="5128" max="5128" width="18.26953125" style="547" customWidth="1"/>
    <col min="5129" max="5129" width="9.1796875" style="547" customWidth="1"/>
    <col min="5130" max="5130" width="26.453125" style="547" customWidth="1"/>
    <col min="5131" max="5131" width="9.1796875" style="547" customWidth="1"/>
    <col min="5132" max="5132" width="11.7265625" style="547" customWidth="1"/>
    <col min="5133" max="5137" width="0" style="547" hidden="1" customWidth="1"/>
    <col min="5138" max="5138" width="9.1796875" style="547" customWidth="1"/>
    <col min="5139" max="5139" width="13" style="547" customWidth="1"/>
    <col min="5140" max="5140" width="0" style="547" hidden="1" customWidth="1"/>
    <col min="5141" max="5376" width="9.1796875" style="547"/>
    <col min="5377" max="5378" width="9.1796875" style="547" customWidth="1"/>
    <col min="5379" max="5379" width="15.54296875" style="547" customWidth="1"/>
    <col min="5380" max="5381" width="9.1796875" style="547" customWidth="1"/>
    <col min="5382" max="5382" width="19" style="547" customWidth="1"/>
    <col min="5383" max="5383" width="15.453125" style="547" customWidth="1"/>
    <col min="5384" max="5384" width="18.26953125" style="547" customWidth="1"/>
    <col min="5385" max="5385" width="9.1796875" style="547" customWidth="1"/>
    <col min="5386" max="5386" width="26.453125" style="547" customWidth="1"/>
    <col min="5387" max="5387" width="9.1796875" style="547" customWidth="1"/>
    <col min="5388" max="5388" width="11.7265625" style="547" customWidth="1"/>
    <col min="5389" max="5393" width="0" style="547" hidden="1" customWidth="1"/>
    <col min="5394" max="5394" width="9.1796875" style="547" customWidth="1"/>
    <col min="5395" max="5395" width="13" style="547" customWidth="1"/>
    <col min="5396" max="5396" width="0" style="547" hidden="1" customWidth="1"/>
    <col min="5397" max="5632" width="9.1796875" style="547"/>
    <col min="5633" max="5634" width="9.1796875" style="547" customWidth="1"/>
    <col min="5635" max="5635" width="15.54296875" style="547" customWidth="1"/>
    <col min="5636" max="5637" width="9.1796875" style="547" customWidth="1"/>
    <col min="5638" max="5638" width="19" style="547" customWidth="1"/>
    <col min="5639" max="5639" width="15.453125" style="547" customWidth="1"/>
    <col min="5640" max="5640" width="18.26953125" style="547" customWidth="1"/>
    <col min="5641" max="5641" width="9.1796875" style="547" customWidth="1"/>
    <col min="5642" max="5642" width="26.453125" style="547" customWidth="1"/>
    <col min="5643" max="5643" width="9.1796875" style="547" customWidth="1"/>
    <col min="5644" max="5644" width="11.7265625" style="547" customWidth="1"/>
    <col min="5645" max="5649" width="0" style="547" hidden="1" customWidth="1"/>
    <col min="5650" max="5650" width="9.1796875" style="547" customWidth="1"/>
    <col min="5651" max="5651" width="13" style="547" customWidth="1"/>
    <col min="5652" max="5652" width="0" style="547" hidden="1" customWidth="1"/>
    <col min="5653" max="5888" width="9.1796875" style="547"/>
    <col min="5889" max="5890" width="9.1796875" style="547" customWidth="1"/>
    <col min="5891" max="5891" width="15.54296875" style="547" customWidth="1"/>
    <col min="5892" max="5893" width="9.1796875" style="547" customWidth="1"/>
    <col min="5894" max="5894" width="19" style="547" customWidth="1"/>
    <col min="5895" max="5895" width="15.453125" style="547" customWidth="1"/>
    <col min="5896" max="5896" width="18.26953125" style="547" customWidth="1"/>
    <col min="5897" max="5897" width="9.1796875" style="547" customWidth="1"/>
    <col min="5898" max="5898" width="26.453125" style="547" customWidth="1"/>
    <col min="5899" max="5899" width="9.1796875" style="547" customWidth="1"/>
    <col min="5900" max="5900" width="11.7265625" style="547" customWidth="1"/>
    <col min="5901" max="5905" width="0" style="547" hidden="1" customWidth="1"/>
    <col min="5906" max="5906" width="9.1796875" style="547" customWidth="1"/>
    <col min="5907" max="5907" width="13" style="547" customWidth="1"/>
    <col min="5908" max="5908" width="0" style="547" hidden="1" customWidth="1"/>
    <col min="5909" max="6144" width="9.1796875" style="547"/>
    <col min="6145" max="6146" width="9.1796875" style="547" customWidth="1"/>
    <col min="6147" max="6147" width="15.54296875" style="547" customWidth="1"/>
    <col min="6148" max="6149" width="9.1796875" style="547" customWidth="1"/>
    <col min="6150" max="6150" width="19" style="547" customWidth="1"/>
    <col min="6151" max="6151" width="15.453125" style="547" customWidth="1"/>
    <col min="6152" max="6152" width="18.26953125" style="547" customWidth="1"/>
    <col min="6153" max="6153" width="9.1796875" style="547" customWidth="1"/>
    <col min="6154" max="6154" width="26.453125" style="547" customWidth="1"/>
    <col min="6155" max="6155" width="9.1796875" style="547" customWidth="1"/>
    <col min="6156" max="6156" width="11.7265625" style="547" customWidth="1"/>
    <col min="6157" max="6161" width="0" style="547" hidden="1" customWidth="1"/>
    <col min="6162" max="6162" width="9.1796875" style="547" customWidth="1"/>
    <col min="6163" max="6163" width="13" style="547" customWidth="1"/>
    <col min="6164" max="6164" width="0" style="547" hidden="1" customWidth="1"/>
    <col min="6165" max="6400" width="9.1796875" style="547"/>
    <col min="6401" max="6402" width="9.1796875" style="547" customWidth="1"/>
    <col min="6403" max="6403" width="15.54296875" style="547" customWidth="1"/>
    <col min="6404" max="6405" width="9.1796875" style="547" customWidth="1"/>
    <col min="6406" max="6406" width="19" style="547" customWidth="1"/>
    <col min="6407" max="6407" width="15.453125" style="547" customWidth="1"/>
    <col min="6408" max="6408" width="18.26953125" style="547" customWidth="1"/>
    <col min="6409" max="6409" width="9.1796875" style="547" customWidth="1"/>
    <col min="6410" max="6410" width="26.453125" style="547" customWidth="1"/>
    <col min="6411" max="6411" width="9.1796875" style="547" customWidth="1"/>
    <col min="6412" max="6412" width="11.7265625" style="547" customWidth="1"/>
    <col min="6413" max="6417" width="0" style="547" hidden="1" customWidth="1"/>
    <col min="6418" max="6418" width="9.1796875" style="547" customWidth="1"/>
    <col min="6419" max="6419" width="13" style="547" customWidth="1"/>
    <col min="6420" max="6420" width="0" style="547" hidden="1" customWidth="1"/>
    <col min="6421" max="6656" width="9.1796875" style="547"/>
    <col min="6657" max="6658" width="9.1796875" style="547" customWidth="1"/>
    <col min="6659" max="6659" width="15.54296875" style="547" customWidth="1"/>
    <col min="6660" max="6661" width="9.1796875" style="547" customWidth="1"/>
    <col min="6662" max="6662" width="19" style="547" customWidth="1"/>
    <col min="6663" max="6663" width="15.453125" style="547" customWidth="1"/>
    <col min="6664" max="6664" width="18.26953125" style="547" customWidth="1"/>
    <col min="6665" max="6665" width="9.1796875" style="547" customWidth="1"/>
    <col min="6666" max="6666" width="26.453125" style="547" customWidth="1"/>
    <col min="6667" max="6667" width="9.1796875" style="547" customWidth="1"/>
    <col min="6668" max="6668" width="11.7265625" style="547" customWidth="1"/>
    <col min="6669" max="6673" width="0" style="547" hidden="1" customWidth="1"/>
    <col min="6674" max="6674" width="9.1796875" style="547" customWidth="1"/>
    <col min="6675" max="6675" width="13" style="547" customWidth="1"/>
    <col min="6676" max="6676" width="0" style="547" hidden="1" customWidth="1"/>
    <col min="6677" max="6912" width="9.1796875" style="547"/>
    <col min="6913" max="6914" width="9.1796875" style="547" customWidth="1"/>
    <col min="6915" max="6915" width="15.54296875" style="547" customWidth="1"/>
    <col min="6916" max="6917" width="9.1796875" style="547" customWidth="1"/>
    <col min="6918" max="6918" width="19" style="547" customWidth="1"/>
    <col min="6919" max="6919" width="15.453125" style="547" customWidth="1"/>
    <col min="6920" max="6920" width="18.26953125" style="547" customWidth="1"/>
    <col min="6921" max="6921" width="9.1796875" style="547" customWidth="1"/>
    <col min="6922" max="6922" width="26.453125" style="547" customWidth="1"/>
    <col min="6923" max="6923" width="9.1796875" style="547" customWidth="1"/>
    <col min="6924" max="6924" width="11.7265625" style="547" customWidth="1"/>
    <col min="6925" max="6929" width="0" style="547" hidden="1" customWidth="1"/>
    <col min="6930" max="6930" width="9.1796875" style="547" customWidth="1"/>
    <col min="6931" max="6931" width="13" style="547" customWidth="1"/>
    <col min="6932" max="6932" width="0" style="547" hidden="1" customWidth="1"/>
    <col min="6933" max="7168" width="9.1796875" style="547"/>
    <col min="7169" max="7170" width="9.1796875" style="547" customWidth="1"/>
    <col min="7171" max="7171" width="15.54296875" style="547" customWidth="1"/>
    <col min="7172" max="7173" width="9.1796875" style="547" customWidth="1"/>
    <col min="7174" max="7174" width="19" style="547" customWidth="1"/>
    <col min="7175" max="7175" width="15.453125" style="547" customWidth="1"/>
    <col min="7176" max="7176" width="18.26953125" style="547" customWidth="1"/>
    <col min="7177" max="7177" width="9.1796875" style="547" customWidth="1"/>
    <col min="7178" max="7178" width="26.453125" style="547" customWidth="1"/>
    <col min="7179" max="7179" width="9.1796875" style="547" customWidth="1"/>
    <col min="7180" max="7180" width="11.7265625" style="547" customWidth="1"/>
    <col min="7181" max="7185" width="0" style="547" hidden="1" customWidth="1"/>
    <col min="7186" max="7186" width="9.1796875" style="547" customWidth="1"/>
    <col min="7187" max="7187" width="13" style="547" customWidth="1"/>
    <col min="7188" max="7188" width="0" style="547" hidden="1" customWidth="1"/>
    <col min="7189" max="7424" width="9.1796875" style="547"/>
    <col min="7425" max="7426" width="9.1796875" style="547" customWidth="1"/>
    <col min="7427" max="7427" width="15.54296875" style="547" customWidth="1"/>
    <col min="7428" max="7429" width="9.1796875" style="547" customWidth="1"/>
    <col min="7430" max="7430" width="19" style="547" customWidth="1"/>
    <col min="7431" max="7431" width="15.453125" style="547" customWidth="1"/>
    <col min="7432" max="7432" width="18.26953125" style="547" customWidth="1"/>
    <col min="7433" max="7433" width="9.1796875" style="547" customWidth="1"/>
    <col min="7434" max="7434" width="26.453125" style="547" customWidth="1"/>
    <col min="7435" max="7435" width="9.1796875" style="547" customWidth="1"/>
    <col min="7436" max="7436" width="11.7265625" style="547" customWidth="1"/>
    <col min="7437" max="7441" width="0" style="547" hidden="1" customWidth="1"/>
    <col min="7442" max="7442" width="9.1796875" style="547" customWidth="1"/>
    <col min="7443" max="7443" width="13" style="547" customWidth="1"/>
    <col min="7444" max="7444" width="0" style="547" hidden="1" customWidth="1"/>
    <col min="7445" max="7680" width="9.1796875" style="547"/>
    <col min="7681" max="7682" width="9.1796875" style="547" customWidth="1"/>
    <col min="7683" max="7683" width="15.54296875" style="547" customWidth="1"/>
    <col min="7684" max="7685" width="9.1796875" style="547" customWidth="1"/>
    <col min="7686" max="7686" width="19" style="547" customWidth="1"/>
    <col min="7687" max="7687" width="15.453125" style="547" customWidth="1"/>
    <col min="7688" max="7688" width="18.26953125" style="547" customWidth="1"/>
    <col min="7689" max="7689" width="9.1796875" style="547" customWidth="1"/>
    <col min="7690" max="7690" width="26.453125" style="547" customWidth="1"/>
    <col min="7691" max="7691" width="9.1796875" style="547" customWidth="1"/>
    <col min="7692" max="7692" width="11.7265625" style="547" customWidth="1"/>
    <col min="7693" max="7697" width="0" style="547" hidden="1" customWidth="1"/>
    <col min="7698" max="7698" width="9.1796875" style="547" customWidth="1"/>
    <col min="7699" max="7699" width="13" style="547" customWidth="1"/>
    <col min="7700" max="7700" width="0" style="547" hidden="1" customWidth="1"/>
    <col min="7701" max="7936" width="9.1796875" style="547"/>
    <col min="7937" max="7938" width="9.1796875" style="547" customWidth="1"/>
    <col min="7939" max="7939" width="15.54296875" style="547" customWidth="1"/>
    <col min="7940" max="7941" width="9.1796875" style="547" customWidth="1"/>
    <col min="7942" max="7942" width="19" style="547" customWidth="1"/>
    <col min="7943" max="7943" width="15.453125" style="547" customWidth="1"/>
    <col min="7944" max="7944" width="18.26953125" style="547" customWidth="1"/>
    <col min="7945" max="7945" width="9.1796875" style="547" customWidth="1"/>
    <col min="7946" max="7946" width="26.453125" style="547" customWidth="1"/>
    <col min="7947" max="7947" width="9.1796875" style="547" customWidth="1"/>
    <col min="7948" max="7948" width="11.7265625" style="547" customWidth="1"/>
    <col min="7949" max="7953" width="0" style="547" hidden="1" customWidth="1"/>
    <col min="7954" max="7954" width="9.1796875" style="547" customWidth="1"/>
    <col min="7955" max="7955" width="13" style="547" customWidth="1"/>
    <col min="7956" max="7956" width="0" style="547" hidden="1" customWidth="1"/>
    <col min="7957" max="8192" width="9.1796875" style="547"/>
    <col min="8193" max="8194" width="9.1796875" style="547" customWidth="1"/>
    <col min="8195" max="8195" width="15.54296875" style="547" customWidth="1"/>
    <col min="8196" max="8197" width="9.1796875" style="547" customWidth="1"/>
    <col min="8198" max="8198" width="19" style="547" customWidth="1"/>
    <col min="8199" max="8199" width="15.453125" style="547" customWidth="1"/>
    <col min="8200" max="8200" width="18.26953125" style="547" customWidth="1"/>
    <col min="8201" max="8201" width="9.1796875" style="547" customWidth="1"/>
    <col min="8202" max="8202" width="26.453125" style="547" customWidth="1"/>
    <col min="8203" max="8203" width="9.1796875" style="547" customWidth="1"/>
    <col min="8204" max="8204" width="11.7265625" style="547" customWidth="1"/>
    <col min="8205" max="8209" width="0" style="547" hidden="1" customWidth="1"/>
    <col min="8210" max="8210" width="9.1796875" style="547" customWidth="1"/>
    <col min="8211" max="8211" width="13" style="547" customWidth="1"/>
    <col min="8212" max="8212" width="0" style="547" hidden="1" customWidth="1"/>
    <col min="8213" max="8448" width="9.1796875" style="547"/>
    <col min="8449" max="8450" width="9.1796875" style="547" customWidth="1"/>
    <col min="8451" max="8451" width="15.54296875" style="547" customWidth="1"/>
    <col min="8452" max="8453" width="9.1796875" style="547" customWidth="1"/>
    <col min="8454" max="8454" width="19" style="547" customWidth="1"/>
    <col min="8455" max="8455" width="15.453125" style="547" customWidth="1"/>
    <col min="8456" max="8456" width="18.26953125" style="547" customWidth="1"/>
    <col min="8457" max="8457" width="9.1796875" style="547" customWidth="1"/>
    <col min="8458" max="8458" width="26.453125" style="547" customWidth="1"/>
    <col min="8459" max="8459" width="9.1796875" style="547" customWidth="1"/>
    <col min="8460" max="8460" width="11.7265625" style="547" customWidth="1"/>
    <col min="8461" max="8465" width="0" style="547" hidden="1" customWidth="1"/>
    <col min="8466" max="8466" width="9.1796875" style="547" customWidth="1"/>
    <col min="8467" max="8467" width="13" style="547" customWidth="1"/>
    <col min="8468" max="8468" width="0" style="547" hidden="1" customWidth="1"/>
    <col min="8469" max="8704" width="9.1796875" style="547"/>
    <col min="8705" max="8706" width="9.1796875" style="547" customWidth="1"/>
    <col min="8707" max="8707" width="15.54296875" style="547" customWidth="1"/>
    <col min="8708" max="8709" width="9.1796875" style="547" customWidth="1"/>
    <col min="8710" max="8710" width="19" style="547" customWidth="1"/>
    <col min="8711" max="8711" width="15.453125" style="547" customWidth="1"/>
    <col min="8712" max="8712" width="18.26953125" style="547" customWidth="1"/>
    <col min="8713" max="8713" width="9.1796875" style="547" customWidth="1"/>
    <col min="8714" max="8714" width="26.453125" style="547" customWidth="1"/>
    <col min="8715" max="8715" width="9.1796875" style="547" customWidth="1"/>
    <col min="8716" max="8716" width="11.7265625" style="547" customWidth="1"/>
    <col min="8717" max="8721" width="0" style="547" hidden="1" customWidth="1"/>
    <col min="8722" max="8722" width="9.1796875" style="547" customWidth="1"/>
    <col min="8723" max="8723" width="13" style="547" customWidth="1"/>
    <col min="8724" max="8724" width="0" style="547" hidden="1" customWidth="1"/>
    <col min="8725" max="8960" width="9.1796875" style="547"/>
    <col min="8961" max="8962" width="9.1796875" style="547" customWidth="1"/>
    <col min="8963" max="8963" width="15.54296875" style="547" customWidth="1"/>
    <col min="8964" max="8965" width="9.1796875" style="547" customWidth="1"/>
    <col min="8966" max="8966" width="19" style="547" customWidth="1"/>
    <col min="8967" max="8967" width="15.453125" style="547" customWidth="1"/>
    <col min="8968" max="8968" width="18.26953125" style="547" customWidth="1"/>
    <col min="8969" max="8969" width="9.1796875" style="547" customWidth="1"/>
    <col min="8970" max="8970" width="26.453125" style="547" customWidth="1"/>
    <col min="8971" max="8971" width="9.1796875" style="547" customWidth="1"/>
    <col min="8972" max="8972" width="11.7265625" style="547" customWidth="1"/>
    <col min="8973" max="8977" width="0" style="547" hidden="1" customWidth="1"/>
    <col min="8978" max="8978" width="9.1796875" style="547" customWidth="1"/>
    <col min="8979" max="8979" width="13" style="547" customWidth="1"/>
    <col min="8980" max="8980" width="0" style="547" hidden="1" customWidth="1"/>
    <col min="8981" max="9216" width="9.1796875" style="547"/>
    <col min="9217" max="9218" width="9.1796875" style="547" customWidth="1"/>
    <col min="9219" max="9219" width="15.54296875" style="547" customWidth="1"/>
    <col min="9220" max="9221" width="9.1796875" style="547" customWidth="1"/>
    <col min="9222" max="9222" width="19" style="547" customWidth="1"/>
    <col min="9223" max="9223" width="15.453125" style="547" customWidth="1"/>
    <col min="9224" max="9224" width="18.26953125" style="547" customWidth="1"/>
    <col min="9225" max="9225" width="9.1796875" style="547" customWidth="1"/>
    <col min="9226" max="9226" width="26.453125" style="547" customWidth="1"/>
    <col min="9227" max="9227" width="9.1796875" style="547" customWidth="1"/>
    <col min="9228" max="9228" width="11.7265625" style="547" customWidth="1"/>
    <col min="9229" max="9233" width="0" style="547" hidden="1" customWidth="1"/>
    <col min="9234" max="9234" width="9.1796875" style="547" customWidth="1"/>
    <col min="9235" max="9235" width="13" style="547" customWidth="1"/>
    <col min="9236" max="9236" width="0" style="547" hidden="1" customWidth="1"/>
    <col min="9237" max="9472" width="9.1796875" style="547"/>
    <col min="9473" max="9474" width="9.1796875" style="547" customWidth="1"/>
    <col min="9475" max="9475" width="15.54296875" style="547" customWidth="1"/>
    <col min="9476" max="9477" width="9.1796875" style="547" customWidth="1"/>
    <col min="9478" max="9478" width="19" style="547" customWidth="1"/>
    <col min="9479" max="9479" width="15.453125" style="547" customWidth="1"/>
    <col min="9480" max="9480" width="18.26953125" style="547" customWidth="1"/>
    <col min="9481" max="9481" width="9.1796875" style="547" customWidth="1"/>
    <col min="9482" max="9482" width="26.453125" style="547" customWidth="1"/>
    <col min="9483" max="9483" width="9.1796875" style="547" customWidth="1"/>
    <col min="9484" max="9484" width="11.7265625" style="547" customWidth="1"/>
    <col min="9485" max="9489" width="0" style="547" hidden="1" customWidth="1"/>
    <col min="9490" max="9490" width="9.1796875" style="547" customWidth="1"/>
    <col min="9491" max="9491" width="13" style="547" customWidth="1"/>
    <col min="9492" max="9492" width="0" style="547" hidden="1" customWidth="1"/>
    <col min="9493" max="9728" width="9.1796875" style="547"/>
    <col min="9729" max="9730" width="9.1796875" style="547" customWidth="1"/>
    <col min="9731" max="9731" width="15.54296875" style="547" customWidth="1"/>
    <col min="9732" max="9733" width="9.1796875" style="547" customWidth="1"/>
    <col min="9734" max="9734" width="19" style="547" customWidth="1"/>
    <col min="9735" max="9735" width="15.453125" style="547" customWidth="1"/>
    <col min="9736" max="9736" width="18.26953125" style="547" customWidth="1"/>
    <col min="9737" max="9737" width="9.1796875" style="547" customWidth="1"/>
    <col min="9738" max="9738" width="26.453125" style="547" customWidth="1"/>
    <col min="9739" max="9739" width="9.1796875" style="547" customWidth="1"/>
    <col min="9740" max="9740" width="11.7265625" style="547" customWidth="1"/>
    <col min="9741" max="9745" width="0" style="547" hidden="1" customWidth="1"/>
    <col min="9746" max="9746" width="9.1796875" style="547" customWidth="1"/>
    <col min="9747" max="9747" width="13" style="547" customWidth="1"/>
    <col min="9748" max="9748" width="0" style="547" hidden="1" customWidth="1"/>
    <col min="9749" max="9984" width="9.1796875" style="547"/>
    <col min="9985" max="9986" width="9.1796875" style="547" customWidth="1"/>
    <col min="9987" max="9987" width="15.54296875" style="547" customWidth="1"/>
    <col min="9988" max="9989" width="9.1796875" style="547" customWidth="1"/>
    <col min="9990" max="9990" width="19" style="547" customWidth="1"/>
    <col min="9991" max="9991" width="15.453125" style="547" customWidth="1"/>
    <col min="9992" max="9992" width="18.26953125" style="547" customWidth="1"/>
    <col min="9993" max="9993" width="9.1796875" style="547" customWidth="1"/>
    <col min="9994" max="9994" width="26.453125" style="547" customWidth="1"/>
    <col min="9995" max="9995" width="9.1796875" style="547" customWidth="1"/>
    <col min="9996" max="9996" width="11.7265625" style="547" customWidth="1"/>
    <col min="9997" max="10001" width="0" style="547" hidden="1" customWidth="1"/>
    <col min="10002" max="10002" width="9.1796875" style="547" customWidth="1"/>
    <col min="10003" max="10003" width="13" style="547" customWidth="1"/>
    <col min="10004" max="10004" width="0" style="547" hidden="1" customWidth="1"/>
    <col min="10005" max="10240" width="9.1796875" style="547"/>
    <col min="10241" max="10242" width="9.1796875" style="547" customWidth="1"/>
    <col min="10243" max="10243" width="15.54296875" style="547" customWidth="1"/>
    <col min="10244" max="10245" width="9.1796875" style="547" customWidth="1"/>
    <col min="10246" max="10246" width="19" style="547" customWidth="1"/>
    <col min="10247" max="10247" width="15.453125" style="547" customWidth="1"/>
    <col min="10248" max="10248" width="18.26953125" style="547" customWidth="1"/>
    <col min="10249" max="10249" width="9.1796875" style="547" customWidth="1"/>
    <col min="10250" max="10250" width="26.453125" style="547" customWidth="1"/>
    <col min="10251" max="10251" width="9.1796875" style="547" customWidth="1"/>
    <col min="10252" max="10252" width="11.7265625" style="547" customWidth="1"/>
    <col min="10253" max="10257" width="0" style="547" hidden="1" customWidth="1"/>
    <col min="10258" max="10258" width="9.1796875" style="547" customWidth="1"/>
    <col min="10259" max="10259" width="13" style="547" customWidth="1"/>
    <col min="10260" max="10260" width="0" style="547" hidden="1" customWidth="1"/>
    <col min="10261" max="10496" width="9.1796875" style="547"/>
    <col min="10497" max="10498" width="9.1796875" style="547" customWidth="1"/>
    <col min="10499" max="10499" width="15.54296875" style="547" customWidth="1"/>
    <col min="10500" max="10501" width="9.1796875" style="547" customWidth="1"/>
    <col min="10502" max="10502" width="19" style="547" customWidth="1"/>
    <col min="10503" max="10503" width="15.453125" style="547" customWidth="1"/>
    <col min="10504" max="10504" width="18.26953125" style="547" customWidth="1"/>
    <col min="10505" max="10505" width="9.1796875" style="547" customWidth="1"/>
    <col min="10506" max="10506" width="26.453125" style="547" customWidth="1"/>
    <col min="10507" max="10507" width="9.1796875" style="547" customWidth="1"/>
    <col min="10508" max="10508" width="11.7265625" style="547" customWidth="1"/>
    <col min="10509" max="10513" width="0" style="547" hidden="1" customWidth="1"/>
    <col min="10514" max="10514" width="9.1796875" style="547" customWidth="1"/>
    <col min="10515" max="10515" width="13" style="547" customWidth="1"/>
    <col min="10516" max="10516" width="0" style="547" hidden="1" customWidth="1"/>
    <col min="10517" max="10752" width="9.1796875" style="547"/>
    <col min="10753" max="10754" width="9.1796875" style="547" customWidth="1"/>
    <col min="10755" max="10755" width="15.54296875" style="547" customWidth="1"/>
    <col min="10756" max="10757" width="9.1796875" style="547" customWidth="1"/>
    <col min="10758" max="10758" width="19" style="547" customWidth="1"/>
    <col min="10759" max="10759" width="15.453125" style="547" customWidth="1"/>
    <col min="10760" max="10760" width="18.26953125" style="547" customWidth="1"/>
    <col min="10761" max="10761" width="9.1796875" style="547" customWidth="1"/>
    <col min="10762" max="10762" width="26.453125" style="547" customWidth="1"/>
    <col min="10763" max="10763" width="9.1796875" style="547" customWidth="1"/>
    <col min="10764" max="10764" width="11.7265625" style="547" customWidth="1"/>
    <col min="10765" max="10769" width="0" style="547" hidden="1" customWidth="1"/>
    <col min="10770" max="10770" width="9.1796875" style="547" customWidth="1"/>
    <col min="10771" max="10771" width="13" style="547" customWidth="1"/>
    <col min="10772" max="10772" width="0" style="547" hidden="1" customWidth="1"/>
    <col min="10773" max="11008" width="9.1796875" style="547"/>
    <col min="11009" max="11010" width="9.1796875" style="547" customWidth="1"/>
    <col min="11011" max="11011" width="15.54296875" style="547" customWidth="1"/>
    <col min="11012" max="11013" width="9.1796875" style="547" customWidth="1"/>
    <col min="11014" max="11014" width="19" style="547" customWidth="1"/>
    <col min="11015" max="11015" width="15.453125" style="547" customWidth="1"/>
    <col min="11016" max="11016" width="18.26953125" style="547" customWidth="1"/>
    <col min="11017" max="11017" width="9.1796875" style="547" customWidth="1"/>
    <col min="11018" max="11018" width="26.453125" style="547" customWidth="1"/>
    <col min="11019" max="11019" width="9.1796875" style="547" customWidth="1"/>
    <col min="11020" max="11020" width="11.7265625" style="547" customWidth="1"/>
    <col min="11021" max="11025" width="0" style="547" hidden="1" customWidth="1"/>
    <col min="11026" max="11026" width="9.1796875" style="547" customWidth="1"/>
    <col min="11027" max="11027" width="13" style="547" customWidth="1"/>
    <col min="11028" max="11028" width="0" style="547" hidden="1" customWidth="1"/>
    <col min="11029" max="11264" width="9.1796875" style="547"/>
    <col min="11265" max="11266" width="9.1796875" style="547" customWidth="1"/>
    <col min="11267" max="11267" width="15.54296875" style="547" customWidth="1"/>
    <col min="11268" max="11269" width="9.1796875" style="547" customWidth="1"/>
    <col min="11270" max="11270" width="19" style="547" customWidth="1"/>
    <col min="11271" max="11271" width="15.453125" style="547" customWidth="1"/>
    <col min="11272" max="11272" width="18.26953125" style="547" customWidth="1"/>
    <col min="11273" max="11273" width="9.1796875" style="547" customWidth="1"/>
    <col min="11274" max="11274" width="26.453125" style="547" customWidth="1"/>
    <col min="11275" max="11275" width="9.1796875" style="547" customWidth="1"/>
    <col min="11276" max="11276" width="11.7265625" style="547" customWidth="1"/>
    <col min="11277" max="11281" width="0" style="547" hidden="1" customWidth="1"/>
    <col min="11282" max="11282" width="9.1796875" style="547" customWidth="1"/>
    <col min="11283" max="11283" width="13" style="547" customWidth="1"/>
    <col min="11284" max="11284" width="0" style="547" hidden="1" customWidth="1"/>
    <col min="11285" max="11520" width="9.1796875" style="547"/>
    <col min="11521" max="11522" width="9.1796875" style="547" customWidth="1"/>
    <col min="11523" max="11523" width="15.54296875" style="547" customWidth="1"/>
    <col min="11524" max="11525" width="9.1796875" style="547" customWidth="1"/>
    <col min="11526" max="11526" width="19" style="547" customWidth="1"/>
    <col min="11527" max="11527" width="15.453125" style="547" customWidth="1"/>
    <col min="11528" max="11528" width="18.26953125" style="547" customWidth="1"/>
    <col min="11529" max="11529" width="9.1796875" style="547" customWidth="1"/>
    <col min="11530" max="11530" width="26.453125" style="547" customWidth="1"/>
    <col min="11531" max="11531" width="9.1796875" style="547" customWidth="1"/>
    <col min="11532" max="11532" width="11.7265625" style="547" customWidth="1"/>
    <col min="11533" max="11537" width="0" style="547" hidden="1" customWidth="1"/>
    <col min="11538" max="11538" width="9.1796875" style="547" customWidth="1"/>
    <col min="11539" max="11539" width="13" style="547" customWidth="1"/>
    <col min="11540" max="11540" width="0" style="547" hidden="1" customWidth="1"/>
    <col min="11541" max="11776" width="9.1796875" style="547"/>
    <col min="11777" max="11778" width="9.1796875" style="547" customWidth="1"/>
    <col min="11779" max="11779" width="15.54296875" style="547" customWidth="1"/>
    <col min="11780" max="11781" width="9.1796875" style="547" customWidth="1"/>
    <col min="11782" max="11782" width="19" style="547" customWidth="1"/>
    <col min="11783" max="11783" width="15.453125" style="547" customWidth="1"/>
    <col min="11784" max="11784" width="18.26953125" style="547" customWidth="1"/>
    <col min="11785" max="11785" width="9.1796875" style="547" customWidth="1"/>
    <col min="11786" max="11786" width="26.453125" style="547" customWidth="1"/>
    <col min="11787" max="11787" width="9.1796875" style="547" customWidth="1"/>
    <col min="11788" max="11788" width="11.7265625" style="547" customWidth="1"/>
    <col min="11789" max="11793" width="0" style="547" hidden="1" customWidth="1"/>
    <col min="11794" max="11794" width="9.1796875" style="547" customWidth="1"/>
    <col min="11795" max="11795" width="13" style="547" customWidth="1"/>
    <col min="11796" max="11796" width="0" style="547" hidden="1" customWidth="1"/>
    <col min="11797" max="12032" width="9.1796875" style="547"/>
    <col min="12033" max="12034" width="9.1796875" style="547" customWidth="1"/>
    <col min="12035" max="12035" width="15.54296875" style="547" customWidth="1"/>
    <col min="12036" max="12037" width="9.1796875" style="547" customWidth="1"/>
    <col min="12038" max="12038" width="19" style="547" customWidth="1"/>
    <col min="12039" max="12039" width="15.453125" style="547" customWidth="1"/>
    <col min="12040" max="12040" width="18.26953125" style="547" customWidth="1"/>
    <col min="12041" max="12041" width="9.1796875" style="547" customWidth="1"/>
    <col min="12042" max="12042" width="26.453125" style="547" customWidth="1"/>
    <col min="12043" max="12043" width="9.1796875" style="547" customWidth="1"/>
    <col min="12044" max="12044" width="11.7265625" style="547" customWidth="1"/>
    <col min="12045" max="12049" width="0" style="547" hidden="1" customWidth="1"/>
    <col min="12050" max="12050" width="9.1796875" style="547" customWidth="1"/>
    <col min="12051" max="12051" width="13" style="547" customWidth="1"/>
    <col min="12052" max="12052" width="0" style="547" hidden="1" customWidth="1"/>
    <col min="12053" max="12288" width="9.1796875" style="547"/>
    <col min="12289" max="12290" width="9.1796875" style="547" customWidth="1"/>
    <col min="12291" max="12291" width="15.54296875" style="547" customWidth="1"/>
    <col min="12292" max="12293" width="9.1796875" style="547" customWidth="1"/>
    <col min="12294" max="12294" width="19" style="547" customWidth="1"/>
    <col min="12295" max="12295" width="15.453125" style="547" customWidth="1"/>
    <col min="12296" max="12296" width="18.26953125" style="547" customWidth="1"/>
    <col min="12297" max="12297" width="9.1796875" style="547" customWidth="1"/>
    <col min="12298" max="12298" width="26.453125" style="547" customWidth="1"/>
    <col min="12299" max="12299" width="9.1796875" style="547" customWidth="1"/>
    <col min="12300" max="12300" width="11.7265625" style="547" customWidth="1"/>
    <col min="12301" max="12305" width="0" style="547" hidden="1" customWidth="1"/>
    <col min="12306" max="12306" width="9.1796875" style="547" customWidth="1"/>
    <col min="12307" max="12307" width="13" style="547" customWidth="1"/>
    <col min="12308" max="12308" width="0" style="547" hidden="1" customWidth="1"/>
    <col min="12309" max="12544" width="9.1796875" style="547"/>
    <col min="12545" max="12546" width="9.1796875" style="547" customWidth="1"/>
    <col min="12547" max="12547" width="15.54296875" style="547" customWidth="1"/>
    <col min="12548" max="12549" width="9.1796875" style="547" customWidth="1"/>
    <col min="12550" max="12550" width="19" style="547" customWidth="1"/>
    <col min="12551" max="12551" width="15.453125" style="547" customWidth="1"/>
    <col min="12552" max="12552" width="18.26953125" style="547" customWidth="1"/>
    <col min="12553" max="12553" width="9.1796875" style="547" customWidth="1"/>
    <col min="12554" max="12554" width="26.453125" style="547" customWidth="1"/>
    <col min="12555" max="12555" width="9.1796875" style="547" customWidth="1"/>
    <col min="12556" max="12556" width="11.7265625" style="547" customWidth="1"/>
    <col min="12557" max="12561" width="0" style="547" hidden="1" customWidth="1"/>
    <col min="12562" max="12562" width="9.1796875" style="547" customWidth="1"/>
    <col min="12563" max="12563" width="13" style="547" customWidth="1"/>
    <col min="12564" max="12564" width="0" style="547" hidden="1" customWidth="1"/>
    <col min="12565" max="12800" width="9.1796875" style="547"/>
    <col min="12801" max="12802" width="9.1796875" style="547" customWidth="1"/>
    <col min="12803" max="12803" width="15.54296875" style="547" customWidth="1"/>
    <col min="12804" max="12805" width="9.1796875" style="547" customWidth="1"/>
    <col min="12806" max="12806" width="19" style="547" customWidth="1"/>
    <col min="12807" max="12807" width="15.453125" style="547" customWidth="1"/>
    <col min="12808" max="12808" width="18.26953125" style="547" customWidth="1"/>
    <col min="12809" max="12809" width="9.1796875" style="547" customWidth="1"/>
    <col min="12810" max="12810" width="26.453125" style="547" customWidth="1"/>
    <col min="12811" max="12811" width="9.1796875" style="547" customWidth="1"/>
    <col min="12812" max="12812" width="11.7265625" style="547" customWidth="1"/>
    <col min="12813" max="12817" width="0" style="547" hidden="1" customWidth="1"/>
    <col min="12818" max="12818" width="9.1796875" style="547" customWidth="1"/>
    <col min="12819" max="12819" width="13" style="547" customWidth="1"/>
    <col min="12820" max="12820" width="0" style="547" hidden="1" customWidth="1"/>
    <col min="12821" max="13056" width="9.1796875" style="547"/>
    <col min="13057" max="13058" width="9.1796875" style="547" customWidth="1"/>
    <col min="13059" max="13059" width="15.54296875" style="547" customWidth="1"/>
    <col min="13060" max="13061" width="9.1796875" style="547" customWidth="1"/>
    <col min="13062" max="13062" width="19" style="547" customWidth="1"/>
    <col min="13063" max="13063" width="15.453125" style="547" customWidth="1"/>
    <col min="13064" max="13064" width="18.26953125" style="547" customWidth="1"/>
    <col min="13065" max="13065" width="9.1796875" style="547" customWidth="1"/>
    <col min="13066" max="13066" width="26.453125" style="547" customWidth="1"/>
    <col min="13067" max="13067" width="9.1796875" style="547" customWidth="1"/>
    <col min="13068" max="13068" width="11.7265625" style="547" customWidth="1"/>
    <col min="13069" max="13073" width="0" style="547" hidden="1" customWidth="1"/>
    <col min="13074" max="13074" width="9.1796875" style="547" customWidth="1"/>
    <col min="13075" max="13075" width="13" style="547" customWidth="1"/>
    <col min="13076" max="13076" width="0" style="547" hidden="1" customWidth="1"/>
    <col min="13077" max="13312" width="9.1796875" style="547"/>
    <col min="13313" max="13314" width="9.1796875" style="547" customWidth="1"/>
    <col min="13315" max="13315" width="15.54296875" style="547" customWidth="1"/>
    <col min="13316" max="13317" width="9.1796875" style="547" customWidth="1"/>
    <col min="13318" max="13318" width="19" style="547" customWidth="1"/>
    <col min="13319" max="13319" width="15.453125" style="547" customWidth="1"/>
    <col min="13320" max="13320" width="18.26953125" style="547" customWidth="1"/>
    <col min="13321" max="13321" width="9.1796875" style="547" customWidth="1"/>
    <col min="13322" max="13322" width="26.453125" style="547" customWidth="1"/>
    <col min="13323" max="13323" width="9.1796875" style="547" customWidth="1"/>
    <col min="13324" max="13324" width="11.7265625" style="547" customWidth="1"/>
    <col min="13325" max="13329" width="0" style="547" hidden="1" customWidth="1"/>
    <col min="13330" max="13330" width="9.1796875" style="547" customWidth="1"/>
    <col min="13331" max="13331" width="13" style="547" customWidth="1"/>
    <col min="13332" max="13332" width="0" style="547" hidden="1" customWidth="1"/>
    <col min="13333" max="13568" width="9.1796875" style="547"/>
    <col min="13569" max="13570" width="9.1796875" style="547" customWidth="1"/>
    <col min="13571" max="13571" width="15.54296875" style="547" customWidth="1"/>
    <col min="13572" max="13573" width="9.1796875" style="547" customWidth="1"/>
    <col min="13574" max="13574" width="19" style="547" customWidth="1"/>
    <col min="13575" max="13575" width="15.453125" style="547" customWidth="1"/>
    <col min="13576" max="13576" width="18.26953125" style="547" customWidth="1"/>
    <col min="13577" max="13577" width="9.1796875" style="547" customWidth="1"/>
    <col min="13578" max="13578" width="26.453125" style="547" customWidth="1"/>
    <col min="13579" max="13579" width="9.1796875" style="547" customWidth="1"/>
    <col min="13580" max="13580" width="11.7265625" style="547" customWidth="1"/>
    <col min="13581" max="13585" width="0" style="547" hidden="1" customWidth="1"/>
    <col min="13586" max="13586" width="9.1796875" style="547" customWidth="1"/>
    <col min="13587" max="13587" width="13" style="547" customWidth="1"/>
    <col min="13588" max="13588" width="0" style="547" hidden="1" customWidth="1"/>
    <col min="13589" max="13824" width="9.1796875" style="547"/>
    <col min="13825" max="13826" width="9.1796875" style="547" customWidth="1"/>
    <col min="13827" max="13827" width="15.54296875" style="547" customWidth="1"/>
    <col min="13828" max="13829" width="9.1796875" style="547" customWidth="1"/>
    <col min="13830" max="13830" width="19" style="547" customWidth="1"/>
    <col min="13831" max="13831" width="15.453125" style="547" customWidth="1"/>
    <col min="13832" max="13832" width="18.26953125" style="547" customWidth="1"/>
    <col min="13833" max="13833" width="9.1796875" style="547" customWidth="1"/>
    <col min="13834" max="13834" width="26.453125" style="547" customWidth="1"/>
    <col min="13835" max="13835" width="9.1796875" style="547" customWidth="1"/>
    <col min="13836" max="13836" width="11.7265625" style="547" customWidth="1"/>
    <col min="13837" max="13841" width="0" style="547" hidden="1" customWidth="1"/>
    <col min="13842" max="13842" width="9.1796875" style="547" customWidth="1"/>
    <col min="13843" max="13843" width="13" style="547" customWidth="1"/>
    <col min="13844" max="13844" width="0" style="547" hidden="1" customWidth="1"/>
    <col min="13845" max="14080" width="9.1796875" style="547"/>
    <col min="14081" max="14082" width="9.1796875" style="547" customWidth="1"/>
    <col min="14083" max="14083" width="15.54296875" style="547" customWidth="1"/>
    <col min="14084" max="14085" width="9.1796875" style="547" customWidth="1"/>
    <col min="14086" max="14086" width="19" style="547" customWidth="1"/>
    <col min="14087" max="14087" width="15.453125" style="547" customWidth="1"/>
    <col min="14088" max="14088" width="18.26953125" style="547" customWidth="1"/>
    <col min="14089" max="14089" width="9.1796875" style="547" customWidth="1"/>
    <col min="14090" max="14090" width="26.453125" style="547" customWidth="1"/>
    <col min="14091" max="14091" width="9.1796875" style="547" customWidth="1"/>
    <col min="14092" max="14092" width="11.7265625" style="547" customWidth="1"/>
    <col min="14093" max="14097" width="0" style="547" hidden="1" customWidth="1"/>
    <col min="14098" max="14098" width="9.1796875" style="547" customWidth="1"/>
    <col min="14099" max="14099" width="13" style="547" customWidth="1"/>
    <col min="14100" max="14100" width="0" style="547" hidden="1" customWidth="1"/>
    <col min="14101" max="14336" width="9.1796875" style="547"/>
    <col min="14337" max="14338" width="9.1796875" style="547" customWidth="1"/>
    <col min="14339" max="14339" width="15.54296875" style="547" customWidth="1"/>
    <col min="14340" max="14341" width="9.1796875" style="547" customWidth="1"/>
    <col min="14342" max="14342" width="19" style="547" customWidth="1"/>
    <col min="14343" max="14343" width="15.453125" style="547" customWidth="1"/>
    <col min="14344" max="14344" width="18.26953125" style="547" customWidth="1"/>
    <col min="14345" max="14345" width="9.1796875" style="547" customWidth="1"/>
    <col min="14346" max="14346" width="26.453125" style="547" customWidth="1"/>
    <col min="14347" max="14347" width="9.1796875" style="547" customWidth="1"/>
    <col min="14348" max="14348" width="11.7265625" style="547" customWidth="1"/>
    <col min="14349" max="14353" width="0" style="547" hidden="1" customWidth="1"/>
    <col min="14354" max="14354" width="9.1796875" style="547" customWidth="1"/>
    <col min="14355" max="14355" width="13" style="547" customWidth="1"/>
    <col min="14356" max="14356" width="0" style="547" hidden="1" customWidth="1"/>
    <col min="14357" max="14592" width="9.1796875" style="547"/>
    <col min="14593" max="14594" width="9.1796875" style="547" customWidth="1"/>
    <col min="14595" max="14595" width="15.54296875" style="547" customWidth="1"/>
    <col min="14596" max="14597" width="9.1796875" style="547" customWidth="1"/>
    <col min="14598" max="14598" width="19" style="547" customWidth="1"/>
    <col min="14599" max="14599" width="15.453125" style="547" customWidth="1"/>
    <col min="14600" max="14600" width="18.26953125" style="547" customWidth="1"/>
    <col min="14601" max="14601" width="9.1796875" style="547" customWidth="1"/>
    <col min="14602" max="14602" width="26.453125" style="547" customWidth="1"/>
    <col min="14603" max="14603" width="9.1796875" style="547" customWidth="1"/>
    <col min="14604" max="14604" width="11.7265625" style="547" customWidth="1"/>
    <col min="14605" max="14609" width="0" style="547" hidden="1" customWidth="1"/>
    <col min="14610" max="14610" width="9.1796875" style="547" customWidth="1"/>
    <col min="14611" max="14611" width="13" style="547" customWidth="1"/>
    <col min="14612" max="14612" width="0" style="547" hidden="1" customWidth="1"/>
    <col min="14613" max="14848" width="9.1796875" style="547"/>
    <col min="14849" max="14850" width="9.1796875" style="547" customWidth="1"/>
    <col min="14851" max="14851" width="15.54296875" style="547" customWidth="1"/>
    <col min="14852" max="14853" width="9.1796875" style="547" customWidth="1"/>
    <col min="14854" max="14854" width="19" style="547" customWidth="1"/>
    <col min="14855" max="14855" width="15.453125" style="547" customWidth="1"/>
    <col min="14856" max="14856" width="18.26953125" style="547" customWidth="1"/>
    <col min="14857" max="14857" width="9.1796875" style="547" customWidth="1"/>
    <col min="14858" max="14858" width="26.453125" style="547" customWidth="1"/>
    <col min="14859" max="14859" width="9.1796875" style="547" customWidth="1"/>
    <col min="14860" max="14860" width="11.7265625" style="547" customWidth="1"/>
    <col min="14861" max="14865" width="0" style="547" hidden="1" customWidth="1"/>
    <col min="14866" max="14866" width="9.1796875" style="547" customWidth="1"/>
    <col min="14867" max="14867" width="13" style="547" customWidth="1"/>
    <col min="14868" max="14868" width="0" style="547" hidden="1" customWidth="1"/>
    <col min="14869" max="15104" width="9.1796875" style="547"/>
    <col min="15105" max="15106" width="9.1796875" style="547" customWidth="1"/>
    <col min="15107" max="15107" width="15.54296875" style="547" customWidth="1"/>
    <col min="15108" max="15109" width="9.1796875" style="547" customWidth="1"/>
    <col min="15110" max="15110" width="19" style="547" customWidth="1"/>
    <col min="15111" max="15111" width="15.453125" style="547" customWidth="1"/>
    <col min="15112" max="15112" width="18.26953125" style="547" customWidth="1"/>
    <col min="15113" max="15113" width="9.1796875" style="547" customWidth="1"/>
    <col min="15114" max="15114" width="26.453125" style="547" customWidth="1"/>
    <col min="15115" max="15115" width="9.1796875" style="547" customWidth="1"/>
    <col min="15116" max="15116" width="11.7265625" style="547" customWidth="1"/>
    <col min="15117" max="15121" width="0" style="547" hidden="1" customWidth="1"/>
    <col min="15122" max="15122" width="9.1796875" style="547" customWidth="1"/>
    <col min="15123" max="15123" width="13" style="547" customWidth="1"/>
    <col min="15124" max="15124" width="0" style="547" hidden="1" customWidth="1"/>
    <col min="15125" max="15360" width="9.1796875" style="547"/>
    <col min="15361" max="15362" width="9.1796875" style="547" customWidth="1"/>
    <col min="15363" max="15363" width="15.54296875" style="547" customWidth="1"/>
    <col min="15364" max="15365" width="9.1796875" style="547" customWidth="1"/>
    <col min="15366" max="15366" width="19" style="547" customWidth="1"/>
    <col min="15367" max="15367" width="15.453125" style="547" customWidth="1"/>
    <col min="15368" max="15368" width="18.26953125" style="547" customWidth="1"/>
    <col min="15369" max="15369" width="9.1796875" style="547" customWidth="1"/>
    <col min="15370" max="15370" width="26.453125" style="547" customWidth="1"/>
    <col min="15371" max="15371" width="9.1796875" style="547" customWidth="1"/>
    <col min="15372" max="15372" width="11.7265625" style="547" customWidth="1"/>
    <col min="15373" max="15377" width="0" style="547" hidden="1" customWidth="1"/>
    <col min="15378" max="15378" width="9.1796875" style="547" customWidth="1"/>
    <col min="15379" max="15379" width="13" style="547" customWidth="1"/>
    <col min="15380" max="15380" width="0" style="547" hidden="1" customWidth="1"/>
    <col min="15381" max="15616" width="9.1796875" style="547"/>
    <col min="15617" max="15618" width="9.1796875" style="547" customWidth="1"/>
    <col min="15619" max="15619" width="15.54296875" style="547" customWidth="1"/>
    <col min="15620" max="15621" width="9.1796875" style="547" customWidth="1"/>
    <col min="15622" max="15622" width="19" style="547" customWidth="1"/>
    <col min="15623" max="15623" width="15.453125" style="547" customWidth="1"/>
    <col min="15624" max="15624" width="18.26953125" style="547" customWidth="1"/>
    <col min="15625" max="15625" width="9.1796875" style="547" customWidth="1"/>
    <col min="15626" max="15626" width="26.453125" style="547" customWidth="1"/>
    <col min="15627" max="15627" width="9.1796875" style="547" customWidth="1"/>
    <col min="15628" max="15628" width="11.7265625" style="547" customWidth="1"/>
    <col min="15629" max="15633" width="0" style="547" hidden="1" customWidth="1"/>
    <col min="15634" max="15634" width="9.1796875" style="547" customWidth="1"/>
    <col min="15635" max="15635" width="13" style="547" customWidth="1"/>
    <col min="15636" max="15636" width="0" style="547" hidden="1" customWidth="1"/>
    <col min="15637" max="15872" width="9.1796875" style="547"/>
    <col min="15873" max="15874" width="9.1796875" style="547" customWidth="1"/>
    <col min="15875" max="15875" width="15.54296875" style="547" customWidth="1"/>
    <col min="15876" max="15877" width="9.1796875" style="547" customWidth="1"/>
    <col min="15878" max="15878" width="19" style="547" customWidth="1"/>
    <col min="15879" max="15879" width="15.453125" style="547" customWidth="1"/>
    <col min="15880" max="15880" width="18.26953125" style="547" customWidth="1"/>
    <col min="15881" max="15881" width="9.1796875" style="547" customWidth="1"/>
    <col min="15882" max="15882" width="26.453125" style="547" customWidth="1"/>
    <col min="15883" max="15883" width="9.1796875" style="547" customWidth="1"/>
    <col min="15884" max="15884" width="11.7265625" style="547" customWidth="1"/>
    <col min="15885" max="15889" width="0" style="547" hidden="1" customWidth="1"/>
    <col min="15890" max="15890" width="9.1796875" style="547" customWidth="1"/>
    <col min="15891" max="15891" width="13" style="547" customWidth="1"/>
    <col min="15892" max="15892" width="0" style="547" hidden="1" customWidth="1"/>
    <col min="15893" max="16128" width="9.1796875" style="547"/>
    <col min="16129" max="16130" width="9.1796875" style="547" customWidth="1"/>
    <col min="16131" max="16131" width="15.54296875" style="547" customWidth="1"/>
    <col min="16132" max="16133" width="9.1796875" style="547" customWidth="1"/>
    <col min="16134" max="16134" width="19" style="547" customWidth="1"/>
    <col min="16135" max="16135" width="15.453125" style="547" customWidth="1"/>
    <col min="16136" max="16136" width="18.26953125" style="547" customWidth="1"/>
    <col min="16137" max="16137" width="9.1796875" style="547" customWidth="1"/>
    <col min="16138" max="16138" width="26.453125" style="547" customWidth="1"/>
    <col min="16139" max="16139" width="9.1796875" style="547" customWidth="1"/>
    <col min="16140" max="16140" width="11.7265625" style="547" customWidth="1"/>
    <col min="16141" max="16145" width="0" style="547" hidden="1" customWidth="1"/>
    <col min="16146" max="16146" width="9.1796875" style="547" customWidth="1"/>
    <col min="16147" max="16147" width="13" style="547" customWidth="1"/>
    <col min="16148" max="16148" width="0" style="547" hidden="1" customWidth="1"/>
    <col min="16149" max="16384" width="9.1796875" style="547"/>
  </cols>
  <sheetData>
    <row r="1" spans="8:20" hidden="1" x14ac:dyDescent="0.35">
      <c r="K1" s="541"/>
      <c r="L1" s="870" t="s">
        <v>625</v>
      </c>
      <c r="M1" s="870"/>
    </row>
    <row r="2" spans="8:20" hidden="1" x14ac:dyDescent="0.35">
      <c r="J2" s="541"/>
      <c r="K2" s="541"/>
      <c r="L2" s="870" t="s">
        <v>450</v>
      </c>
      <c r="M2" s="870"/>
      <c r="N2" s="870"/>
    </row>
    <row r="3" spans="8:20" hidden="1" x14ac:dyDescent="0.35">
      <c r="H3" s="541"/>
      <c r="I3" s="541"/>
      <c r="J3" s="541"/>
      <c r="K3" s="541"/>
      <c r="L3" s="870" t="s">
        <v>626</v>
      </c>
      <c r="M3" s="870"/>
      <c r="N3" s="870"/>
      <c r="O3" s="870"/>
      <c r="P3" s="870"/>
    </row>
    <row r="4" spans="8:20" hidden="1" x14ac:dyDescent="0.35">
      <c r="I4" s="541"/>
      <c r="J4" s="541"/>
      <c r="K4" s="541"/>
      <c r="L4" s="870" t="s">
        <v>448</v>
      </c>
      <c r="M4" s="870"/>
      <c r="N4" s="870"/>
      <c r="O4" s="870"/>
    </row>
    <row r="5" spans="8:20" hidden="1" x14ac:dyDescent="0.35">
      <c r="I5" s="541"/>
      <c r="J5" s="541"/>
      <c r="K5" s="541"/>
      <c r="L5" s="870" t="s">
        <v>448</v>
      </c>
      <c r="M5" s="870"/>
      <c r="N5" s="870"/>
      <c r="O5" s="870"/>
    </row>
    <row r="6" spans="8:20" hidden="1" x14ac:dyDescent="0.35">
      <c r="J6" s="541"/>
      <c r="K6" s="541"/>
      <c r="L6" s="871" t="s">
        <v>627</v>
      </c>
      <c r="M6" s="871"/>
      <c r="N6" s="871"/>
    </row>
    <row r="7" spans="8:20" hidden="1" x14ac:dyDescent="0.35"/>
    <row r="8" spans="8:20" hidden="1" x14ac:dyDescent="0.35">
      <c r="L8" s="870" t="s">
        <v>446</v>
      </c>
    </row>
    <row r="9" spans="8:20" hidden="1" x14ac:dyDescent="0.35"/>
    <row r="10" spans="8:20" hidden="1" x14ac:dyDescent="0.35">
      <c r="L10" s="870" t="s">
        <v>628</v>
      </c>
    </row>
    <row r="11" spans="8:20" hidden="1" x14ac:dyDescent="0.35">
      <c r="L11" s="870"/>
    </row>
    <row r="12" spans="8:20" x14ac:dyDescent="0.35">
      <c r="I12" s="261"/>
      <c r="J12" s="261"/>
      <c r="K12" s="3162" t="s">
        <v>792</v>
      </c>
      <c r="L12" s="3162"/>
      <c r="M12" s="3162"/>
      <c r="N12" s="3162"/>
      <c r="O12" s="3162"/>
      <c r="P12" s="3162"/>
      <c r="Q12" s="3162"/>
      <c r="R12" s="3162"/>
      <c r="S12" s="3162"/>
      <c r="T12" s="3162"/>
    </row>
    <row r="13" spans="8:20" x14ac:dyDescent="0.35">
      <c r="I13" s="261"/>
      <c r="J13" s="261"/>
      <c r="K13" s="3162" t="s">
        <v>450</v>
      </c>
      <c r="L13" s="3162"/>
      <c r="M13" s="3162"/>
      <c r="N13" s="3162"/>
      <c r="O13" s="3162"/>
      <c r="P13" s="3162"/>
      <c r="Q13" s="3162"/>
      <c r="R13" s="3162"/>
      <c r="S13" s="3162"/>
      <c r="T13" s="3162"/>
    </row>
    <row r="14" spans="8:20" x14ac:dyDescent="0.35">
      <c r="I14" s="261"/>
      <c r="J14" s="3162" t="s">
        <v>449</v>
      </c>
      <c r="K14" s="3162"/>
      <c r="L14" s="3162"/>
      <c r="M14" s="3162"/>
      <c r="N14" s="3162"/>
      <c r="O14" s="3162"/>
      <c r="P14" s="3162"/>
      <c r="Q14" s="3162"/>
      <c r="R14" s="3162"/>
      <c r="S14" s="3162"/>
      <c r="T14" s="3162"/>
    </row>
    <row r="15" spans="8:20" x14ac:dyDescent="0.35">
      <c r="I15" s="261"/>
      <c r="J15" s="261"/>
      <c r="K15" s="3162" t="s">
        <v>448</v>
      </c>
      <c r="L15" s="3162"/>
      <c r="M15" s="3162"/>
      <c r="N15" s="3162"/>
      <c r="O15" s="3162"/>
      <c r="P15" s="3162"/>
      <c r="Q15" s="3162"/>
      <c r="R15" s="3162"/>
      <c r="S15" s="3162"/>
      <c r="T15" s="3162"/>
    </row>
    <row r="16" spans="8:20" x14ac:dyDescent="0.25">
      <c r="H16" s="387" t="s">
        <v>617</v>
      </c>
      <c r="I16" s="873"/>
      <c r="K16" s="3212" t="s">
        <v>893</v>
      </c>
      <c r="L16" s="3213"/>
      <c r="M16" s="3213"/>
      <c r="N16" s="3213"/>
      <c r="O16" s="3213"/>
      <c r="P16" s="3213"/>
      <c r="Q16" s="3213"/>
      <c r="R16" s="3213"/>
      <c r="S16" s="3213"/>
      <c r="T16" s="3213"/>
    </row>
    <row r="17" spans="1:20" x14ac:dyDescent="0.35">
      <c r="H17" s="870"/>
      <c r="I17" s="870"/>
      <c r="J17" s="870"/>
      <c r="K17" s="870"/>
      <c r="R17" s="549"/>
    </row>
    <row r="18" spans="1:20" x14ac:dyDescent="0.35">
      <c r="H18" s="870"/>
      <c r="I18" s="870"/>
      <c r="J18" s="870"/>
      <c r="K18" s="870"/>
      <c r="R18" s="549"/>
    </row>
    <row r="19" spans="1:20" hidden="1" x14ac:dyDescent="0.35">
      <c r="H19" s="870"/>
      <c r="I19" s="870"/>
      <c r="K19" s="3162" t="s">
        <v>446</v>
      </c>
      <c r="L19" s="3162"/>
      <c r="M19" s="3162"/>
      <c r="N19" s="3162"/>
      <c r="O19" s="3162"/>
      <c r="P19" s="3162"/>
      <c r="Q19" s="3162"/>
      <c r="R19" s="3162"/>
      <c r="S19" s="3162"/>
      <c r="T19" s="3162"/>
    </row>
    <row r="20" spans="1:20" hidden="1" x14ac:dyDescent="0.35">
      <c r="H20" s="870"/>
      <c r="I20" s="870"/>
      <c r="J20" s="870"/>
      <c r="K20" s="870"/>
      <c r="R20" s="549"/>
    </row>
    <row r="21" spans="1:20" hidden="1" x14ac:dyDescent="0.35">
      <c r="H21" s="870"/>
      <c r="I21" s="870"/>
      <c r="J21" s="870"/>
      <c r="K21" s="3162" t="s">
        <v>842</v>
      </c>
      <c r="L21" s="3162"/>
      <c r="M21" s="3162"/>
      <c r="N21" s="3162"/>
      <c r="O21" s="3162"/>
      <c r="P21" s="3162"/>
      <c r="Q21" s="3162"/>
      <c r="R21" s="3162"/>
      <c r="S21" s="3162"/>
      <c r="T21" s="3162"/>
    </row>
    <row r="22" spans="1:20" hidden="1" x14ac:dyDescent="0.35">
      <c r="J22" s="870"/>
      <c r="K22" s="870"/>
      <c r="L22" s="870"/>
      <c r="R22" s="549"/>
    </row>
    <row r="23" spans="1:20" ht="15" hidden="1" customHeight="1" x14ac:dyDescent="0.35">
      <c r="J23" s="870"/>
      <c r="K23" s="870"/>
      <c r="L23" s="870"/>
      <c r="R23" s="549"/>
    </row>
    <row r="24" spans="1:20" ht="19.5" customHeight="1" x14ac:dyDescent="0.35">
      <c r="R24" s="549"/>
    </row>
    <row r="25" spans="1:20" ht="17.5" x14ac:dyDescent="0.35">
      <c r="A25" s="2913" t="s">
        <v>629</v>
      </c>
      <c r="B25" s="2913"/>
      <c r="C25" s="2913"/>
      <c r="D25" s="2913"/>
      <c r="E25" s="2913"/>
      <c r="F25" s="2913"/>
      <c r="G25" s="2913"/>
      <c r="H25" s="2913"/>
      <c r="I25" s="2913"/>
      <c r="J25" s="2913"/>
      <c r="K25" s="2913"/>
      <c r="L25" s="2913"/>
      <c r="M25" s="2913"/>
      <c r="N25" s="2913"/>
      <c r="O25" s="2913"/>
      <c r="P25" s="2913"/>
      <c r="Q25" s="2913"/>
      <c r="R25" s="2913"/>
      <c r="S25" s="2913"/>
      <c r="T25" s="971"/>
    </row>
    <row r="26" spans="1:20" ht="17.5" customHeight="1" x14ac:dyDescent="0.35">
      <c r="A26" s="2913" t="s">
        <v>793</v>
      </c>
      <c r="B26" s="2913"/>
      <c r="C26" s="2913"/>
      <c r="D26" s="2913"/>
      <c r="E26" s="2913"/>
      <c r="F26" s="2913"/>
      <c r="G26" s="2913"/>
      <c r="H26" s="2913"/>
      <c r="I26" s="2913"/>
      <c r="J26" s="2913"/>
      <c r="K26" s="2913"/>
      <c r="L26" s="2913"/>
      <c r="M26" s="2913"/>
      <c r="N26" s="2913"/>
      <c r="O26" s="2913"/>
      <c r="P26" s="2913"/>
      <c r="Q26" s="2913"/>
      <c r="R26" s="2913"/>
      <c r="S26" s="2913"/>
      <c r="T26" s="971"/>
    </row>
    <row r="27" spans="1:20" ht="17.5" hidden="1" x14ac:dyDescent="0.35">
      <c r="A27" s="2913" t="s">
        <v>794</v>
      </c>
      <c r="B27" s="2913"/>
      <c r="C27" s="2913"/>
      <c r="D27" s="2913"/>
      <c r="E27" s="2913"/>
      <c r="F27" s="2913"/>
      <c r="G27" s="2913"/>
      <c r="H27" s="2913"/>
      <c r="I27" s="2913"/>
      <c r="J27" s="2913"/>
      <c r="K27" s="2913"/>
      <c r="L27" s="2913"/>
      <c r="M27" s="1012"/>
      <c r="N27" s="1012"/>
      <c r="O27" s="1012"/>
      <c r="P27" s="1012"/>
      <c r="Q27" s="1013"/>
      <c r="R27" s="1013"/>
      <c r="S27" s="971"/>
      <c r="T27" s="971"/>
    </row>
    <row r="28" spans="1:20" ht="17.5" x14ac:dyDescent="0.35">
      <c r="A28" s="2913" t="s">
        <v>943</v>
      </c>
      <c r="B28" s="2913"/>
      <c r="C28" s="2913"/>
      <c r="D28" s="2913"/>
      <c r="E28" s="2913"/>
      <c r="F28" s="2913"/>
      <c r="G28" s="2913"/>
      <c r="H28" s="2913"/>
      <c r="I28" s="2913"/>
      <c r="J28" s="2913"/>
      <c r="K28" s="2913"/>
      <c r="L28" s="2913"/>
      <c r="M28" s="2913"/>
      <c r="N28" s="2913"/>
      <c r="O28" s="2913"/>
      <c r="P28" s="2913"/>
      <c r="Q28" s="2913"/>
      <c r="R28" s="2913"/>
      <c r="S28" s="2913"/>
      <c r="T28" s="971"/>
    </row>
    <row r="29" spans="1:20" ht="15" customHeight="1" thickBot="1" x14ac:dyDescent="0.45">
      <c r="A29" s="1014"/>
      <c r="B29" s="1014"/>
      <c r="C29" s="1014"/>
      <c r="D29" s="1014"/>
      <c r="E29" s="1014"/>
      <c r="F29" s="1014"/>
      <c r="G29" s="1014"/>
      <c r="H29" s="1014"/>
      <c r="I29" s="1014"/>
      <c r="J29" s="1014"/>
      <c r="K29" s="1014"/>
      <c r="L29" s="1014"/>
      <c r="M29" s="1012"/>
      <c r="N29" s="1012"/>
      <c r="O29" s="1012"/>
      <c r="P29" s="1012"/>
      <c r="Q29" s="1013"/>
      <c r="R29" s="1013"/>
      <c r="S29" s="3022" t="s">
        <v>631</v>
      </c>
      <c r="T29" s="3022"/>
    </row>
    <row r="30" spans="1:20" ht="15" x14ac:dyDescent="0.3">
      <c r="A30" s="2968" t="s">
        <v>632</v>
      </c>
      <c r="B30" s="2969"/>
      <c r="C30" s="2970"/>
      <c r="D30" s="3040" t="s">
        <v>633</v>
      </c>
      <c r="E30" s="3041"/>
      <c r="F30" s="3041"/>
      <c r="G30" s="3041"/>
      <c r="H30" s="3041"/>
      <c r="I30" s="3041"/>
      <c r="J30" s="3042"/>
      <c r="K30" s="3040" t="s">
        <v>843</v>
      </c>
      <c r="L30" s="3042"/>
      <c r="M30" s="3214" t="s">
        <v>635</v>
      </c>
      <c r="N30" s="3216" t="s">
        <v>636</v>
      </c>
      <c r="O30" s="3216" t="s">
        <v>637</v>
      </c>
      <c r="P30" s="3214" t="s">
        <v>638</v>
      </c>
      <c r="Q30" s="3218" t="s">
        <v>639</v>
      </c>
      <c r="R30" s="3040" t="s">
        <v>894</v>
      </c>
      <c r="S30" s="3042"/>
      <c r="T30" s="3028" t="s">
        <v>640</v>
      </c>
    </row>
    <row r="31" spans="1:20" thickBot="1" x14ac:dyDescent="0.35">
      <c r="A31" s="2971" t="s">
        <v>641</v>
      </c>
      <c r="B31" s="2972"/>
      <c r="C31" s="2973"/>
      <c r="D31" s="3043"/>
      <c r="E31" s="3044"/>
      <c r="F31" s="3044"/>
      <c r="G31" s="3044"/>
      <c r="H31" s="3044"/>
      <c r="I31" s="3044"/>
      <c r="J31" s="3045"/>
      <c r="K31" s="3043"/>
      <c r="L31" s="3045"/>
      <c r="M31" s="3215"/>
      <c r="N31" s="3217"/>
      <c r="O31" s="3217"/>
      <c r="P31" s="3215"/>
      <c r="Q31" s="3219"/>
      <c r="R31" s="3043"/>
      <c r="S31" s="3045"/>
      <c r="T31" s="3030"/>
    </row>
    <row r="32" spans="1:20" ht="15.65" customHeight="1" x14ac:dyDescent="0.3">
      <c r="A32" s="2968" t="s">
        <v>642</v>
      </c>
      <c r="B32" s="2969"/>
      <c r="C32" s="2970"/>
      <c r="D32" s="3144" t="s">
        <v>643</v>
      </c>
      <c r="E32" s="3145"/>
      <c r="F32" s="3145"/>
      <c r="G32" s="3145"/>
      <c r="H32" s="3145"/>
      <c r="I32" s="3145"/>
      <c r="J32" s="3146"/>
      <c r="K32" s="3166">
        <f>K34+K45+K51+K57+K76+K82+K98+K41+K38+K94</f>
        <v>78243.179999999993</v>
      </c>
      <c r="L32" s="3167"/>
      <c r="M32" s="3165">
        <v>17235.358</v>
      </c>
      <c r="N32" s="3165"/>
      <c r="O32" s="3165"/>
      <c r="P32" s="3165">
        <f>P34+P45+P51+P57+P76+P82+P98</f>
        <v>21212.394</v>
      </c>
      <c r="Q32" s="3165">
        <v>20829</v>
      </c>
      <c r="R32" s="3166">
        <f>R34+R45+R51+R57+R76+R82+R98+R41+R38+R94</f>
        <v>82838.281000000017</v>
      </c>
      <c r="S32" s="3167"/>
      <c r="T32" s="971"/>
    </row>
    <row r="33" spans="1:24" ht="13.9" customHeight="1" thickBot="1" x14ac:dyDescent="0.35">
      <c r="A33" s="2971"/>
      <c r="B33" s="2972"/>
      <c r="C33" s="2973"/>
      <c r="D33" s="3147"/>
      <c r="E33" s="3148"/>
      <c r="F33" s="3148"/>
      <c r="G33" s="3148"/>
      <c r="H33" s="3148"/>
      <c r="I33" s="3148"/>
      <c r="J33" s="3149"/>
      <c r="K33" s="3168"/>
      <c r="L33" s="3169"/>
      <c r="M33" s="3165"/>
      <c r="N33" s="3165"/>
      <c r="O33" s="3165"/>
      <c r="P33" s="3165"/>
      <c r="Q33" s="3165"/>
      <c r="R33" s="3168"/>
      <c r="S33" s="3169"/>
      <c r="T33" s="971"/>
    </row>
    <row r="34" spans="1:24" ht="15" x14ac:dyDescent="0.3">
      <c r="A34" s="976" t="s">
        <v>644</v>
      </c>
      <c r="B34" s="977"/>
      <c r="C34" s="978"/>
      <c r="D34" s="976"/>
      <c r="E34" s="977"/>
      <c r="F34" s="977"/>
      <c r="G34" s="977"/>
      <c r="H34" s="977"/>
      <c r="I34" s="977"/>
      <c r="J34" s="978"/>
      <c r="K34" s="3166">
        <f>K36</f>
        <v>30570.5</v>
      </c>
      <c r="L34" s="3167"/>
      <c r="M34" s="3165">
        <v>4523.7</v>
      </c>
      <c r="N34" s="3165"/>
      <c r="O34" s="3165"/>
      <c r="P34" s="3165">
        <f>P36</f>
        <v>5592.7</v>
      </c>
      <c r="Q34" s="3202">
        <v>4938.4639999999999</v>
      </c>
      <c r="R34" s="3166">
        <f>R36</f>
        <v>32404.7</v>
      </c>
      <c r="S34" s="3167"/>
      <c r="T34" s="971"/>
    </row>
    <row r="35" spans="1:24" ht="16.149999999999999" customHeight="1" thickBot="1" x14ac:dyDescent="0.35">
      <c r="A35" s="979" t="s">
        <v>646</v>
      </c>
      <c r="B35" s="980"/>
      <c r="C35" s="981"/>
      <c r="D35" s="979" t="s">
        <v>645</v>
      </c>
      <c r="E35" s="980"/>
      <c r="F35" s="980"/>
      <c r="G35" s="980"/>
      <c r="H35" s="980"/>
      <c r="I35" s="980"/>
      <c r="J35" s="981"/>
      <c r="K35" s="3168"/>
      <c r="L35" s="3169"/>
      <c r="M35" s="3165"/>
      <c r="N35" s="3165"/>
      <c r="O35" s="3165"/>
      <c r="P35" s="3165"/>
      <c r="Q35" s="3202"/>
      <c r="R35" s="3168"/>
      <c r="S35" s="3169"/>
      <c r="T35" s="971"/>
      <c r="X35" s="874" t="s">
        <v>106</v>
      </c>
    </row>
    <row r="36" spans="1:24" ht="13.9" customHeight="1" x14ac:dyDescent="0.35">
      <c r="A36" s="3018" t="s">
        <v>647</v>
      </c>
      <c r="B36" s="3019"/>
      <c r="C36" s="3020"/>
      <c r="D36" s="982"/>
      <c r="E36" s="983"/>
      <c r="F36" s="983"/>
      <c r="G36" s="983"/>
      <c r="H36" s="983"/>
      <c r="I36" s="983"/>
      <c r="J36" s="984"/>
      <c r="K36" s="3181">
        <v>30570.5</v>
      </c>
      <c r="L36" s="3182"/>
      <c r="M36" s="3165">
        <v>4523.7</v>
      </c>
      <c r="N36" s="3165">
        <v>534.5</v>
      </c>
      <c r="O36" s="3165">
        <v>534.5</v>
      </c>
      <c r="P36" s="3165">
        <f>M36+N36+O36</f>
        <v>5592.7</v>
      </c>
      <c r="Q36" s="3202">
        <v>4938.4639999999999</v>
      </c>
      <c r="R36" s="3181">
        <v>32404.7</v>
      </c>
      <c r="S36" s="3182"/>
      <c r="T36" s="971"/>
    </row>
    <row r="37" spans="1:24" ht="16.149999999999999" customHeight="1" thickBot="1" x14ac:dyDescent="0.4">
      <c r="A37" s="3021"/>
      <c r="B37" s="3022"/>
      <c r="C37" s="3023"/>
      <c r="D37" s="985" t="s">
        <v>648</v>
      </c>
      <c r="E37" s="986"/>
      <c r="F37" s="986"/>
      <c r="G37" s="986"/>
      <c r="H37" s="986"/>
      <c r="I37" s="986"/>
      <c r="J37" s="987"/>
      <c r="K37" s="3187"/>
      <c r="L37" s="3188"/>
      <c r="M37" s="3165"/>
      <c r="N37" s="3165"/>
      <c r="O37" s="3165"/>
      <c r="P37" s="3165"/>
      <c r="Q37" s="3202"/>
      <c r="R37" s="3187"/>
      <c r="S37" s="3188"/>
      <c r="T37" s="971"/>
    </row>
    <row r="38" spans="1:24" ht="15.65" customHeight="1" x14ac:dyDescent="0.3">
      <c r="A38" s="3040" t="s">
        <v>649</v>
      </c>
      <c r="B38" s="3041"/>
      <c r="C38" s="3042"/>
      <c r="D38" s="3206" t="s">
        <v>650</v>
      </c>
      <c r="E38" s="3207"/>
      <c r="F38" s="3207"/>
      <c r="G38" s="3207"/>
      <c r="H38" s="3207"/>
      <c r="I38" s="3207"/>
      <c r="J38" s="3208"/>
      <c r="K38" s="3166">
        <f>K40</f>
        <v>822</v>
      </c>
      <c r="L38" s="3167"/>
      <c r="M38" s="3165">
        <v>9794</v>
      </c>
      <c r="N38" s="3165"/>
      <c r="O38" s="3165"/>
      <c r="P38" s="3165" t="e">
        <f>#REF!+P41+P42</f>
        <v>#REF!</v>
      </c>
      <c r="Q38" s="3202">
        <v>12087.288329999999</v>
      </c>
      <c r="R38" s="3166">
        <f>R40</f>
        <v>822</v>
      </c>
      <c r="S38" s="3167"/>
      <c r="T38" s="971"/>
    </row>
    <row r="39" spans="1:24" ht="16.149999999999999" customHeight="1" thickBot="1" x14ac:dyDescent="0.35">
      <c r="A39" s="3043"/>
      <c r="B39" s="3044"/>
      <c r="C39" s="3045"/>
      <c r="D39" s="3209"/>
      <c r="E39" s="3210"/>
      <c r="F39" s="3210"/>
      <c r="G39" s="3210"/>
      <c r="H39" s="3210"/>
      <c r="I39" s="3210"/>
      <c r="J39" s="3211"/>
      <c r="K39" s="3168"/>
      <c r="L39" s="3169"/>
      <c r="M39" s="3165"/>
      <c r="N39" s="3165"/>
      <c r="O39" s="3165"/>
      <c r="P39" s="3165"/>
      <c r="Q39" s="3202"/>
      <c r="R39" s="3168"/>
      <c r="S39" s="3169"/>
      <c r="T39" s="971"/>
    </row>
    <row r="40" spans="1:24" ht="31.15" customHeight="1" thickBot="1" x14ac:dyDescent="0.4">
      <c r="A40" s="3131" t="s">
        <v>651</v>
      </c>
      <c r="B40" s="3132"/>
      <c r="C40" s="3133"/>
      <c r="D40" s="3203" t="s">
        <v>652</v>
      </c>
      <c r="E40" s="3204"/>
      <c r="F40" s="3204"/>
      <c r="G40" s="3204"/>
      <c r="H40" s="3204"/>
      <c r="I40" s="3204"/>
      <c r="J40" s="3205"/>
      <c r="K40" s="3170">
        <v>822</v>
      </c>
      <c r="L40" s="3171"/>
      <c r="M40" s="1015">
        <v>124</v>
      </c>
      <c r="N40" s="1015"/>
      <c r="O40" s="1015"/>
      <c r="P40" s="1015">
        <f>M40+N40+O40</f>
        <v>124</v>
      </c>
      <c r="Q40" s="1016">
        <v>206.22337999999999</v>
      </c>
      <c r="R40" s="3170">
        <v>822</v>
      </c>
      <c r="S40" s="3171"/>
      <c r="T40" s="971"/>
    </row>
    <row r="41" spans="1:24" ht="15.65" customHeight="1" x14ac:dyDescent="0.3">
      <c r="A41" s="3040" t="s">
        <v>653</v>
      </c>
      <c r="B41" s="3041"/>
      <c r="C41" s="3042"/>
      <c r="D41" s="3046" t="s">
        <v>654</v>
      </c>
      <c r="E41" s="3047"/>
      <c r="F41" s="3047"/>
      <c r="G41" s="3047"/>
      <c r="H41" s="3047"/>
      <c r="I41" s="3047"/>
      <c r="J41" s="3048"/>
      <c r="K41" s="3166">
        <f>K44</f>
        <v>76</v>
      </c>
      <c r="L41" s="3167"/>
      <c r="M41" s="3165">
        <v>9794</v>
      </c>
      <c r="N41" s="3165"/>
      <c r="O41" s="3165"/>
      <c r="P41" s="3165">
        <f>P44+P45+P46</f>
        <v>11948</v>
      </c>
      <c r="Q41" s="3202">
        <v>12087.288329999999</v>
      </c>
      <c r="R41" s="3166">
        <f>R44</f>
        <v>80.599999999999994</v>
      </c>
      <c r="S41" s="3167"/>
      <c r="T41" s="971"/>
    </row>
    <row r="42" spans="1:24" ht="16.149999999999999" customHeight="1" thickBot="1" x14ac:dyDescent="0.35">
      <c r="A42" s="3043"/>
      <c r="B42" s="3044"/>
      <c r="C42" s="3045"/>
      <c r="D42" s="3049"/>
      <c r="E42" s="3050"/>
      <c r="F42" s="3050"/>
      <c r="G42" s="3050"/>
      <c r="H42" s="3050"/>
      <c r="I42" s="3050"/>
      <c r="J42" s="3051"/>
      <c r="K42" s="3168"/>
      <c r="L42" s="3169"/>
      <c r="M42" s="3165"/>
      <c r="N42" s="3165"/>
      <c r="O42" s="3165"/>
      <c r="P42" s="3165"/>
      <c r="Q42" s="3202"/>
      <c r="R42" s="3168"/>
      <c r="S42" s="3169"/>
      <c r="T42" s="971"/>
    </row>
    <row r="43" spans="1:24" ht="16.149999999999999" hidden="1" customHeight="1" thickBot="1" x14ac:dyDescent="0.35">
      <c r="A43" s="979"/>
      <c r="B43" s="980"/>
      <c r="C43" s="980"/>
      <c r="D43" s="988"/>
      <c r="E43" s="989"/>
      <c r="F43" s="989"/>
      <c r="G43" s="989"/>
      <c r="H43" s="989"/>
      <c r="I43" s="989"/>
      <c r="J43" s="990"/>
      <c r="K43" s="1017"/>
      <c r="L43" s="1018"/>
      <c r="M43" s="1019"/>
      <c r="N43" s="1019"/>
      <c r="O43" s="1019"/>
      <c r="P43" s="1019"/>
      <c r="Q43" s="1020"/>
      <c r="R43" s="1017"/>
      <c r="S43" s="1018"/>
      <c r="T43" s="971"/>
    </row>
    <row r="44" spans="1:24" ht="16" thickBot="1" x14ac:dyDescent="0.4">
      <c r="A44" s="3116" t="s">
        <v>655</v>
      </c>
      <c r="B44" s="3117"/>
      <c r="C44" s="3118"/>
      <c r="D44" s="3128" t="s">
        <v>656</v>
      </c>
      <c r="E44" s="3129"/>
      <c r="F44" s="3129"/>
      <c r="G44" s="3129"/>
      <c r="H44" s="3129"/>
      <c r="I44" s="3129"/>
      <c r="J44" s="3130"/>
      <c r="K44" s="3170">
        <v>76</v>
      </c>
      <c r="L44" s="3171"/>
      <c r="M44" s="1015">
        <v>124</v>
      </c>
      <c r="N44" s="1015"/>
      <c r="O44" s="1015"/>
      <c r="P44" s="1015">
        <f>M44+N44+O44</f>
        <v>124</v>
      </c>
      <c r="Q44" s="1016">
        <v>206.22337999999999</v>
      </c>
      <c r="R44" s="3170">
        <v>80.599999999999994</v>
      </c>
      <c r="S44" s="3171"/>
      <c r="T44" s="971"/>
    </row>
    <row r="45" spans="1:24" ht="15.65" customHeight="1" x14ac:dyDescent="0.3">
      <c r="A45" s="3040" t="s">
        <v>657</v>
      </c>
      <c r="B45" s="3041"/>
      <c r="C45" s="3042"/>
      <c r="D45" s="3046" t="s">
        <v>658</v>
      </c>
      <c r="E45" s="3047"/>
      <c r="F45" s="3047"/>
      <c r="G45" s="3047"/>
      <c r="H45" s="3047"/>
      <c r="I45" s="3047"/>
      <c r="J45" s="3048"/>
      <c r="K45" s="3166">
        <f>K48+K50+K49</f>
        <v>44852.9</v>
      </c>
      <c r="L45" s="3167"/>
      <c r="M45" s="3165">
        <v>9794</v>
      </c>
      <c r="N45" s="3165"/>
      <c r="O45" s="3165"/>
      <c r="P45" s="3165">
        <f>P48+P49+P50</f>
        <v>11824</v>
      </c>
      <c r="Q45" s="3202">
        <v>12087.288329999999</v>
      </c>
      <c r="R45" s="3166">
        <f>R48+R50+R49</f>
        <v>47544.1</v>
      </c>
      <c r="S45" s="3167"/>
      <c r="T45" s="971"/>
    </row>
    <row r="46" spans="1:24" ht="16.149999999999999" customHeight="1" thickBot="1" x14ac:dyDescent="0.35">
      <c r="A46" s="3043"/>
      <c r="B46" s="3044"/>
      <c r="C46" s="3045"/>
      <c r="D46" s="3049"/>
      <c r="E46" s="3050"/>
      <c r="F46" s="3050"/>
      <c r="G46" s="3050"/>
      <c r="H46" s="3050"/>
      <c r="I46" s="3050"/>
      <c r="J46" s="3051"/>
      <c r="K46" s="3168"/>
      <c r="L46" s="3169"/>
      <c r="M46" s="3165"/>
      <c r="N46" s="3165"/>
      <c r="O46" s="3165"/>
      <c r="P46" s="3165"/>
      <c r="Q46" s="3202"/>
      <c r="R46" s="3168"/>
      <c r="S46" s="3169"/>
      <c r="T46" s="971"/>
    </row>
    <row r="47" spans="1:24" ht="16.149999999999999" hidden="1" customHeight="1" thickBot="1" x14ac:dyDescent="0.35">
      <c r="A47" s="979"/>
      <c r="B47" s="980"/>
      <c r="C47" s="980"/>
      <c r="D47" s="993"/>
      <c r="E47" s="994"/>
      <c r="F47" s="994"/>
      <c r="G47" s="994"/>
      <c r="H47" s="994"/>
      <c r="I47" s="994"/>
      <c r="J47" s="995"/>
      <c r="K47" s="1017"/>
      <c r="L47" s="1018"/>
      <c r="M47" s="1019"/>
      <c r="N47" s="1019"/>
      <c r="O47" s="1019"/>
      <c r="P47" s="1019"/>
      <c r="Q47" s="1020"/>
      <c r="R47" s="1017"/>
      <c r="S47" s="1018"/>
      <c r="T47" s="971"/>
    </row>
    <row r="48" spans="1:24" ht="15.65" customHeight="1" thickBot="1" x14ac:dyDescent="0.4">
      <c r="A48" s="3116" t="s">
        <v>659</v>
      </c>
      <c r="B48" s="3117"/>
      <c r="C48" s="3118"/>
      <c r="D48" s="972" t="s">
        <v>660</v>
      </c>
      <c r="E48" s="975"/>
      <c r="F48" s="975"/>
      <c r="G48" s="975"/>
      <c r="H48" s="975"/>
      <c r="I48" s="975"/>
      <c r="J48" s="974"/>
      <c r="K48" s="3170">
        <v>7392.9</v>
      </c>
      <c r="L48" s="3171"/>
      <c r="M48" s="1015">
        <v>124</v>
      </c>
      <c r="N48" s="1015"/>
      <c r="O48" s="1015"/>
      <c r="P48" s="1015">
        <f>M48+N48+O48</f>
        <v>124</v>
      </c>
      <c r="Q48" s="1016">
        <v>206.22337999999999</v>
      </c>
      <c r="R48" s="3170">
        <v>7836.5</v>
      </c>
      <c r="S48" s="3171"/>
      <c r="T48" s="971"/>
    </row>
    <row r="49" spans="1:20" ht="15.65" hidden="1" customHeight="1" thickBot="1" x14ac:dyDescent="0.4">
      <c r="A49" s="3116" t="s">
        <v>661</v>
      </c>
      <c r="B49" s="3117"/>
      <c r="C49" s="3118"/>
      <c r="D49" s="996" t="s">
        <v>662</v>
      </c>
      <c r="E49" s="997"/>
      <c r="F49" s="997"/>
      <c r="G49" s="997"/>
      <c r="H49" s="997"/>
      <c r="I49" s="997"/>
      <c r="J49" s="998"/>
      <c r="K49" s="3170"/>
      <c r="L49" s="3171"/>
      <c r="M49" s="1015"/>
      <c r="N49" s="1015"/>
      <c r="O49" s="1015"/>
      <c r="P49" s="1015"/>
      <c r="Q49" s="1016"/>
      <c r="R49" s="3170"/>
      <c r="S49" s="3171"/>
      <c r="T49" s="971"/>
    </row>
    <row r="50" spans="1:20" ht="16" thickBot="1" x14ac:dyDescent="0.4">
      <c r="A50" s="3116" t="s">
        <v>663</v>
      </c>
      <c r="B50" s="3117"/>
      <c r="C50" s="3118"/>
      <c r="D50" s="972" t="s">
        <v>664</v>
      </c>
      <c r="E50" s="975"/>
      <c r="F50" s="975"/>
      <c r="G50" s="975"/>
      <c r="H50" s="975"/>
      <c r="I50" s="975"/>
      <c r="J50" s="974"/>
      <c r="K50" s="3170">
        <v>37460</v>
      </c>
      <c r="L50" s="3171"/>
      <c r="M50" s="1015">
        <v>7700</v>
      </c>
      <c r="N50" s="1015">
        <v>2000</v>
      </c>
      <c r="O50" s="1015">
        <v>2000</v>
      </c>
      <c r="P50" s="1015">
        <f>M50+N50+O50</f>
        <v>11700</v>
      </c>
      <c r="Q50" s="1016">
        <v>9069.3240700000006</v>
      </c>
      <c r="R50" s="3170">
        <v>39707.599999999999</v>
      </c>
      <c r="S50" s="3171"/>
      <c r="T50" s="971"/>
    </row>
    <row r="51" spans="1:20" ht="15.65" customHeight="1" x14ac:dyDescent="0.3">
      <c r="A51" s="3040" t="s">
        <v>665</v>
      </c>
      <c r="B51" s="3041"/>
      <c r="C51" s="3042"/>
      <c r="D51" s="3046" t="s">
        <v>666</v>
      </c>
      <c r="E51" s="3047"/>
      <c r="F51" s="3047"/>
      <c r="G51" s="3047"/>
      <c r="H51" s="3047"/>
      <c r="I51" s="3047"/>
      <c r="J51" s="3048"/>
      <c r="K51" s="3166">
        <f>K53</f>
        <v>6</v>
      </c>
      <c r="L51" s="3167"/>
      <c r="M51" s="3165">
        <v>17</v>
      </c>
      <c r="N51" s="3165"/>
      <c r="O51" s="3165"/>
      <c r="P51" s="3165">
        <f>M51+N51+O51</f>
        <v>17</v>
      </c>
      <c r="Q51" s="3165">
        <v>3.9649999999999999</v>
      </c>
      <c r="R51" s="3166">
        <f>R53</f>
        <v>7</v>
      </c>
      <c r="S51" s="3167"/>
      <c r="T51" s="971"/>
    </row>
    <row r="52" spans="1:20" ht="13.9" customHeight="1" thickBot="1" x14ac:dyDescent="0.35">
      <c r="A52" s="3043"/>
      <c r="B52" s="3044"/>
      <c r="C52" s="3045"/>
      <c r="D52" s="3049"/>
      <c r="E52" s="3050"/>
      <c r="F52" s="3050"/>
      <c r="G52" s="3050"/>
      <c r="H52" s="3050"/>
      <c r="I52" s="3050"/>
      <c r="J52" s="3051"/>
      <c r="K52" s="3168"/>
      <c r="L52" s="3169"/>
      <c r="M52" s="3165"/>
      <c r="N52" s="3165"/>
      <c r="O52" s="3165"/>
      <c r="P52" s="3165"/>
      <c r="Q52" s="3165"/>
      <c r="R52" s="3168"/>
      <c r="S52" s="3169"/>
      <c r="T52" s="971"/>
    </row>
    <row r="53" spans="1:20" x14ac:dyDescent="0.35">
      <c r="A53" s="3028" t="s">
        <v>667</v>
      </c>
      <c r="B53" s="3029"/>
      <c r="C53" s="2914"/>
      <c r="D53" s="982" t="s">
        <v>668</v>
      </c>
      <c r="E53" s="983"/>
      <c r="F53" s="983"/>
      <c r="G53" s="983"/>
      <c r="H53" s="983"/>
      <c r="I53" s="983"/>
      <c r="J53" s="983"/>
      <c r="K53" s="3181">
        <v>6</v>
      </c>
      <c r="L53" s="3182"/>
      <c r="M53" s="3165">
        <v>17</v>
      </c>
      <c r="N53" s="3165"/>
      <c r="O53" s="3165"/>
      <c r="P53" s="3165">
        <f>M53+N53+O53</f>
        <v>17</v>
      </c>
      <c r="Q53" s="3165">
        <v>3.9649999999999999</v>
      </c>
      <c r="R53" s="3181">
        <v>7</v>
      </c>
      <c r="S53" s="3182"/>
      <c r="T53" s="971"/>
    </row>
    <row r="54" spans="1:20" x14ac:dyDescent="0.35">
      <c r="A54" s="3053"/>
      <c r="B54" s="3054"/>
      <c r="C54" s="3055"/>
      <c r="D54" s="996" t="s">
        <v>669</v>
      </c>
      <c r="E54" s="997"/>
      <c r="F54" s="997"/>
      <c r="G54" s="997"/>
      <c r="H54" s="997"/>
      <c r="I54" s="997"/>
      <c r="J54" s="997"/>
      <c r="K54" s="3185"/>
      <c r="L54" s="3186"/>
      <c r="M54" s="3165"/>
      <c r="N54" s="3165"/>
      <c r="O54" s="3165"/>
      <c r="P54" s="3165"/>
      <c r="Q54" s="3165"/>
      <c r="R54" s="3185"/>
      <c r="S54" s="3186"/>
      <c r="T54" s="971"/>
    </row>
    <row r="55" spans="1:20" x14ac:dyDescent="0.35">
      <c r="A55" s="3053"/>
      <c r="B55" s="3054"/>
      <c r="C55" s="3055"/>
      <c r="D55" s="996" t="s">
        <v>670</v>
      </c>
      <c r="E55" s="997"/>
      <c r="F55" s="997"/>
      <c r="G55" s="997"/>
      <c r="H55" s="997"/>
      <c r="I55" s="997"/>
      <c r="J55" s="997"/>
      <c r="K55" s="3185"/>
      <c r="L55" s="3186"/>
      <c r="M55" s="3165"/>
      <c r="N55" s="3165"/>
      <c r="O55" s="3165"/>
      <c r="P55" s="3165"/>
      <c r="Q55" s="3165"/>
      <c r="R55" s="3185"/>
      <c r="S55" s="3186"/>
      <c r="T55" s="971"/>
    </row>
    <row r="56" spans="1:20" ht="16" thickBot="1" x14ac:dyDescent="0.4">
      <c r="A56" s="3030"/>
      <c r="B56" s="3031"/>
      <c r="C56" s="2915"/>
      <c r="D56" s="985" t="s">
        <v>671</v>
      </c>
      <c r="E56" s="986"/>
      <c r="F56" s="986"/>
      <c r="G56" s="986"/>
      <c r="H56" s="986"/>
      <c r="I56" s="986"/>
      <c r="J56" s="986"/>
      <c r="K56" s="3187"/>
      <c r="L56" s="3188"/>
      <c r="M56" s="3165"/>
      <c r="N56" s="3165"/>
      <c r="O56" s="3165"/>
      <c r="P56" s="3165"/>
      <c r="Q56" s="3165"/>
      <c r="R56" s="3187"/>
      <c r="S56" s="3188"/>
      <c r="T56" s="971"/>
    </row>
    <row r="57" spans="1:20" ht="15" x14ac:dyDescent="0.3">
      <c r="A57" s="3040" t="s">
        <v>672</v>
      </c>
      <c r="B57" s="3041"/>
      <c r="C57" s="3042"/>
      <c r="D57" s="976" t="s">
        <v>673</v>
      </c>
      <c r="E57" s="977"/>
      <c r="F57" s="977"/>
      <c r="G57" s="977"/>
      <c r="H57" s="977"/>
      <c r="I57" s="977"/>
      <c r="J57" s="978"/>
      <c r="K57" s="3166">
        <f>K60+K64+K72+K68</f>
        <v>1842.78</v>
      </c>
      <c r="L57" s="3167"/>
      <c r="M57" s="3165">
        <v>2183.6579999999999</v>
      </c>
      <c r="N57" s="3165"/>
      <c r="O57" s="3165"/>
      <c r="P57" s="3165">
        <f>P60+P64+P72</f>
        <v>2913.6940000000004</v>
      </c>
      <c r="Q57" s="3165">
        <v>2859.2967100000001</v>
      </c>
      <c r="R57" s="3166">
        <f>R60+R64+R72+R68</f>
        <v>1903.681</v>
      </c>
      <c r="S57" s="3167"/>
      <c r="T57" s="971"/>
    </row>
    <row r="58" spans="1:20" ht="15" x14ac:dyDescent="0.3">
      <c r="A58" s="3092"/>
      <c r="B58" s="3093"/>
      <c r="C58" s="3094"/>
      <c r="D58" s="999" t="s">
        <v>674</v>
      </c>
      <c r="E58" s="1000"/>
      <c r="F58" s="1000"/>
      <c r="G58" s="1000"/>
      <c r="H58" s="1000"/>
      <c r="I58" s="1000"/>
      <c r="J58" s="1001"/>
      <c r="K58" s="3177"/>
      <c r="L58" s="3178"/>
      <c r="M58" s="3165"/>
      <c r="N58" s="3165"/>
      <c r="O58" s="3165"/>
      <c r="P58" s="3165"/>
      <c r="Q58" s="3165"/>
      <c r="R58" s="3177"/>
      <c r="S58" s="3178"/>
      <c r="T58" s="971"/>
    </row>
    <row r="59" spans="1:20" thickBot="1" x14ac:dyDescent="0.35">
      <c r="A59" s="3043"/>
      <c r="B59" s="3044"/>
      <c r="C59" s="3045"/>
      <c r="D59" s="979" t="s">
        <v>675</v>
      </c>
      <c r="E59" s="980"/>
      <c r="F59" s="980"/>
      <c r="G59" s="980"/>
      <c r="H59" s="980"/>
      <c r="I59" s="980"/>
      <c r="J59" s="981"/>
      <c r="K59" s="3168"/>
      <c r="L59" s="3169"/>
      <c r="M59" s="3165"/>
      <c r="N59" s="3165"/>
      <c r="O59" s="3165"/>
      <c r="P59" s="3165"/>
      <c r="Q59" s="3165"/>
      <c r="R59" s="3168"/>
      <c r="S59" s="3169"/>
      <c r="T59" s="971"/>
    </row>
    <row r="60" spans="1:20" ht="15.65" hidden="1" customHeight="1" thickBot="1" x14ac:dyDescent="0.4">
      <c r="A60" s="3028" t="s">
        <v>676</v>
      </c>
      <c r="B60" s="3029"/>
      <c r="C60" s="2914"/>
      <c r="D60" s="982" t="s">
        <v>677</v>
      </c>
      <c r="E60" s="983"/>
      <c r="F60" s="983"/>
      <c r="G60" s="983"/>
      <c r="H60" s="983"/>
      <c r="I60" s="983"/>
      <c r="J60" s="984"/>
      <c r="K60" s="3181"/>
      <c r="L60" s="3182"/>
      <c r="M60" s="3165">
        <v>1030</v>
      </c>
      <c r="N60" s="3165">
        <v>140</v>
      </c>
      <c r="O60" s="3165">
        <v>140</v>
      </c>
      <c r="P60" s="3165">
        <f>M60+N60+O60</f>
        <v>1310</v>
      </c>
      <c r="Q60" s="3165">
        <v>1430.7293099999999</v>
      </c>
      <c r="R60" s="3181"/>
      <c r="S60" s="3182"/>
      <c r="T60" s="971"/>
    </row>
    <row r="61" spans="1:20" ht="15.65" hidden="1" customHeight="1" thickBot="1" x14ac:dyDescent="0.4">
      <c r="A61" s="3053"/>
      <c r="B61" s="3054"/>
      <c r="C61" s="3055"/>
      <c r="D61" s="996" t="s">
        <v>678</v>
      </c>
      <c r="E61" s="997"/>
      <c r="F61" s="997"/>
      <c r="G61" s="997"/>
      <c r="H61" s="997"/>
      <c r="I61" s="997"/>
      <c r="J61" s="998"/>
      <c r="K61" s="3185"/>
      <c r="L61" s="3186"/>
      <c r="M61" s="3165"/>
      <c r="N61" s="3165"/>
      <c r="O61" s="3165"/>
      <c r="P61" s="3165"/>
      <c r="Q61" s="3165"/>
      <c r="R61" s="3185"/>
      <c r="S61" s="3186"/>
      <c r="T61" s="971"/>
    </row>
    <row r="62" spans="1:20" ht="15.65" hidden="1" customHeight="1" thickBot="1" x14ac:dyDescent="0.4">
      <c r="A62" s="3053"/>
      <c r="B62" s="3054"/>
      <c r="C62" s="3055"/>
      <c r="D62" s="996" t="s">
        <v>679</v>
      </c>
      <c r="E62" s="997"/>
      <c r="F62" s="997"/>
      <c r="G62" s="997"/>
      <c r="H62" s="997"/>
      <c r="I62" s="997"/>
      <c r="J62" s="998"/>
      <c r="K62" s="3185"/>
      <c r="L62" s="3186"/>
      <c r="M62" s="3165"/>
      <c r="N62" s="3165"/>
      <c r="O62" s="3165"/>
      <c r="P62" s="3165"/>
      <c r="Q62" s="3165"/>
      <c r="R62" s="3185"/>
      <c r="S62" s="3186"/>
      <c r="T62" s="971"/>
    </row>
    <row r="63" spans="1:20" ht="15.65" hidden="1" customHeight="1" thickBot="1" x14ac:dyDescent="0.4">
      <c r="A63" s="3030"/>
      <c r="B63" s="3031"/>
      <c r="C63" s="2915"/>
      <c r="D63" s="985" t="s">
        <v>680</v>
      </c>
      <c r="E63" s="986"/>
      <c r="F63" s="986"/>
      <c r="G63" s="986"/>
      <c r="H63" s="986"/>
      <c r="I63" s="986"/>
      <c r="J63" s="987"/>
      <c r="K63" s="3187"/>
      <c r="L63" s="3188"/>
      <c r="M63" s="3165"/>
      <c r="N63" s="3165"/>
      <c r="O63" s="3165"/>
      <c r="P63" s="3165"/>
      <c r="Q63" s="3165"/>
      <c r="R63" s="3187"/>
      <c r="S63" s="3188"/>
      <c r="T63" s="971"/>
    </row>
    <row r="64" spans="1:20" ht="15.65" hidden="1" customHeight="1" thickBot="1" x14ac:dyDescent="0.4">
      <c r="A64" s="3028" t="s">
        <v>681</v>
      </c>
      <c r="B64" s="3029"/>
      <c r="C64" s="2914"/>
      <c r="D64" s="982" t="s">
        <v>682</v>
      </c>
      <c r="E64" s="983"/>
      <c r="F64" s="983"/>
      <c r="G64" s="983"/>
      <c r="H64" s="983"/>
      <c r="I64" s="983"/>
      <c r="J64" s="984"/>
      <c r="K64" s="3181"/>
      <c r="L64" s="3182"/>
      <c r="M64" s="3165">
        <v>928.55</v>
      </c>
      <c r="N64" s="3165">
        <v>200</v>
      </c>
      <c r="O64" s="3165">
        <v>200</v>
      </c>
      <c r="P64" s="3165">
        <f>M64+N64+O64</f>
        <v>1328.55</v>
      </c>
      <c r="Q64" s="3165">
        <v>1007.7294000000001</v>
      </c>
      <c r="R64" s="3181"/>
      <c r="S64" s="3182"/>
      <c r="T64" s="971"/>
    </row>
    <row r="65" spans="1:20" ht="14.25" hidden="1" customHeight="1" x14ac:dyDescent="0.35">
      <c r="A65" s="3053"/>
      <c r="B65" s="3054"/>
      <c r="C65" s="3055"/>
      <c r="D65" s="996" t="s">
        <v>683</v>
      </c>
      <c r="E65" s="997"/>
      <c r="F65" s="997"/>
      <c r="G65" s="997"/>
      <c r="H65" s="997"/>
      <c r="I65" s="997"/>
      <c r="J65" s="998"/>
      <c r="K65" s="3185"/>
      <c r="L65" s="3186"/>
      <c r="M65" s="3165"/>
      <c r="N65" s="3165"/>
      <c r="O65" s="3165"/>
      <c r="P65" s="3165"/>
      <c r="Q65" s="3165"/>
      <c r="R65" s="3185"/>
      <c r="S65" s="3186"/>
      <c r="T65" s="971"/>
    </row>
    <row r="66" spans="1:20" ht="15.75" hidden="1" customHeight="1" x14ac:dyDescent="0.35">
      <c r="A66" s="3053"/>
      <c r="B66" s="3054"/>
      <c r="C66" s="3055"/>
      <c r="D66" s="996" t="s">
        <v>684</v>
      </c>
      <c r="E66" s="997"/>
      <c r="F66" s="997"/>
      <c r="G66" s="997"/>
      <c r="H66" s="997"/>
      <c r="I66" s="997"/>
      <c r="J66" s="998"/>
      <c r="K66" s="3185"/>
      <c r="L66" s="3186"/>
      <c r="M66" s="3165"/>
      <c r="N66" s="3165"/>
      <c r="O66" s="3165"/>
      <c r="P66" s="3165"/>
      <c r="Q66" s="3165"/>
      <c r="R66" s="3185"/>
      <c r="S66" s="3186"/>
      <c r="T66" s="971"/>
    </row>
    <row r="67" spans="1:20" ht="15.75" hidden="1" customHeight="1" thickBot="1" x14ac:dyDescent="0.4">
      <c r="A67" s="3030"/>
      <c r="B67" s="3031"/>
      <c r="C67" s="2915"/>
      <c r="D67" s="985" t="s">
        <v>685</v>
      </c>
      <c r="E67" s="986"/>
      <c r="F67" s="986"/>
      <c r="G67" s="986"/>
      <c r="H67" s="986"/>
      <c r="I67" s="986"/>
      <c r="J67" s="987"/>
      <c r="K67" s="3187"/>
      <c r="L67" s="3188"/>
      <c r="M67" s="3165"/>
      <c r="N67" s="3165"/>
      <c r="O67" s="3165"/>
      <c r="P67" s="3165"/>
      <c r="Q67" s="3165"/>
      <c r="R67" s="3187"/>
      <c r="S67" s="3188"/>
      <c r="T67" s="971"/>
    </row>
    <row r="68" spans="1:20" x14ac:dyDescent="0.35">
      <c r="A68" s="3028" t="s">
        <v>686</v>
      </c>
      <c r="B68" s="3029"/>
      <c r="C68" s="2914"/>
      <c r="D68" s="1002"/>
      <c r="E68" s="997"/>
      <c r="F68" s="997"/>
      <c r="G68" s="997"/>
      <c r="H68" s="997"/>
      <c r="I68" s="997"/>
      <c r="J68" s="998"/>
      <c r="K68" s="3181">
        <v>851.68</v>
      </c>
      <c r="L68" s="3182"/>
      <c r="M68" s="3165">
        <v>928.55</v>
      </c>
      <c r="N68" s="3165">
        <v>200</v>
      </c>
      <c r="O68" s="3165">
        <v>200</v>
      </c>
      <c r="P68" s="3165">
        <f>M68+N68+O68</f>
        <v>1328.55</v>
      </c>
      <c r="Q68" s="3165">
        <v>1007.7294000000001</v>
      </c>
      <c r="R68" s="3181">
        <v>853.08100000000002</v>
      </c>
      <c r="S68" s="3182"/>
      <c r="T68" s="971"/>
    </row>
    <row r="69" spans="1:20" ht="14.25" customHeight="1" x14ac:dyDescent="0.35">
      <c r="A69" s="3053"/>
      <c r="B69" s="3054"/>
      <c r="C69" s="3055"/>
      <c r="D69" s="997" t="s">
        <v>687</v>
      </c>
      <c r="E69" s="997"/>
      <c r="F69" s="997"/>
      <c r="G69" s="997"/>
      <c r="H69" s="997"/>
      <c r="I69" s="997"/>
      <c r="J69" s="998"/>
      <c r="K69" s="3185"/>
      <c r="L69" s="3186"/>
      <c r="M69" s="3165"/>
      <c r="N69" s="3165"/>
      <c r="O69" s="3165"/>
      <c r="P69" s="3165"/>
      <c r="Q69" s="3165"/>
      <c r="R69" s="3185"/>
      <c r="S69" s="3186"/>
      <c r="T69" s="971"/>
    </row>
    <row r="70" spans="1:20" ht="15.75" customHeight="1" x14ac:dyDescent="0.35">
      <c r="A70" s="3053"/>
      <c r="B70" s="3054"/>
      <c r="C70" s="3055"/>
      <c r="D70" s="997" t="s">
        <v>688</v>
      </c>
      <c r="E70" s="997"/>
      <c r="F70" s="997"/>
      <c r="G70" s="997"/>
      <c r="H70" s="997"/>
      <c r="I70" s="997"/>
      <c r="J70" s="998"/>
      <c r="K70" s="3185"/>
      <c r="L70" s="3186"/>
      <c r="M70" s="3165"/>
      <c r="N70" s="3165"/>
      <c r="O70" s="3165"/>
      <c r="P70" s="3165"/>
      <c r="Q70" s="3165"/>
      <c r="R70" s="3185"/>
      <c r="S70" s="3186"/>
      <c r="T70" s="971"/>
    </row>
    <row r="71" spans="1:20" ht="15.75" customHeight="1" thickBot="1" x14ac:dyDescent="0.4">
      <c r="A71" s="3030"/>
      <c r="B71" s="3031"/>
      <c r="C71" s="2915"/>
      <c r="D71" s="986"/>
      <c r="E71" s="986"/>
      <c r="F71" s="986"/>
      <c r="G71" s="986"/>
      <c r="H71" s="986"/>
      <c r="I71" s="986"/>
      <c r="J71" s="987"/>
      <c r="K71" s="3187"/>
      <c r="L71" s="3188"/>
      <c r="M71" s="3165"/>
      <c r="N71" s="3165"/>
      <c r="O71" s="3165"/>
      <c r="P71" s="3165"/>
      <c r="Q71" s="3165"/>
      <c r="R71" s="3187"/>
      <c r="S71" s="3188"/>
      <c r="T71" s="971"/>
    </row>
    <row r="72" spans="1:20" ht="15" customHeight="1" x14ac:dyDescent="0.35">
      <c r="A72" s="3028" t="s">
        <v>689</v>
      </c>
      <c r="B72" s="3029"/>
      <c r="C72" s="2914"/>
      <c r="D72" s="982" t="s">
        <v>690</v>
      </c>
      <c r="E72" s="983"/>
      <c r="F72" s="983"/>
      <c r="G72" s="983"/>
      <c r="H72" s="983"/>
      <c r="I72" s="983"/>
      <c r="J72" s="984"/>
      <c r="K72" s="3181">
        <v>991.1</v>
      </c>
      <c r="L72" s="3182"/>
      <c r="M72" s="3198">
        <v>225.108</v>
      </c>
      <c r="N72" s="3172">
        <f>24.9+0.118</f>
        <v>25.017999999999997</v>
      </c>
      <c r="O72" s="3172">
        <v>25.018000000000001</v>
      </c>
      <c r="P72" s="3172">
        <f>M72+N72+O72</f>
        <v>275.14400000000001</v>
      </c>
      <c r="Q72" s="3172">
        <v>420.83800000000002</v>
      </c>
      <c r="R72" s="3181">
        <v>1050.5999999999999</v>
      </c>
      <c r="S72" s="3182"/>
      <c r="T72" s="971"/>
    </row>
    <row r="73" spans="1:20" ht="13.15" customHeight="1" x14ac:dyDescent="0.35">
      <c r="A73" s="3053"/>
      <c r="B73" s="3054"/>
      <c r="C73" s="3055"/>
      <c r="D73" s="996" t="s">
        <v>691</v>
      </c>
      <c r="E73" s="997"/>
      <c r="F73" s="997"/>
      <c r="G73" s="997"/>
      <c r="H73" s="997"/>
      <c r="I73" s="997"/>
      <c r="J73" s="998"/>
      <c r="K73" s="3185"/>
      <c r="L73" s="3186"/>
      <c r="M73" s="3199"/>
      <c r="N73" s="3201"/>
      <c r="O73" s="3201"/>
      <c r="P73" s="3201"/>
      <c r="Q73" s="3201"/>
      <c r="R73" s="3185"/>
      <c r="S73" s="3186"/>
      <c r="T73" s="971"/>
    </row>
    <row r="74" spans="1:20" ht="13.15" customHeight="1" x14ac:dyDescent="0.35">
      <c r="A74" s="3053"/>
      <c r="B74" s="3054"/>
      <c r="C74" s="3055"/>
      <c r="D74" s="996" t="s">
        <v>692</v>
      </c>
      <c r="E74" s="997"/>
      <c r="F74" s="997"/>
      <c r="G74" s="997"/>
      <c r="H74" s="997"/>
      <c r="I74" s="997"/>
      <c r="J74" s="998"/>
      <c r="K74" s="3185"/>
      <c r="L74" s="3186"/>
      <c r="M74" s="3199"/>
      <c r="N74" s="3201"/>
      <c r="O74" s="3201"/>
      <c r="P74" s="3201"/>
      <c r="Q74" s="3201"/>
      <c r="R74" s="3185"/>
      <c r="S74" s="3186"/>
      <c r="T74" s="971"/>
    </row>
    <row r="75" spans="1:20" ht="12.75" customHeight="1" thickBot="1" x14ac:dyDescent="0.4">
      <c r="A75" s="3030"/>
      <c r="B75" s="3031"/>
      <c r="C75" s="2915"/>
      <c r="D75" s="985" t="s">
        <v>693</v>
      </c>
      <c r="E75" s="986"/>
      <c r="F75" s="986"/>
      <c r="G75" s="986"/>
      <c r="H75" s="986"/>
      <c r="I75" s="986"/>
      <c r="J75" s="987"/>
      <c r="K75" s="3187"/>
      <c r="L75" s="3188"/>
      <c r="M75" s="3200"/>
      <c r="N75" s="3173"/>
      <c r="O75" s="3173"/>
      <c r="P75" s="3173"/>
      <c r="Q75" s="3173"/>
      <c r="R75" s="3187"/>
      <c r="S75" s="3188"/>
      <c r="T75" s="971"/>
    </row>
    <row r="76" spans="1:20" ht="15" x14ac:dyDescent="0.3">
      <c r="A76" s="3040" t="s">
        <v>694</v>
      </c>
      <c r="B76" s="3041"/>
      <c r="C76" s="3042"/>
      <c r="D76" s="976" t="s">
        <v>887</v>
      </c>
      <c r="E76" s="977"/>
      <c r="F76" s="977"/>
      <c r="G76" s="977"/>
      <c r="H76" s="977"/>
      <c r="I76" s="977"/>
      <c r="J76" s="978"/>
      <c r="K76" s="3166">
        <f>K78+K81</f>
        <v>26.5</v>
      </c>
      <c r="L76" s="3167"/>
      <c r="M76" s="3165">
        <v>97</v>
      </c>
      <c r="N76" s="3165"/>
      <c r="O76" s="3165"/>
      <c r="P76" s="3165">
        <f>P78+P81</f>
        <v>125</v>
      </c>
      <c r="Q76" s="3165">
        <v>435.29176000000001</v>
      </c>
      <c r="R76" s="3166">
        <f>R78+R81</f>
        <v>28.1</v>
      </c>
      <c r="S76" s="3167"/>
      <c r="T76" s="971"/>
    </row>
    <row r="77" spans="1:20" thickBot="1" x14ac:dyDescent="0.35">
      <c r="A77" s="3043"/>
      <c r="B77" s="3044"/>
      <c r="C77" s="3045"/>
      <c r="D77" s="979" t="s">
        <v>695</v>
      </c>
      <c r="E77" s="980"/>
      <c r="F77" s="980"/>
      <c r="G77" s="980"/>
      <c r="H77" s="980"/>
      <c r="I77" s="980"/>
      <c r="J77" s="981"/>
      <c r="K77" s="3168"/>
      <c r="L77" s="3169"/>
      <c r="M77" s="3165"/>
      <c r="N77" s="3165"/>
      <c r="O77" s="3165"/>
      <c r="P77" s="3165"/>
      <c r="Q77" s="3165"/>
      <c r="R77" s="3168"/>
      <c r="S77" s="3169"/>
      <c r="T77" s="971"/>
    </row>
    <row r="78" spans="1:20" ht="15" hidden="1" customHeight="1" x14ac:dyDescent="0.35">
      <c r="A78" s="3028" t="s">
        <v>696</v>
      </c>
      <c r="B78" s="3029"/>
      <c r="C78" s="2914"/>
      <c r="D78" s="982" t="s">
        <v>697</v>
      </c>
      <c r="E78" s="983"/>
      <c r="F78" s="983"/>
      <c r="G78" s="983"/>
      <c r="H78" s="983"/>
      <c r="I78" s="983"/>
      <c r="J78" s="984"/>
      <c r="K78" s="3181"/>
      <c r="L78" s="3193"/>
      <c r="M78" s="3165">
        <v>69</v>
      </c>
      <c r="N78" s="3165">
        <v>7</v>
      </c>
      <c r="O78" s="3165">
        <v>7</v>
      </c>
      <c r="P78" s="3165">
        <f>M78+N78+O78</f>
        <v>83</v>
      </c>
      <c r="Q78" s="3165">
        <v>0.5</v>
      </c>
      <c r="R78" s="3181"/>
      <c r="S78" s="3193"/>
      <c r="T78" s="971"/>
    </row>
    <row r="79" spans="1:20" ht="15" hidden="1" customHeight="1" x14ac:dyDescent="0.35">
      <c r="A79" s="3053"/>
      <c r="B79" s="3054"/>
      <c r="C79" s="3055"/>
      <c r="D79" s="996" t="s">
        <v>698</v>
      </c>
      <c r="E79" s="997"/>
      <c r="F79" s="997"/>
      <c r="G79" s="997"/>
      <c r="H79" s="997"/>
      <c r="I79" s="997"/>
      <c r="J79" s="998"/>
      <c r="K79" s="3194"/>
      <c r="L79" s="3195"/>
      <c r="M79" s="3165"/>
      <c r="N79" s="3165"/>
      <c r="O79" s="3165"/>
      <c r="P79" s="3165"/>
      <c r="Q79" s="3165"/>
      <c r="R79" s="3194"/>
      <c r="S79" s="3195"/>
      <c r="T79" s="971"/>
    </row>
    <row r="80" spans="1:20" ht="7.15" hidden="1" customHeight="1" x14ac:dyDescent="0.35">
      <c r="A80" s="3075"/>
      <c r="B80" s="3076"/>
      <c r="C80" s="3077"/>
      <c r="D80" s="1003"/>
      <c r="E80" s="1004"/>
      <c r="F80" s="1004"/>
      <c r="G80" s="1004"/>
      <c r="H80" s="1004"/>
      <c r="I80" s="1004"/>
      <c r="J80" s="1005"/>
      <c r="K80" s="3196"/>
      <c r="L80" s="3197"/>
      <c r="M80" s="3165"/>
      <c r="N80" s="3165"/>
      <c r="O80" s="3165"/>
      <c r="P80" s="3165"/>
      <c r="Q80" s="3165"/>
      <c r="R80" s="3196"/>
      <c r="S80" s="3197"/>
      <c r="T80" s="971"/>
    </row>
    <row r="81" spans="1:20" ht="16" thickBot="1" x14ac:dyDescent="0.4">
      <c r="A81" s="3068" t="s">
        <v>699</v>
      </c>
      <c r="B81" s="3069"/>
      <c r="C81" s="3070"/>
      <c r="D81" s="996" t="s">
        <v>700</v>
      </c>
      <c r="E81" s="997"/>
      <c r="F81" s="997"/>
      <c r="G81" s="997"/>
      <c r="H81" s="997"/>
      <c r="I81" s="997"/>
      <c r="J81" s="998"/>
      <c r="K81" s="3191">
        <v>26.5</v>
      </c>
      <c r="L81" s="3192"/>
      <c r="M81" s="1015">
        <v>28</v>
      </c>
      <c r="N81" s="1015">
        <v>7</v>
      </c>
      <c r="O81" s="1015">
        <v>7</v>
      </c>
      <c r="P81" s="1015">
        <f>M81+N81+O81</f>
        <v>42</v>
      </c>
      <c r="Q81" s="1015">
        <v>434.79176000000001</v>
      </c>
      <c r="R81" s="3191">
        <v>28.1</v>
      </c>
      <c r="S81" s="3192"/>
      <c r="T81" s="971"/>
    </row>
    <row r="82" spans="1:20" ht="15" hidden="1" x14ac:dyDescent="0.3">
      <c r="A82" s="3040" t="s">
        <v>701</v>
      </c>
      <c r="B82" s="3041"/>
      <c r="C82" s="3042"/>
      <c r="D82" s="976" t="s">
        <v>702</v>
      </c>
      <c r="E82" s="977"/>
      <c r="F82" s="977"/>
      <c r="G82" s="977"/>
      <c r="H82" s="977"/>
      <c r="I82" s="977"/>
      <c r="J82" s="978"/>
      <c r="K82" s="3166">
        <f>K85+K90+K84</f>
        <v>0</v>
      </c>
      <c r="L82" s="3167"/>
      <c r="M82" s="3165">
        <v>530</v>
      </c>
      <c r="N82" s="3165"/>
      <c r="O82" s="3165"/>
      <c r="P82" s="3165">
        <f>P84+P85+P90</f>
        <v>590</v>
      </c>
      <c r="Q82" s="3165">
        <v>375.10428000000002</v>
      </c>
      <c r="R82" s="3166">
        <f>R85+R90+R84</f>
        <v>0</v>
      </c>
      <c r="S82" s="3167"/>
      <c r="T82" s="971"/>
    </row>
    <row r="83" spans="1:20" hidden="1" thickBot="1" x14ac:dyDescent="0.35">
      <c r="A83" s="3043"/>
      <c r="B83" s="3044"/>
      <c r="C83" s="3045"/>
      <c r="D83" s="979" t="s">
        <v>703</v>
      </c>
      <c r="E83" s="980"/>
      <c r="F83" s="980"/>
      <c r="G83" s="980"/>
      <c r="H83" s="980"/>
      <c r="I83" s="980"/>
      <c r="J83" s="981"/>
      <c r="K83" s="3168"/>
      <c r="L83" s="3169"/>
      <c r="M83" s="3172"/>
      <c r="N83" s="3172"/>
      <c r="O83" s="3172"/>
      <c r="P83" s="3172"/>
      <c r="Q83" s="3172"/>
      <c r="R83" s="3168"/>
      <c r="S83" s="3169"/>
      <c r="T83" s="971"/>
    </row>
    <row r="84" spans="1:20" ht="15.65" hidden="1" customHeight="1" x14ac:dyDescent="0.35">
      <c r="A84" s="3061" t="s">
        <v>704</v>
      </c>
      <c r="B84" s="3062"/>
      <c r="C84" s="3063"/>
      <c r="D84" s="1006" t="s">
        <v>705</v>
      </c>
      <c r="E84" s="1007"/>
      <c r="F84" s="1007"/>
      <c r="G84" s="1007"/>
      <c r="H84" s="1007"/>
      <c r="I84" s="1007"/>
      <c r="J84" s="1008"/>
      <c r="K84" s="3189"/>
      <c r="L84" s="3190"/>
      <c r="M84" s="1021"/>
      <c r="N84" s="1022"/>
      <c r="O84" s="1022"/>
      <c r="P84" s="1022"/>
      <c r="Q84" s="1023">
        <v>62.085000000000001</v>
      </c>
      <c r="R84" s="3189"/>
      <c r="S84" s="3190"/>
      <c r="T84" s="971"/>
    </row>
    <row r="85" spans="1:20" hidden="1" x14ac:dyDescent="0.35">
      <c r="A85" s="3057" t="s">
        <v>706</v>
      </c>
      <c r="B85" s="3058"/>
      <c r="C85" s="3059"/>
      <c r="D85" s="996" t="s">
        <v>707</v>
      </c>
      <c r="E85" s="997"/>
      <c r="F85" s="997"/>
      <c r="G85" s="997"/>
      <c r="H85" s="997"/>
      <c r="I85" s="997"/>
      <c r="J85" s="998"/>
      <c r="K85" s="3185">
        <v>0</v>
      </c>
      <c r="L85" s="3186"/>
      <c r="M85" s="3173">
        <v>190</v>
      </c>
      <c r="N85" s="3173">
        <v>30</v>
      </c>
      <c r="O85" s="3173">
        <v>30</v>
      </c>
      <c r="P85" s="3173">
        <f>M85+N85+O85</f>
        <v>250</v>
      </c>
      <c r="Q85" s="3173">
        <v>243.4375</v>
      </c>
      <c r="R85" s="3185">
        <v>0</v>
      </c>
      <c r="S85" s="3186"/>
      <c r="T85" s="971"/>
    </row>
    <row r="86" spans="1:20" hidden="1" x14ac:dyDescent="0.35">
      <c r="A86" s="3053"/>
      <c r="B86" s="3054"/>
      <c r="C86" s="3055"/>
      <c r="D86" s="996" t="s">
        <v>708</v>
      </c>
      <c r="E86" s="997"/>
      <c r="F86" s="997"/>
      <c r="G86" s="997"/>
      <c r="H86" s="997"/>
      <c r="I86" s="997"/>
      <c r="J86" s="998"/>
      <c r="K86" s="3185"/>
      <c r="L86" s="3186"/>
      <c r="M86" s="3165"/>
      <c r="N86" s="3165"/>
      <c r="O86" s="3165"/>
      <c r="P86" s="3165"/>
      <c r="Q86" s="3165"/>
      <c r="R86" s="3185"/>
      <c r="S86" s="3186"/>
      <c r="T86" s="971"/>
    </row>
    <row r="87" spans="1:20" hidden="1" x14ac:dyDescent="0.35">
      <c r="A87" s="3053"/>
      <c r="B87" s="3054"/>
      <c r="C87" s="3055"/>
      <c r="D87" s="996" t="s">
        <v>709</v>
      </c>
      <c r="E87" s="997"/>
      <c r="F87" s="997"/>
      <c r="G87" s="997"/>
      <c r="H87" s="997"/>
      <c r="I87" s="997"/>
      <c r="J87" s="998"/>
      <c r="K87" s="3185"/>
      <c r="L87" s="3186"/>
      <c r="M87" s="3165"/>
      <c r="N87" s="3165"/>
      <c r="O87" s="3165"/>
      <c r="P87" s="3165"/>
      <c r="Q87" s="3165"/>
      <c r="R87" s="3185"/>
      <c r="S87" s="3186"/>
      <c r="T87" s="971"/>
    </row>
    <row r="88" spans="1:20" hidden="1" x14ac:dyDescent="0.35">
      <c r="A88" s="3053"/>
      <c r="B88" s="3054"/>
      <c r="C88" s="3055"/>
      <c r="D88" s="996" t="s">
        <v>710</v>
      </c>
      <c r="E88" s="997"/>
      <c r="F88" s="997"/>
      <c r="G88" s="997"/>
      <c r="H88" s="997"/>
      <c r="I88" s="997"/>
      <c r="J88" s="998"/>
      <c r="K88" s="3185"/>
      <c r="L88" s="3186"/>
      <c r="M88" s="3165"/>
      <c r="N88" s="3165"/>
      <c r="O88" s="3165"/>
      <c r="P88" s="3165"/>
      <c r="Q88" s="3165"/>
      <c r="R88" s="3185"/>
      <c r="S88" s="3186"/>
      <c r="T88" s="971"/>
    </row>
    <row r="89" spans="1:20" ht="16" hidden="1" thickBot="1" x14ac:dyDescent="0.4">
      <c r="A89" s="3030"/>
      <c r="B89" s="3031"/>
      <c r="C89" s="2915"/>
      <c r="D89" s="985" t="s">
        <v>711</v>
      </c>
      <c r="E89" s="986"/>
      <c r="F89" s="986"/>
      <c r="G89" s="986"/>
      <c r="H89" s="986"/>
      <c r="I89" s="986"/>
      <c r="J89" s="987"/>
      <c r="K89" s="3187"/>
      <c r="L89" s="3188"/>
      <c r="M89" s="3165"/>
      <c r="N89" s="3165"/>
      <c r="O89" s="3165"/>
      <c r="P89" s="3165"/>
      <c r="Q89" s="3165"/>
      <c r="R89" s="3187"/>
      <c r="S89" s="3188"/>
      <c r="T89" s="971"/>
    </row>
    <row r="90" spans="1:20" ht="15.65" hidden="1" customHeight="1" thickBot="1" x14ac:dyDescent="0.4">
      <c r="A90" s="3028" t="s">
        <v>712</v>
      </c>
      <c r="B90" s="3029"/>
      <c r="C90" s="2914"/>
      <c r="D90" s="996" t="s">
        <v>713</v>
      </c>
      <c r="E90" s="997"/>
      <c r="F90" s="997"/>
      <c r="G90" s="997"/>
      <c r="H90" s="997"/>
      <c r="I90" s="997"/>
      <c r="J90" s="998"/>
      <c r="K90" s="3181"/>
      <c r="L90" s="3182"/>
      <c r="M90" s="3165">
        <v>340</v>
      </c>
      <c r="N90" s="3165"/>
      <c r="O90" s="3165"/>
      <c r="P90" s="3165">
        <f>M90+N90+O90</f>
        <v>340</v>
      </c>
      <c r="Q90" s="3165">
        <v>69.581779999999995</v>
      </c>
      <c r="R90" s="3181"/>
      <c r="S90" s="3182"/>
      <c r="T90" s="971"/>
    </row>
    <row r="91" spans="1:20" ht="15.65" hidden="1" customHeight="1" thickBot="1" x14ac:dyDescent="0.4">
      <c r="A91" s="3053"/>
      <c r="B91" s="3054"/>
      <c r="C91" s="3055"/>
      <c r="D91" s="996" t="s">
        <v>714</v>
      </c>
      <c r="E91" s="997"/>
      <c r="F91" s="997"/>
      <c r="G91" s="997"/>
      <c r="H91" s="997"/>
      <c r="I91" s="997"/>
      <c r="J91" s="998"/>
      <c r="K91" s="3185"/>
      <c r="L91" s="3186"/>
      <c r="M91" s="3165"/>
      <c r="N91" s="3165"/>
      <c r="O91" s="3165"/>
      <c r="P91" s="3165"/>
      <c r="Q91" s="3165"/>
      <c r="R91" s="3185"/>
      <c r="S91" s="3186"/>
      <c r="T91" s="971"/>
    </row>
    <row r="92" spans="1:20" ht="15.65" hidden="1" customHeight="1" thickBot="1" x14ac:dyDescent="0.4">
      <c r="A92" s="3053"/>
      <c r="B92" s="3054"/>
      <c r="C92" s="3055"/>
      <c r="D92" s="996" t="s">
        <v>715</v>
      </c>
      <c r="E92" s="997"/>
      <c r="F92" s="997"/>
      <c r="G92" s="997"/>
      <c r="H92" s="997"/>
      <c r="I92" s="997"/>
      <c r="J92" s="998"/>
      <c r="K92" s="3185"/>
      <c r="L92" s="3186"/>
      <c r="M92" s="3165"/>
      <c r="N92" s="3165"/>
      <c r="O92" s="3165"/>
      <c r="P92" s="3165"/>
      <c r="Q92" s="3165"/>
      <c r="R92" s="3185"/>
      <c r="S92" s="3186"/>
      <c r="T92" s="971"/>
    </row>
    <row r="93" spans="1:20" ht="15.75" hidden="1" customHeight="1" thickBot="1" x14ac:dyDescent="0.4">
      <c r="A93" s="996"/>
      <c r="B93" s="997"/>
      <c r="C93" s="998"/>
      <c r="D93" s="996"/>
      <c r="E93" s="997"/>
      <c r="F93" s="997"/>
      <c r="G93" s="997"/>
      <c r="H93" s="997"/>
      <c r="I93" s="997"/>
      <c r="J93" s="998"/>
      <c r="K93" s="3185"/>
      <c r="L93" s="3186"/>
      <c r="M93" s="1015"/>
      <c r="N93" s="1015"/>
      <c r="O93" s="1015"/>
      <c r="P93" s="1015"/>
      <c r="Q93" s="1016"/>
      <c r="R93" s="3185"/>
      <c r="S93" s="3186"/>
      <c r="T93" s="971"/>
    </row>
    <row r="94" spans="1:20" ht="15.75" customHeight="1" x14ac:dyDescent="0.3">
      <c r="A94" s="3040" t="s">
        <v>716</v>
      </c>
      <c r="B94" s="3041"/>
      <c r="C94" s="3042"/>
      <c r="D94" s="3046" t="s">
        <v>717</v>
      </c>
      <c r="E94" s="3047"/>
      <c r="F94" s="3047"/>
      <c r="G94" s="3047"/>
      <c r="H94" s="3047"/>
      <c r="I94" s="3047"/>
      <c r="J94" s="3048"/>
      <c r="K94" s="3166">
        <f>K96</f>
        <v>20</v>
      </c>
      <c r="L94" s="3167"/>
      <c r="M94" s="1015"/>
      <c r="N94" s="1015"/>
      <c r="O94" s="1015"/>
      <c r="P94" s="1015"/>
      <c r="Q94" s="1016"/>
      <c r="R94" s="3166">
        <f>R96</f>
        <v>20</v>
      </c>
      <c r="S94" s="3167"/>
      <c r="T94" s="971"/>
    </row>
    <row r="95" spans="1:20" ht="15.75" customHeight="1" thickBot="1" x14ac:dyDescent="0.35">
      <c r="A95" s="3043"/>
      <c r="B95" s="3044"/>
      <c r="C95" s="3045"/>
      <c r="D95" s="3049"/>
      <c r="E95" s="3050"/>
      <c r="F95" s="3050"/>
      <c r="G95" s="3050"/>
      <c r="H95" s="3050"/>
      <c r="I95" s="3050"/>
      <c r="J95" s="3051"/>
      <c r="K95" s="3179"/>
      <c r="L95" s="3180"/>
      <c r="M95" s="1015"/>
      <c r="N95" s="1015"/>
      <c r="O95" s="1015"/>
      <c r="P95" s="1015"/>
      <c r="Q95" s="1016"/>
      <c r="R95" s="3179"/>
      <c r="S95" s="3180"/>
      <c r="T95" s="971"/>
    </row>
    <row r="96" spans="1:20" ht="15.75" customHeight="1" x14ac:dyDescent="0.3">
      <c r="A96" s="3028" t="s">
        <v>718</v>
      </c>
      <c r="B96" s="3029"/>
      <c r="C96" s="2914"/>
      <c r="D96" s="3032" t="s">
        <v>719</v>
      </c>
      <c r="E96" s="3033"/>
      <c r="F96" s="3033"/>
      <c r="G96" s="3033"/>
      <c r="H96" s="3033"/>
      <c r="I96" s="3033"/>
      <c r="J96" s="3034"/>
      <c r="K96" s="3181">
        <v>20</v>
      </c>
      <c r="L96" s="3182"/>
      <c r="M96" s="1015"/>
      <c r="N96" s="1015"/>
      <c r="O96" s="1015"/>
      <c r="P96" s="1015"/>
      <c r="Q96" s="1016"/>
      <c r="R96" s="3181">
        <v>20</v>
      </c>
      <c r="S96" s="3182"/>
      <c r="T96" s="971"/>
    </row>
    <row r="97" spans="1:20" ht="27" customHeight="1" thickBot="1" x14ac:dyDescent="0.35">
      <c r="A97" s="3030"/>
      <c r="B97" s="3031"/>
      <c r="C97" s="2915"/>
      <c r="D97" s="3035"/>
      <c r="E97" s="3036"/>
      <c r="F97" s="3036"/>
      <c r="G97" s="3036"/>
      <c r="H97" s="3036"/>
      <c r="I97" s="3036"/>
      <c r="J97" s="3037"/>
      <c r="K97" s="3183"/>
      <c r="L97" s="3184"/>
      <c r="M97" s="1015"/>
      <c r="N97" s="1015"/>
      <c r="O97" s="1015"/>
      <c r="P97" s="1015"/>
      <c r="Q97" s="1016"/>
      <c r="R97" s="3183"/>
      <c r="S97" s="3184"/>
      <c r="T97" s="971"/>
    </row>
    <row r="98" spans="1:20" ht="15" x14ac:dyDescent="0.3">
      <c r="A98" s="2968" t="s">
        <v>720</v>
      </c>
      <c r="B98" s="2969"/>
      <c r="C98" s="2970"/>
      <c r="D98" s="976"/>
      <c r="E98" s="977"/>
      <c r="F98" s="977"/>
      <c r="G98" s="977"/>
      <c r="H98" s="977"/>
      <c r="I98" s="977"/>
      <c r="J98" s="978"/>
      <c r="K98" s="3166">
        <f>K100</f>
        <v>26.5</v>
      </c>
      <c r="L98" s="3167"/>
      <c r="M98" s="3165">
        <v>90</v>
      </c>
      <c r="N98" s="3165"/>
      <c r="O98" s="3165"/>
      <c r="P98" s="3165">
        <f>P100</f>
        <v>150</v>
      </c>
      <c r="Q98" s="3165">
        <v>129.83756</v>
      </c>
      <c r="R98" s="3166">
        <f>R100</f>
        <v>28.1</v>
      </c>
      <c r="S98" s="3167"/>
      <c r="T98" s="971"/>
    </row>
    <row r="99" spans="1:20" thickBot="1" x14ac:dyDescent="0.35">
      <c r="A99" s="2971"/>
      <c r="B99" s="2972"/>
      <c r="C99" s="2973"/>
      <c r="D99" s="1009" t="s">
        <v>721</v>
      </c>
      <c r="E99" s="1010"/>
      <c r="F99" s="1010"/>
      <c r="G99" s="1010"/>
      <c r="H99" s="1010"/>
      <c r="I99" s="1010"/>
      <c r="J99" s="1011"/>
      <c r="K99" s="3179"/>
      <c r="L99" s="3180"/>
      <c r="M99" s="3165"/>
      <c r="N99" s="3165"/>
      <c r="O99" s="3165"/>
      <c r="P99" s="3165"/>
      <c r="Q99" s="3165"/>
      <c r="R99" s="3179"/>
      <c r="S99" s="3180"/>
      <c r="T99" s="971"/>
    </row>
    <row r="100" spans="1:20" ht="15" x14ac:dyDescent="0.3">
      <c r="A100" s="3018" t="s">
        <v>722</v>
      </c>
      <c r="B100" s="3019"/>
      <c r="C100" s="3020"/>
      <c r="D100" s="976"/>
      <c r="E100" s="977"/>
      <c r="F100" s="977"/>
      <c r="G100" s="977"/>
      <c r="H100" s="977"/>
      <c r="I100" s="977"/>
      <c r="J100" s="978"/>
      <c r="K100" s="3181">
        <v>26.5</v>
      </c>
      <c r="L100" s="3182"/>
      <c r="M100" s="3165">
        <v>90</v>
      </c>
      <c r="N100" s="3165">
        <v>30</v>
      </c>
      <c r="O100" s="3165">
        <v>30</v>
      </c>
      <c r="P100" s="3165">
        <f>M100+N100+O100</f>
        <v>150</v>
      </c>
      <c r="Q100" s="3165">
        <v>117.42055999999999</v>
      </c>
      <c r="R100" s="3181">
        <v>28.1</v>
      </c>
      <c r="S100" s="3182"/>
      <c r="T100" s="971"/>
    </row>
    <row r="101" spans="1:20" ht="16" thickBot="1" x14ac:dyDescent="0.4">
      <c r="A101" s="3021"/>
      <c r="B101" s="3022"/>
      <c r="C101" s="3023"/>
      <c r="D101" s="1003" t="s">
        <v>723</v>
      </c>
      <c r="E101" s="1010"/>
      <c r="F101" s="1010"/>
      <c r="G101" s="1010"/>
      <c r="H101" s="1010"/>
      <c r="I101" s="1010"/>
      <c r="J101" s="1011"/>
      <c r="K101" s="3183"/>
      <c r="L101" s="3184"/>
      <c r="M101" s="3165"/>
      <c r="N101" s="3165"/>
      <c r="O101" s="3165"/>
      <c r="P101" s="3165"/>
      <c r="Q101" s="3165"/>
      <c r="R101" s="3183"/>
      <c r="S101" s="3184"/>
      <c r="T101" s="971"/>
    </row>
    <row r="102" spans="1:20" ht="15.65" customHeight="1" x14ac:dyDescent="0.3">
      <c r="A102" s="2968" t="s">
        <v>724</v>
      </c>
      <c r="B102" s="2969"/>
      <c r="C102" s="2970"/>
      <c r="D102" s="976"/>
      <c r="E102" s="977"/>
      <c r="F102" s="977"/>
      <c r="G102" s="977"/>
      <c r="H102" s="977"/>
      <c r="I102" s="977"/>
      <c r="J102" s="978"/>
      <c r="K102" s="3166">
        <f>K105+K110+K111+K112+K114+K106+L107+K113+K109+K108</f>
        <v>20143.5</v>
      </c>
      <c r="L102" s="3167"/>
      <c r="M102" s="3165">
        <v>8484.0619999999999</v>
      </c>
      <c r="N102" s="3165"/>
      <c r="O102" s="3165"/>
      <c r="P102" s="3165">
        <f>P105+P110+P111+P112+P114</f>
        <v>8524.0619999999999</v>
      </c>
      <c r="Q102" s="3165">
        <v>3580.9459499999998</v>
      </c>
      <c r="R102" s="3166">
        <f>R105+R110+R111+R112+R114+R106+S107+R113+R109+R108</f>
        <v>20057.400000000001</v>
      </c>
      <c r="S102" s="3167"/>
      <c r="T102" s="971"/>
    </row>
    <row r="103" spans="1:20" ht="15.65" customHeight="1" x14ac:dyDescent="0.3">
      <c r="A103" s="3007"/>
      <c r="B103" s="3008"/>
      <c r="C103" s="3009"/>
      <c r="D103" s="999" t="s">
        <v>725</v>
      </c>
      <c r="E103" s="1000"/>
      <c r="F103" s="1000"/>
      <c r="G103" s="1000"/>
      <c r="H103" s="1000"/>
      <c r="I103" s="1000"/>
      <c r="J103" s="1001"/>
      <c r="K103" s="3177"/>
      <c r="L103" s="3178"/>
      <c r="M103" s="3165"/>
      <c r="N103" s="3165"/>
      <c r="O103" s="3165"/>
      <c r="P103" s="3165"/>
      <c r="Q103" s="3165"/>
      <c r="R103" s="3177"/>
      <c r="S103" s="3178"/>
      <c r="T103" s="971"/>
    </row>
    <row r="104" spans="1:20" ht="0.75" customHeight="1" thickBot="1" x14ac:dyDescent="0.35">
      <c r="A104" s="979"/>
      <c r="B104" s="980"/>
      <c r="C104" s="981"/>
      <c r="D104" s="979"/>
      <c r="E104" s="980"/>
      <c r="F104" s="980"/>
      <c r="G104" s="980"/>
      <c r="H104" s="980"/>
      <c r="I104" s="980"/>
      <c r="J104" s="981"/>
      <c r="K104" s="3168"/>
      <c r="L104" s="3169"/>
      <c r="M104" s="1015"/>
      <c r="N104" s="1015"/>
      <c r="O104" s="1015"/>
      <c r="P104" s="1015"/>
      <c r="Q104" s="1016"/>
      <c r="R104" s="3168"/>
      <c r="S104" s="3169"/>
      <c r="T104" s="971"/>
    </row>
    <row r="105" spans="1:20" ht="34.5" customHeight="1" thickBot="1" x14ac:dyDescent="0.4">
      <c r="A105" s="2958" t="s">
        <v>726</v>
      </c>
      <c r="B105" s="2959"/>
      <c r="C105" s="2960"/>
      <c r="D105" s="2978" t="s">
        <v>864</v>
      </c>
      <c r="E105" s="2979"/>
      <c r="F105" s="2979"/>
      <c r="G105" s="2979"/>
      <c r="H105" s="2979"/>
      <c r="I105" s="2979"/>
      <c r="J105" s="2980"/>
      <c r="K105" s="3170">
        <f>18807.1</f>
        <v>18807.099999999999</v>
      </c>
      <c r="L105" s="3171"/>
      <c r="M105" s="1015">
        <v>6410.5</v>
      </c>
      <c r="N105" s="1015"/>
      <c r="O105" s="1015"/>
      <c r="P105" s="1015">
        <f>M105</f>
        <v>6410.5</v>
      </c>
      <c r="Q105" s="1016">
        <v>1538.52</v>
      </c>
      <c r="R105" s="3170">
        <v>19358.900000000001</v>
      </c>
      <c r="S105" s="3171"/>
      <c r="T105" s="971"/>
    </row>
    <row r="106" spans="1:20" ht="34.5" hidden="1" customHeight="1" thickBot="1" x14ac:dyDescent="0.4">
      <c r="A106" s="2958" t="s">
        <v>727</v>
      </c>
      <c r="B106" s="2959"/>
      <c r="C106" s="2960"/>
      <c r="D106" s="2978" t="s">
        <v>796</v>
      </c>
      <c r="E106" s="2979"/>
      <c r="F106" s="2979"/>
      <c r="G106" s="2979"/>
      <c r="H106" s="2979"/>
      <c r="I106" s="2979"/>
      <c r="J106" s="2980"/>
      <c r="K106" s="3170"/>
      <c r="L106" s="3171"/>
      <c r="M106" s="1015"/>
      <c r="N106" s="1015"/>
      <c r="O106" s="1015"/>
      <c r="P106" s="1015"/>
      <c r="Q106" s="1016"/>
      <c r="R106" s="3170"/>
      <c r="S106" s="3171"/>
      <c r="T106" s="971"/>
    </row>
    <row r="107" spans="1:20" ht="36.75" hidden="1" customHeight="1" thickBot="1" x14ac:dyDescent="0.4">
      <c r="A107" s="2958" t="s">
        <v>729</v>
      </c>
      <c r="B107" s="2959"/>
      <c r="C107" s="2960"/>
      <c r="D107" s="2978" t="s">
        <v>730</v>
      </c>
      <c r="E107" s="2979"/>
      <c r="F107" s="2979"/>
      <c r="G107" s="2979"/>
      <c r="H107" s="2979"/>
      <c r="I107" s="2979"/>
      <c r="J107" s="2980"/>
      <c r="K107" s="1024"/>
      <c r="L107" s="1025"/>
      <c r="M107" s="1015">
        <v>485.56200000000001</v>
      </c>
      <c r="N107" s="1015"/>
      <c r="O107" s="1015"/>
      <c r="P107" s="1015">
        <v>485.56200000000001</v>
      </c>
      <c r="Q107" s="1016">
        <v>485.56200000000001</v>
      </c>
      <c r="R107" s="1024"/>
      <c r="S107" s="1025"/>
      <c r="T107" s="971"/>
    </row>
    <row r="108" spans="1:20" ht="60.65" hidden="1" customHeight="1" thickBot="1" x14ac:dyDescent="0.4">
      <c r="A108" s="2958" t="s">
        <v>731</v>
      </c>
      <c r="B108" s="2959"/>
      <c r="C108" s="2960"/>
      <c r="D108" s="3174" t="s">
        <v>732</v>
      </c>
      <c r="E108" s="3175"/>
      <c r="F108" s="3175"/>
      <c r="G108" s="3175"/>
      <c r="H108" s="3175"/>
      <c r="I108" s="3175"/>
      <c r="J108" s="3176"/>
      <c r="K108" s="2981"/>
      <c r="L108" s="2982"/>
      <c r="M108" s="1015"/>
      <c r="N108" s="1015"/>
      <c r="O108" s="1015"/>
      <c r="P108" s="1015"/>
      <c r="Q108" s="1016"/>
      <c r="R108" s="2981"/>
      <c r="S108" s="2982"/>
      <c r="T108" s="971"/>
    </row>
    <row r="109" spans="1:20" ht="60.65" hidden="1" customHeight="1" thickBot="1" x14ac:dyDescent="0.4">
      <c r="A109" s="2958" t="s">
        <v>733</v>
      </c>
      <c r="B109" s="2959"/>
      <c r="C109" s="2960"/>
      <c r="D109" s="2996" t="s">
        <v>734</v>
      </c>
      <c r="E109" s="2997"/>
      <c r="F109" s="2997"/>
      <c r="G109" s="2997"/>
      <c r="H109" s="2997"/>
      <c r="I109" s="2997"/>
      <c r="J109" s="2998"/>
      <c r="K109" s="2981"/>
      <c r="L109" s="2982"/>
      <c r="M109" s="1015"/>
      <c r="N109" s="1015"/>
      <c r="O109" s="1015"/>
      <c r="P109" s="1015"/>
      <c r="Q109" s="1016"/>
      <c r="R109" s="2981"/>
      <c r="S109" s="2982"/>
      <c r="T109" s="971"/>
    </row>
    <row r="110" spans="1:20" ht="36.75" customHeight="1" thickBot="1" x14ac:dyDescent="0.4">
      <c r="A110" s="2958" t="s">
        <v>735</v>
      </c>
      <c r="B110" s="2959"/>
      <c r="C110" s="2960"/>
      <c r="D110" s="2978" t="s">
        <v>736</v>
      </c>
      <c r="E110" s="2979"/>
      <c r="F110" s="2979"/>
      <c r="G110" s="2979"/>
      <c r="H110" s="2979"/>
      <c r="I110" s="2979"/>
      <c r="J110" s="2980"/>
      <c r="K110" s="2981">
        <v>662.9</v>
      </c>
      <c r="L110" s="2982"/>
      <c r="M110" s="1015">
        <v>485.56200000000001</v>
      </c>
      <c r="N110" s="1015"/>
      <c r="O110" s="1015"/>
      <c r="P110" s="1015">
        <v>485.56200000000001</v>
      </c>
      <c r="Q110" s="1016">
        <v>485.56200000000001</v>
      </c>
      <c r="R110" s="2981">
        <v>0</v>
      </c>
      <c r="S110" s="2982"/>
      <c r="T110" s="971"/>
    </row>
    <row r="111" spans="1:20" ht="53.25" customHeight="1" thickBot="1" x14ac:dyDescent="0.4">
      <c r="A111" s="2958" t="s">
        <v>737</v>
      </c>
      <c r="B111" s="2959"/>
      <c r="C111" s="2960"/>
      <c r="D111" s="2978" t="s">
        <v>889</v>
      </c>
      <c r="E111" s="2979"/>
      <c r="F111" s="2979"/>
      <c r="G111" s="2979"/>
      <c r="H111" s="2979"/>
      <c r="I111" s="2979"/>
      <c r="J111" s="2980"/>
      <c r="K111" s="2981">
        <f>598.5+0.008</f>
        <v>598.50800000000004</v>
      </c>
      <c r="L111" s="2982"/>
      <c r="M111" s="1015">
        <v>10</v>
      </c>
      <c r="N111" s="1015"/>
      <c r="O111" s="1015"/>
      <c r="P111" s="1015">
        <v>10</v>
      </c>
      <c r="Q111" s="1016">
        <v>10</v>
      </c>
      <c r="R111" s="2981">
        <f>598.5+0.008</f>
        <v>598.50800000000004</v>
      </c>
      <c r="S111" s="2982"/>
      <c r="T111" s="971"/>
    </row>
    <row r="112" spans="1:20" ht="49.15" hidden="1" customHeight="1" thickBot="1" x14ac:dyDescent="0.4">
      <c r="A112" s="2958" t="s">
        <v>738</v>
      </c>
      <c r="B112" s="2959"/>
      <c r="C112" s="2960"/>
      <c r="D112" s="2978" t="s">
        <v>739</v>
      </c>
      <c r="E112" s="2979"/>
      <c r="F112" s="2979"/>
      <c r="G112" s="2979"/>
      <c r="H112" s="2979"/>
      <c r="I112" s="2979"/>
      <c r="J112" s="2980"/>
      <c r="K112" s="2981"/>
      <c r="L112" s="2982"/>
      <c r="M112" s="1015">
        <v>613</v>
      </c>
      <c r="N112" s="1015"/>
      <c r="O112" s="1015"/>
      <c r="P112" s="1015">
        <v>613</v>
      </c>
      <c r="Q112" s="1016">
        <v>613</v>
      </c>
      <c r="R112" s="2981"/>
      <c r="S112" s="2982"/>
      <c r="T112" s="971"/>
    </row>
    <row r="113" spans="1:20" ht="58.9" hidden="1" customHeight="1" thickBot="1" x14ac:dyDescent="0.4">
      <c r="A113" s="2958" t="s">
        <v>740</v>
      </c>
      <c r="B113" s="2959"/>
      <c r="C113" s="2960"/>
      <c r="D113" s="2978" t="s">
        <v>741</v>
      </c>
      <c r="E113" s="2979"/>
      <c r="F113" s="2979"/>
      <c r="G113" s="2979"/>
      <c r="H113" s="2979"/>
      <c r="I113" s="2979"/>
      <c r="J113" s="2980"/>
      <c r="K113" s="2981"/>
      <c r="L113" s="2982"/>
      <c r="M113" s="1015"/>
      <c r="N113" s="1015"/>
      <c r="O113" s="1015"/>
      <c r="P113" s="1015"/>
      <c r="Q113" s="1016"/>
      <c r="R113" s="2981"/>
      <c r="S113" s="2982"/>
      <c r="T113" s="971"/>
    </row>
    <row r="114" spans="1:20" ht="34.5" customHeight="1" thickBot="1" x14ac:dyDescent="0.4">
      <c r="A114" s="2958" t="s">
        <v>742</v>
      </c>
      <c r="B114" s="2959"/>
      <c r="C114" s="2960"/>
      <c r="D114" s="2961" t="s">
        <v>743</v>
      </c>
      <c r="E114" s="2962"/>
      <c r="F114" s="2962"/>
      <c r="G114" s="2962"/>
      <c r="H114" s="2962"/>
      <c r="I114" s="2962"/>
      <c r="J114" s="2963"/>
      <c r="K114" s="3170">
        <f>75-0.008</f>
        <v>74.992000000000004</v>
      </c>
      <c r="L114" s="3171"/>
      <c r="M114" s="1015">
        <v>965</v>
      </c>
      <c r="N114" s="1015">
        <v>20</v>
      </c>
      <c r="O114" s="1015">
        <v>20</v>
      </c>
      <c r="P114" s="1015">
        <f>M114+N114+O114</f>
        <v>1005</v>
      </c>
      <c r="Q114" s="1016">
        <v>1222.22</v>
      </c>
      <c r="R114" s="3170">
        <f>100-0.008</f>
        <v>99.992000000000004</v>
      </c>
      <c r="S114" s="3171"/>
      <c r="T114" s="971"/>
    </row>
    <row r="115" spans="1:20" ht="12.75" customHeight="1" x14ac:dyDescent="0.35">
      <c r="A115" s="2968" t="s">
        <v>744</v>
      </c>
      <c r="B115" s="2969"/>
      <c r="C115" s="2970"/>
      <c r="D115" s="982"/>
      <c r="E115" s="983"/>
      <c r="F115" s="983"/>
      <c r="G115" s="983"/>
      <c r="H115" s="983"/>
      <c r="I115" s="983"/>
      <c r="J115" s="984"/>
      <c r="K115" s="3166">
        <f>K32+K102</f>
        <v>98386.68</v>
      </c>
      <c r="L115" s="3167"/>
      <c r="M115" s="3165">
        <v>25719.42</v>
      </c>
      <c r="N115" s="3165"/>
      <c r="O115" s="3165"/>
      <c r="P115" s="3172">
        <f>P32+P102</f>
        <v>29736.455999999998</v>
      </c>
      <c r="Q115" s="3165"/>
      <c r="R115" s="3166">
        <f>R32+R102</f>
        <v>102895.68100000001</v>
      </c>
      <c r="S115" s="3167"/>
      <c r="T115" s="971"/>
    </row>
    <row r="116" spans="1:20" ht="16.5" customHeight="1" thickBot="1" x14ac:dyDescent="0.4">
      <c r="A116" s="2971"/>
      <c r="B116" s="2972"/>
      <c r="C116" s="2973"/>
      <c r="D116" s="979"/>
      <c r="E116" s="980"/>
      <c r="F116" s="980"/>
      <c r="G116" s="986"/>
      <c r="H116" s="986"/>
      <c r="I116" s="986"/>
      <c r="J116" s="987"/>
      <c r="K116" s="3168"/>
      <c r="L116" s="3169"/>
      <c r="M116" s="3165"/>
      <c r="N116" s="3165"/>
      <c r="O116" s="3165"/>
      <c r="P116" s="3173"/>
      <c r="Q116" s="3165"/>
      <c r="R116" s="3168"/>
      <c r="S116" s="3169"/>
      <c r="T116" s="971"/>
    </row>
    <row r="117" spans="1:20" x14ac:dyDescent="0.35">
      <c r="K117" s="550"/>
      <c r="L117" s="550"/>
      <c r="N117" s="548">
        <f>SUM(N32:N116)</f>
        <v>3193.518</v>
      </c>
      <c r="O117" s="548">
        <f>SUM(O32:O116)</f>
        <v>3193.518</v>
      </c>
      <c r="P117" s="548">
        <f>M115+N117+O117</f>
        <v>32106.455999999998</v>
      </c>
    </row>
  </sheetData>
  <mergeCells count="272">
    <mergeCell ref="A31:C31"/>
    <mergeCell ref="K21:T21"/>
    <mergeCell ref="A27:L27"/>
    <mergeCell ref="A30:C30"/>
    <mergeCell ref="D30:J31"/>
    <mergeCell ref="K30:L31"/>
    <mergeCell ref="M30:M31"/>
    <mergeCell ref="N30:N31"/>
    <mergeCell ref="O30:O31"/>
    <mergeCell ref="P30:P31"/>
    <mergeCell ref="Q30:Q31"/>
    <mergeCell ref="S29:T29"/>
    <mergeCell ref="A25:S25"/>
    <mergeCell ref="A26:S26"/>
    <mergeCell ref="A28:S28"/>
    <mergeCell ref="P32:P33"/>
    <mergeCell ref="Q32:Q33"/>
    <mergeCell ref="K12:T12"/>
    <mergeCell ref="K13:T13"/>
    <mergeCell ref="J14:T14"/>
    <mergeCell ref="K15:T15"/>
    <mergeCell ref="K16:T16"/>
    <mergeCell ref="K19:T19"/>
    <mergeCell ref="R30:S31"/>
    <mergeCell ref="T30:T31"/>
    <mergeCell ref="P38:P39"/>
    <mergeCell ref="Q38:Q39"/>
    <mergeCell ref="A36:C37"/>
    <mergeCell ref="K36:L37"/>
    <mergeCell ref="M36:M37"/>
    <mergeCell ref="N36:N37"/>
    <mergeCell ref="O36:O37"/>
    <mergeCell ref="P36:P37"/>
    <mergeCell ref="R32:S33"/>
    <mergeCell ref="K34:L35"/>
    <mergeCell ref="M34:M35"/>
    <mergeCell ref="N34:N35"/>
    <mergeCell ref="O34:O35"/>
    <mergeCell ref="P34:P35"/>
    <mergeCell ref="Q34:Q35"/>
    <mergeCell ref="R34:S35"/>
    <mergeCell ref="Q36:Q37"/>
    <mergeCell ref="R36:S37"/>
    <mergeCell ref="A32:C33"/>
    <mergeCell ref="D32:J33"/>
    <mergeCell ref="K32:L33"/>
    <mergeCell ref="M32:M33"/>
    <mergeCell ref="N32:N33"/>
    <mergeCell ref="O32:O33"/>
    <mergeCell ref="O41:O42"/>
    <mergeCell ref="P41:P42"/>
    <mergeCell ref="Q41:Q42"/>
    <mergeCell ref="R41:S42"/>
    <mergeCell ref="A44:C44"/>
    <mergeCell ref="D44:J44"/>
    <mergeCell ref="K44:L44"/>
    <mergeCell ref="R44:S44"/>
    <mergeCell ref="R38:S39"/>
    <mergeCell ref="A40:C40"/>
    <mergeCell ref="D40:J40"/>
    <mergeCell ref="K40:L40"/>
    <mergeCell ref="R40:S40"/>
    <mergeCell ref="A41:C42"/>
    <mergeCell ref="D41:J42"/>
    <mergeCell ref="K41:L42"/>
    <mergeCell ref="M41:M42"/>
    <mergeCell ref="N41:N42"/>
    <mergeCell ref="A38:C39"/>
    <mergeCell ref="D38:J39"/>
    <mergeCell ref="K38:L39"/>
    <mergeCell ref="M38:M39"/>
    <mergeCell ref="N38:N39"/>
    <mergeCell ref="O38:O39"/>
    <mergeCell ref="A49:C49"/>
    <mergeCell ref="K49:L49"/>
    <mergeCell ref="R49:S49"/>
    <mergeCell ref="A50:C50"/>
    <mergeCell ref="K50:L50"/>
    <mergeCell ref="R50:S50"/>
    <mergeCell ref="P45:P46"/>
    <mergeCell ref="Q45:Q46"/>
    <mergeCell ref="R45:S46"/>
    <mergeCell ref="A48:C48"/>
    <mergeCell ref="K48:L48"/>
    <mergeCell ref="R48:S48"/>
    <mergeCell ref="A45:C46"/>
    <mergeCell ref="D45:J46"/>
    <mergeCell ref="K45:L46"/>
    <mergeCell ref="M45:M46"/>
    <mergeCell ref="N45:N46"/>
    <mergeCell ref="O45:O46"/>
    <mergeCell ref="P51:P52"/>
    <mergeCell ref="Q51:Q52"/>
    <mergeCell ref="R51:S52"/>
    <mergeCell ref="A53:C56"/>
    <mergeCell ref="K53:L56"/>
    <mergeCell ref="M53:M56"/>
    <mergeCell ref="N53:N56"/>
    <mergeCell ref="O53:O56"/>
    <mergeCell ref="P53:P56"/>
    <mergeCell ref="Q53:Q56"/>
    <mergeCell ref="A51:C52"/>
    <mergeCell ref="D51:J52"/>
    <mergeCell ref="K51:L52"/>
    <mergeCell ref="M51:M52"/>
    <mergeCell ref="N51:N52"/>
    <mergeCell ref="O51:O52"/>
    <mergeCell ref="R53:S56"/>
    <mergeCell ref="A57:C59"/>
    <mergeCell ref="K57:L59"/>
    <mergeCell ref="M57:M59"/>
    <mergeCell ref="N57:N59"/>
    <mergeCell ref="O57:O59"/>
    <mergeCell ref="P57:P59"/>
    <mergeCell ref="Q57:Q59"/>
    <mergeCell ref="R57:S59"/>
    <mergeCell ref="Q60:Q63"/>
    <mergeCell ref="R60:S63"/>
    <mergeCell ref="A64:C67"/>
    <mergeCell ref="K64:L67"/>
    <mergeCell ref="M64:M67"/>
    <mergeCell ref="N64:N67"/>
    <mergeCell ref="O64:O67"/>
    <mergeCell ref="P64:P67"/>
    <mergeCell ref="Q64:Q67"/>
    <mergeCell ref="R64:S67"/>
    <mergeCell ref="A60:C63"/>
    <mergeCell ref="K60:L63"/>
    <mergeCell ref="M60:M63"/>
    <mergeCell ref="N60:N63"/>
    <mergeCell ref="O60:O63"/>
    <mergeCell ref="P60:P63"/>
    <mergeCell ref="Q68:Q71"/>
    <mergeCell ref="R68:S71"/>
    <mergeCell ref="A72:C75"/>
    <mergeCell ref="K72:L75"/>
    <mergeCell ref="M72:M75"/>
    <mergeCell ref="N72:N75"/>
    <mergeCell ref="O72:O75"/>
    <mergeCell ref="P72:P75"/>
    <mergeCell ref="Q72:Q75"/>
    <mergeCell ref="R72:S75"/>
    <mergeCell ref="A68:C71"/>
    <mergeCell ref="K68:L71"/>
    <mergeCell ref="M68:M71"/>
    <mergeCell ref="N68:N71"/>
    <mergeCell ref="O68:O71"/>
    <mergeCell ref="P68:P71"/>
    <mergeCell ref="Q76:Q77"/>
    <mergeCell ref="R76:S77"/>
    <mergeCell ref="A78:C80"/>
    <mergeCell ref="K78:L80"/>
    <mergeCell ref="M78:M80"/>
    <mergeCell ref="N78:N80"/>
    <mergeCell ref="O78:O80"/>
    <mergeCell ref="P78:P80"/>
    <mergeCell ref="Q78:Q80"/>
    <mergeCell ref="R78:S80"/>
    <mergeCell ref="A76:C77"/>
    <mergeCell ref="K76:L77"/>
    <mergeCell ref="M76:M77"/>
    <mergeCell ref="N76:N77"/>
    <mergeCell ref="O76:O77"/>
    <mergeCell ref="P76:P77"/>
    <mergeCell ref="A81:C81"/>
    <mergeCell ref="K81:L81"/>
    <mergeCell ref="R81:S81"/>
    <mergeCell ref="A82:C83"/>
    <mergeCell ref="K82:L83"/>
    <mergeCell ref="M82:M83"/>
    <mergeCell ref="N82:N83"/>
    <mergeCell ref="O82:O83"/>
    <mergeCell ref="P82:P83"/>
    <mergeCell ref="Q82:Q83"/>
    <mergeCell ref="R82:S83"/>
    <mergeCell ref="A84:C84"/>
    <mergeCell ref="K84:L84"/>
    <mergeCell ref="R84:S84"/>
    <mergeCell ref="A85:C89"/>
    <mergeCell ref="K85:L89"/>
    <mergeCell ref="M85:M89"/>
    <mergeCell ref="N85:N89"/>
    <mergeCell ref="O85:O89"/>
    <mergeCell ref="P85:P89"/>
    <mergeCell ref="A94:C95"/>
    <mergeCell ref="D94:J95"/>
    <mergeCell ref="K94:L95"/>
    <mergeCell ref="R94:S95"/>
    <mergeCell ref="A96:C97"/>
    <mergeCell ref="D96:J97"/>
    <mergeCell ref="K96:L97"/>
    <mergeCell ref="R96:S97"/>
    <mergeCell ref="Q85:Q89"/>
    <mergeCell ref="R85:S89"/>
    <mergeCell ref="A90:C92"/>
    <mergeCell ref="K90:L93"/>
    <mergeCell ref="M90:M92"/>
    <mergeCell ref="N90:N92"/>
    <mergeCell ref="O90:O92"/>
    <mergeCell ref="P90:P92"/>
    <mergeCell ref="Q90:Q92"/>
    <mergeCell ref="R90:S93"/>
    <mergeCell ref="Q98:Q99"/>
    <mergeCell ref="R98:S99"/>
    <mergeCell ref="A100:C101"/>
    <mergeCell ref="K100:L101"/>
    <mergeCell ref="M100:M101"/>
    <mergeCell ref="N100:N101"/>
    <mergeCell ref="O100:O101"/>
    <mergeCell ref="P100:P101"/>
    <mergeCell ref="Q100:Q101"/>
    <mergeCell ref="R100:S101"/>
    <mergeCell ref="A98:C99"/>
    <mergeCell ref="K98:L99"/>
    <mergeCell ref="M98:M99"/>
    <mergeCell ref="N98:N99"/>
    <mergeCell ref="O98:O99"/>
    <mergeCell ref="P98:P99"/>
    <mergeCell ref="Q102:Q103"/>
    <mergeCell ref="R102:S104"/>
    <mergeCell ref="A105:C105"/>
    <mergeCell ref="D105:J105"/>
    <mergeCell ref="K105:L105"/>
    <mergeCell ref="R105:S105"/>
    <mergeCell ref="A102:C103"/>
    <mergeCell ref="K102:L104"/>
    <mergeCell ref="M102:M103"/>
    <mergeCell ref="N102:N103"/>
    <mergeCell ref="O102:O103"/>
    <mergeCell ref="P102:P103"/>
    <mergeCell ref="A108:C108"/>
    <mergeCell ref="D108:J108"/>
    <mergeCell ref="K108:L108"/>
    <mergeCell ref="R108:S108"/>
    <mergeCell ref="A109:C109"/>
    <mergeCell ref="D109:J109"/>
    <mergeCell ref="K109:L109"/>
    <mergeCell ref="R109:S109"/>
    <mergeCell ref="A106:C106"/>
    <mergeCell ref="D106:J106"/>
    <mergeCell ref="K106:L106"/>
    <mergeCell ref="R106:S106"/>
    <mergeCell ref="A107:C107"/>
    <mergeCell ref="D107:J107"/>
    <mergeCell ref="A112:C112"/>
    <mergeCell ref="D112:J112"/>
    <mergeCell ref="K112:L112"/>
    <mergeCell ref="R112:S112"/>
    <mergeCell ref="A113:C113"/>
    <mergeCell ref="D113:J113"/>
    <mergeCell ref="K113:L113"/>
    <mergeCell ref="R113:S113"/>
    <mergeCell ref="A110:C110"/>
    <mergeCell ref="D110:J110"/>
    <mergeCell ref="K110:L110"/>
    <mergeCell ref="R110:S110"/>
    <mergeCell ref="A111:C111"/>
    <mergeCell ref="D111:J111"/>
    <mergeCell ref="K111:L111"/>
    <mergeCell ref="R111:S111"/>
    <mergeCell ref="Q115:Q116"/>
    <mergeCell ref="R115:S116"/>
    <mergeCell ref="A114:C114"/>
    <mergeCell ref="D114:J114"/>
    <mergeCell ref="K114:L114"/>
    <mergeCell ref="R114:S114"/>
    <mergeCell ref="A115:C116"/>
    <mergeCell ref="K115:L116"/>
    <mergeCell ref="M115:M116"/>
    <mergeCell ref="N115:N116"/>
    <mergeCell ref="O115:O116"/>
    <mergeCell ref="P115:P116"/>
  </mergeCells>
  <printOptions horizontalCentered="1"/>
  <pageMargins left="0.95" right="0.26" top="0.26" bottom="0.17" header="0.28000000000000003" footer="0.17"/>
  <pageSetup paperSize="9" scale="50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28"/>
  <sheetViews>
    <sheetView view="pageBreakPreview" zoomScale="60" zoomScaleNormal="60" workbookViewId="0">
      <selection activeCell="I19" sqref="I19"/>
    </sheetView>
  </sheetViews>
  <sheetFormatPr defaultColWidth="8.81640625" defaultRowHeight="12.5" x14ac:dyDescent="0.25"/>
  <cols>
    <col min="1" max="1" width="2.81640625" style="1751" customWidth="1"/>
    <col min="2" max="2" width="6.1796875" style="1751" customWidth="1"/>
    <col min="3" max="3" width="70.26953125" style="1751" customWidth="1"/>
    <col min="4" max="4" width="6.453125" style="1751" customWidth="1"/>
    <col min="5" max="5" width="6.7265625" style="1751" customWidth="1"/>
    <col min="6" max="6" width="18.26953125" style="1751" customWidth="1"/>
    <col min="7" max="7" width="16.54296875" style="1751" customWidth="1"/>
    <col min="8" max="9" width="15.7265625" style="1751" customWidth="1"/>
    <col min="10" max="10" width="14.54296875" style="1751" customWidth="1"/>
    <col min="11" max="246" width="8.81640625" style="1751"/>
    <col min="247" max="247" width="40.1796875" style="1751" customWidth="1"/>
    <col min="248" max="248" width="37" style="1751" customWidth="1"/>
    <col min="249" max="249" width="17.453125" style="1751" customWidth="1"/>
    <col min="250" max="250" width="19.453125" style="1751" customWidth="1"/>
    <col min="251" max="251" width="0" style="1751" hidden="1" customWidth="1"/>
    <col min="252" max="252" width="21.7265625" style="1751" customWidth="1"/>
    <col min="253" max="253" width="71" style="1751" customWidth="1"/>
    <col min="254" max="255" width="0" style="1751" hidden="1" customWidth="1"/>
    <col min="256" max="256" width="13.7265625" style="1751" customWidth="1"/>
    <col min="257" max="502" width="8.81640625" style="1751"/>
    <col min="503" max="503" width="40.1796875" style="1751" customWidth="1"/>
    <col min="504" max="504" width="37" style="1751" customWidth="1"/>
    <col min="505" max="505" width="17.453125" style="1751" customWidth="1"/>
    <col min="506" max="506" width="19.453125" style="1751" customWidth="1"/>
    <col min="507" max="507" width="0" style="1751" hidden="1" customWidth="1"/>
    <col min="508" max="508" width="21.7265625" style="1751" customWidth="1"/>
    <col min="509" max="509" width="71" style="1751" customWidth="1"/>
    <col min="510" max="511" width="0" style="1751" hidden="1" customWidth="1"/>
    <col min="512" max="512" width="13.7265625" style="1751" customWidth="1"/>
    <col min="513" max="758" width="8.81640625" style="1751"/>
    <col min="759" max="759" width="40.1796875" style="1751" customWidth="1"/>
    <col min="760" max="760" width="37" style="1751" customWidth="1"/>
    <col min="761" max="761" width="17.453125" style="1751" customWidth="1"/>
    <col min="762" max="762" width="19.453125" style="1751" customWidth="1"/>
    <col min="763" max="763" width="0" style="1751" hidden="1" customWidth="1"/>
    <col min="764" max="764" width="21.7265625" style="1751" customWidth="1"/>
    <col min="765" max="765" width="71" style="1751" customWidth="1"/>
    <col min="766" max="767" width="0" style="1751" hidden="1" customWidth="1"/>
    <col min="768" max="768" width="13.7265625" style="1751" customWidth="1"/>
    <col min="769" max="1014" width="8.81640625" style="1751"/>
    <col min="1015" max="1015" width="40.1796875" style="1751" customWidth="1"/>
    <col min="1016" max="1016" width="37" style="1751" customWidth="1"/>
    <col min="1017" max="1017" width="17.453125" style="1751" customWidth="1"/>
    <col min="1018" max="1018" width="19.453125" style="1751" customWidth="1"/>
    <col min="1019" max="1019" width="0" style="1751" hidden="1" customWidth="1"/>
    <col min="1020" max="1020" width="21.7265625" style="1751" customWidth="1"/>
    <col min="1021" max="1021" width="71" style="1751" customWidth="1"/>
    <col min="1022" max="1023" width="0" style="1751" hidden="1" customWidth="1"/>
    <col min="1024" max="1024" width="13.7265625" style="1751" customWidth="1"/>
    <col min="1025" max="1270" width="8.81640625" style="1751"/>
    <col min="1271" max="1271" width="40.1796875" style="1751" customWidth="1"/>
    <col min="1272" max="1272" width="37" style="1751" customWidth="1"/>
    <col min="1273" max="1273" width="17.453125" style="1751" customWidth="1"/>
    <col min="1274" max="1274" width="19.453125" style="1751" customWidth="1"/>
    <col min="1275" max="1275" width="0" style="1751" hidden="1" customWidth="1"/>
    <col min="1276" max="1276" width="21.7265625" style="1751" customWidth="1"/>
    <col min="1277" max="1277" width="71" style="1751" customWidth="1"/>
    <col min="1278" max="1279" width="0" style="1751" hidden="1" customWidth="1"/>
    <col min="1280" max="1280" width="13.7265625" style="1751" customWidth="1"/>
    <col min="1281" max="1526" width="8.81640625" style="1751"/>
    <col min="1527" max="1527" width="40.1796875" style="1751" customWidth="1"/>
    <col min="1528" max="1528" width="37" style="1751" customWidth="1"/>
    <col min="1529" max="1529" width="17.453125" style="1751" customWidth="1"/>
    <col min="1530" max="1530" width="19.453125" style="1751" customWidth="1"/>
    <col min="1531" max="1531" width="0" style="1751" hidden="1" customWidth="1"/>
    <col min="1532" max="1532" width="21.7265625" style="1751" customWidth="1"/>
    <col min="1533" max="1533" width="71" style="1751" customWidth="1"/>
    <col min="1534" max="1535" width="0" style="1751" hidden="1" customWidth="1"/>
    <col min="1536" max="1536" width="13.7265625" style="1751" customWidth="1"/>
    <col min="1537" max="1782" width="8.81640625" style="1751"/>
    <col min="1783" max="1783" width="40.1796875" style="1751" customWidth="1"/>
    <col min="1784" max="1784" width="37" style="1751" customWidth="1"/>
    <col min="1785" max="1785" width="17.453125" style="1751" customWidth="1"/>
    <col min="1786" max="1786" width="19.453125" style="1751" customWidth="1"/>
    <col min="1787" max="1787" width="0" style="1751" hidden="1" customWidth="1"/>
    <col min="1788" max="1788" width="21.7265625" style="1751" customWidth="1"/>
    <col min="1789" max="1789" width="71" style="1751" customWidth="1"/>
    <col min="1790" max="1791" width="0" style="1751" hidden="1" customWidth="1"/>
    <col min="1792" max="1792" width="13.7265625" style="1751" customWidth="1"/>
    <col min="1793" max="2038" width="8.81640625" style="1751"/>
    <col min="2039" max="2039" width="40.1796875" style="1751" customWidth="1"/>
    <col min="2040" max="2040" width="37" style="1751" customWidth="1"/>
    <col min="2041" max="2041" width="17.453125" style="1751" customWidth="1"/>
    <col min="2042" max="2042" width="19.453125" style="1751" customWidth="1"/>
    <col min="2043" max="2043" width="0" style="1751" hidden="1" customWidth="1"/>
    <col min="2044" max="2044" width="21.7265625" style="1751" customWidth="1"/>
    <col min="2045" max="2045" width="71" style="1751" customWidth="1"/>
    <col min="2046" max="2047" width="0" style="1751" hidden="1" customWidth="1"/>
    <col min="2048" max="2048" width="13.7265625" style="1751" customWidth="1"/>
    <col min="2049" max="2294" width="8.81640625" style="1751"/>
    <col min="2295" max="2295" width="40.1796875" style="1751" customWidth="1"/>
    <col min="2296" max="2296" width="37" style="1751" customWidth="1"/>
    <col min="2297" max="2297" width="17.453125" style="1751" customWidth="1"/>
    <col min="2298" max="2298" width="19.453125" style="1751" customWidth="1"/>
    <col min="2299" max="2299" width="0" style="1751" hidden="1" customWidth="1"/>
    <col min="2300" max="2300" width="21.7265625" style="1751" customWidth="1"/>
    <col min="2301" max="2301" width="71" style="1751" customWidth="1"/>
    <col min="2302" max="2303" width="0" style="1751" hidden="1" customWidth="1"/>
    <col min="2304" max="2304" width="13.7265625" style="1751" customWidth="1"/>
    <col min="2305" max="2550" width="8.81640625" style="1751"/>
    <col min="2551" max="2551" width="40.1796875" style="1751" customWidth="1"/>
    <col min="2552" max="2552" width="37" style="1751" customWidth="1"/>
    <col min="2553" max="2553" width="17.453125" style="1751" customWidth="1"/>
    <col min="2554" max="2554" width="19.453125" style="1751" customWidth="1"/>
    <col min="2555" max="2555" width="0" style="1751" hidden="1" customWidth="1"/>
    <col min="2556" max="2556" width="21.7265625" style="1751" customWidth="1"/>
    <col min="2557" max="2557" width="71" style="1751" customWidth="1"/>
    <col min="2558" max="2559" width="0" style="1751" hidden="1" customWidth="1"/>
    <col min="2560" max="2560" width="13.7265625" style="1751" customWidth="1"/>
    <col min="2561" max="2806" width="8.81640625" style="1751"/>
    <col min="2807" max="2807" width="40.1796875" style="1751" customWidth="1"/>
    <col min="2808" max="2808" width="37" style="1751" customWidth="1"/>
    <col min="2809" max="2809" width="17.453125" style="1751" customWidth="1"/>
    <col min="2810" max="2810" width="19.453125" style="1751" customWidth="1"/>
    <col min="2811" max="2811" width="0" style="1751" hidden="1" customWidth="1"/>
    <col min="2812" max="2812" width="21.7265625" style="1751" customWidth="1"/>
    <col min="2813" max="2813" width="71" style="1751" customWidth="1"/>
    <col min="2814" max="2815" width="0" style="1751" hidden="1" customWidth="1"/>
    <col min="2816" max="2816" width="13.7265625" style="1751" customWidth="1"/>
    <col min="2817" max="3062" width="8.81640625" style="1751"/>
    <col min="3063" max="3063" width="40.1796875" style="1751" customWidth="1"/>
    <col min="3064" max="3064" width="37" style="1751" customWidth="1"/>
    <col min="3065" max="3065" width="17.453125" style="1751" customWidth="1"/>
    <col min="3066" max="3066" width="19.453125" style="1751" customWidth="1"/>
    <col min="3067" max="3067" width="0" style="1751" hidden="1" customWidth="1"/>
    <col min="3068" max="3068" width="21.7265625" style="1751" customWidth="1"/>
    <col min="3069" max="3069" width="71" style="1751" customWidth="1"/>
    <col min="3070" max="3071" width="0" style="1751" hidden="1" customWidth="1"/>
    <col min="3072" max="3072" width="13.7265625" style="1751" customWidth="1"/>
    <col min="3073" max="3318" width="8.81640625" style="1751"/>
    <col min="3319" max="3319" width="40.1796875" style="1751" customWidth="1"/>
    <col min="3320" max="3320" width="37" style="1751" customWidth="1"/>
    <col min="3321" max="3321" width="17.453125" style="1751" customWidth="1"/>
    <col min="3322" max="3322" width="19.453125" style="1751" customWidth="1"/>
    <col min="3323" max="3323" width="0" style="1751" hidden="1" customWidth="1"/>
    <col min="3324" max="3324" width="21.7265625" style="1751" customWidth="1"/>
    <col min="3325" max="3325" width="71" style="1751" customWidth="1"/>
    <col min="3326" max="3327" width="0" style="1751" hidden="1" customWidth="1"/>
    <col min="3328" max="3328" width="13.7265625" style="1751" customWidth="1"/>
    <col min="3329" max="3574" width="8.81640625" style="1751"/>
    <col min="3575" max="3575" width="40.1796875" style="1751" customWidth="1"/>
    <col min="3576" max="3576" width="37" style="1751" customWidth="1"/>
    <col min="3577" max="3577" width="17.453125" style="1751" customWidth="1"/>
    <col min="3578" max="3578" width="19.453125" style="1751" customWidth="1"/>
    <col min="3579" max="3579" width="0" style="1751" hidden="1" customWidth="1"/>
    <col min="3580" max="3580" width="21.7265625" style="1751" customWidth="1"/>
    <col min="3581" max="3581" width="71" style="1751" customWidth="1"/>
    <col min="3582" max="3583" width="0" style="1751" hidden="1" customWidth="1"/>
    <col min="3584" max="3584" width="13.7265625" style="1751" customWidth="1"/>
    <col min="3585" max="3830" width="8.81640625" style="1751"/>
    <col min="3831" max="3831" width="40.1796875" style="1751" customWidth="1"/>
    <col min="3832" max="3832" width="37" style="1751" customWidth="1"/>
    <col min="3833" max="3833" width="17.453125" style="1751" customWidth="1"/>
    <col min="3834" max="3834" width="19.453125" style="1751" customWidth="1"/>
    <col min="3835" max="3835" width="0" style="1751" hidden="1" customWidth="1"/>
    <col min="3836" max="3836" width="21.7265625" style="1751" customWidth="1"/>
    <col min="3837" max="3837" width="71" style="1751" customWidth="1"/>
    <col min="3838" max="3839" width="0" style="1751" hidden="1" customWidth="1"/>
    <col min="3840" max="3840" width="13.7265625" style="1751" customWidth="1"/>
    <col min="3841" max="4086" width="8.81640625" style="1751"/>
    <col min="4087" max="4087" width="40.1796875" style="1751" customWidth="1"/>
    <col min="4088" max="4088" width="37" style="1751" customWidth="1"/>
    <col min="4089" max="4089" width="17.453125" style="1751" customWidth="1"/>
    <col min="4090" max="4090" width="19.453125" style="1751" customWidth="1"/>
    <col min="4091" max="4091" width="0" style="1751" hidden="1" customWidth="1"/>
    <col min="4092" max="4092" width="21.7265625" style="1751" customWidth="1"/>
    <col min="4093" max="4093" width="71" style="1751" customWidth="1"/>
    <col min="4094" max="4095" width="0" style="1751" hidden="1" customWidth="1"/>
    <col min="4096" max="4096" width="13.7265625" style="1751" customWidth="1"/>
    <col min="4097" max="4342" width="8.81640625" style="1751"/>
    <col min="4343" max="4343" width="40.1796875" style="1751" customWidth="1"/>
    <col min="4344" max="4344" width="37" style="1751" customWidth="1"/>
    <col min="4345" max="4345" width="17.453125" style="1751" customWidth="1"/>
    <col min="4346" max="4346" width="19.453125" style="1751" customWidth="1"/>
    <col min="4347" max="4347" width="0" style="1751" hidden="1" customWidth="1"/>
    <col min="4348" max="4348" width="21.7265625" style="1751" customWidth="1"/>
    <col min="4349" max="4349" width="71" style="1751" customWidth="1"/>
    <col min="4350" max="4351" width="0" style="1751" hidden="1" customWidth="1"/>
    <col min="4352" max="4352" width="13.7265625" style="1751" customWidth="1"/>
    <col min="4353" max="4598" width="8.81640625" style="1751"/>
    <col min="4599" max="4599" width="40.1796875" style="1751" customWidth="1"/>
    <col min="4600" max="4600" width="37" style="1751" customWidth="1"/>
    <col min="4601" max="4601" width="17.453125" style="1751" customWidth="1"/>
    <col min="4602" max="4602" width="19.453125" style="1751" customWidth="1"/>
    <col min="4603" max="4603" width="0" style="1751" hidden="1" customWidth="1"/>
    <col min="4604" max="4604" width="21.7265625" style="1751" customWidth="1"/>
    <col min="4605" max="4605" width="71" style="1751" customWidth="1"/>
    <col min="4606" max="4607" width="0" style="1751" hidden="1" customWidth="1"/>
    <col min="4608" max="4608" width="13.7265625" style="1751" customWidth="1"/>
    <col min="4609" max="4854" width="8.81640625" style="1751"/>
    <col min="4855" max="4855" width="40.1796875" style="1751" customWidth="1"/>
    <col min="4856" max="4856" width="37" style="1751" customWidth="1"/>
    <col min="4857" max="4857" width="17.453125" style="1751" customWidth="1"/>
    <col min="4858" max="4858" width="19.453125" style="1751" customWidth="1"/>
    <col min="4859" max="4859" width="0" style="1751" hidden="1" customWidth="1"/>
    <col min="4860" max="4860" width="21.7265625" style="1751" customWidth="1"/>
    <col min="4861" max="4861" width="71" style="1751" customWidth="1"/>
    <col min="4862" max="4863" width="0" style="1751" hidden="1" customWidth="1"/>
    <col min="4864" max="4864" width="13.7265625" style="1751" customWidth="1"/>
    <col min="4865" max="5110" width="8.81640625" style="1751"/>
    <col min="5111" max="5111" width="40.1796875" style="1751" customWidth="1"/>
    <col min="5112" max="5112" width="37" style="1751" customWidth="1"/>
    <col min="5113" max="5113" width="17.453125" style="1751" customWidth="1"/>
    <col min="5114" max="5114" width="19.453125" style="1751" customWidth="1"/>
    <col min="5115" max="5115" width="0" style="1751" hidden="1" customWidth="1"/>
    <col min="5116" max="5116" width="21.7265625" style="1751" customWidth="1"/>
    <col min="5117" max="5117" width="71" style="1751" customWidth="1"/>
    <col min="5118" max="5119" width="0" style="1751" hidden="1" customWidth="1"/>
    <col min="5120" max="5120" width="13.7265625" style="1751" customWidth="1"/>
    <col min="5121" max="5366" width="8.81640625" style="1751"/>
    <col min="5367" max="5367" width="40.1796875" style="1751" customWidth="1"/>
    <col min="5368" max="5368" width="37" style="1751" customWidth="1"/>
    <col min="5369" max="5369" width="17.453125" style="1751" customWidth="1"/>
    <col min="5370" max="5370" width="19.453125" style="1751" customWidth="1"/>
    <col min="5371" max="5371" width="0" style="1751" hidden="1" customWidth="1"/>
    <col min="5372" max="5372" width="21.7265625" style="1751" customWidth="1"/>
    <col min="5373" max="5373" width="71" style="1751" customWidth="1"/>
    <col min="5374" max="5375" width="0" style="1751" hidden="1" customWidth="1"/>
    <col min="5376" max="5376" width="13.7265625" style="1751" customWidth="1"/>
    <col min="5377" max="5622" width="8.81640625" style="1751"/>
    <col min="5623" max="5623" width="40.1796875" style="1751" customWidth="1"/>
    <col min="5624" max="5624" width="37" style="1751" customWidth="1"/>
    <col min="5625" max="5625" width="17.453125" style="1751" customWidth="1"/>
    <col min="5626" max="5626" width="19.453125" style="1751" customWidth="1"/>
    <col min="5627" max="5627" width="0" style="1751" hidden="1" customWidth="1"/>
    <col min="5628" max="5628" width="21.7265625" style="1751" customWidth="1"/>
    <col min="5629" max="5629" width="71" style="1751" customWidth="1"/>
    <col min="5630" max="5631" width="0" style="1751" hidden="1" customWidth="1"/>
    <col min="5632" max="5632" width="13.7265625" style="1751" customWidth="1"/>
    <col min="5633" max="5878" width="8.81640625" style="1751"/>
    <col min="5879" max="5879" width="40.1796875" style="1751" customWidth="1"/>
    <col min="5880" max="5880" width="37" style="1751" customWidth="1"/>
    <col min="5881" max="5881" width="17.453125" style="1751" customWidth="1"/>
    <col min="5882" max="5882" width="19.453125" style="1751" customWidth="1"/>
    <col min="5883" max="5883" width="0" style="1751" hidden="1" customWidth="1"/>
    <col min="5884" max="5884" width="21.7265625" style="1751" customWidth="1"/>
    <col min="5885" max="5885" width="71" style="1751" customWidth="1"/>
    <col min="5886" max="5887" width="0" style="1751" hidden="1" customWidth="1"/>
    <col min="5888" max="5888" width="13.7265625" style="1751" customWidth="1"/>
    <col min="5889" max="6134" width="8.81640625" style="1751"/>
    <col min="6135" max="6135" width="40.1796875" style="1751" customWidth="1"/>
    <col min="6136" max="6136" width="37" style="1751" customWidth="1"/>
    <col min="6137" max="6137" width="17.453125" style="1751" customWidth="1"/>
    <col min="6138" max="6138" width="19.453125" style="1751" customWidth="1"/>
    <col min="6139" max="6139" width="0" style="1751" hidden="1" customWidth="1"/>
    <col min="6140" max="6140" width="21.7265625" style="1751" customWidth="1"/>
    <col min="6141" max="6141" width="71" style="1751" customWidth="1"/>
    <col min="6142" max="6143" width="0" style="1751" hidden="1" customWidth="1"/>
    <col min="6144" max="6144" width="13.7265625" style="1751" customWidth="1"/>
    <col min="6145" max="6390" width="8.81640625" style="1751"/>
    <col min="6391" max="6391" width="40.1796875" style="1751" customWidth="1"/>
    <col min="6392" max="6392" width="37" style="1751" customWidth="1"/>
    <col min="6393" max="6393" width="17.453125" style="1751" customWidth="1"/>
    <col min="6394" max="6394" width="19.453125" style="1751" customWidth="1"/>
    <col min="6395" max="6395" width="0" style="1751" hidden="1" customWidth="1"/>
    <col min="6396" max="6396" width="21.7265625" style="1751" customWidth="1"/>
    <col min="6397" max="6397" width="71" style="1751" customWidth="1"/>
    <col min="6398" max="6399" width="0" style="1751" hidden="1" customWidth="1"/>
    <col min="6400" max="6400" width="13.7265625" style="1751" customWidth="1"/>
    <col min="6401" max="6646" width="8.81640625" style="1751"/>
    <col min="6647" max="6647" width="40.1796875" style="1751" customWidth="1"/>
    <col min="6648" max="6648" width="37" style="1751" customWidth="1"/>
    <col min="6649" max="6649" width="17.453125" style="1751" customWidth="1"/>
    <col min="6650" max="6650" width="19.453125" style="1751" customWidth="1"/>
    <col min="6651" max="6651" width="0" style="1751" hidden="1" customWidth="1"/>
    <col min="6652" max="6652" width="21.7265625" style="1751" customWidth="1"/>
    <col min="6653" max="6653" width="71" style="1751" customWidth="1"/>
    <col min="6654" max="6655" width="0" style="1751" hidden="1" customWidth="1"/>
    <col min="6656" max="6656" width="13.7265625" style="1751" customWidth="1"/>
    <col min="6657" max="6902" width="8.81640625" style="1751"/>
    <col min="6903" max="6903" width="40.1796875" style="1751" customWidth="1"/>
    <col min="6904" max="6904" width="37" style="1751" customWidth="1"/>
    <col min="6905" max="6905" width="17.453125" style="1751" customWidth="1"/>
    <col min="6906" max="6906" width="19.453125" style="1751" customWidth="1"/>
    <col min="6907" max="6907" width="0" style="1751" hidden="1" customWidth="1"/>
    <col min="6908" max="6908" width="21.7265625" style="1751" customWidth="1"/>
    <col min="6909" max="6909" width="71" style="1751" customWidth="1"/>
    <col min="6910" max="6911" width="0" style="1751" hidden="1" customWidth="1"/>
    <col min="6912" max="6912" width="13.7265625" style="1751" customWidth="1"/>
    <col min="6913" max="7158" width="8.81640625" style="1751"/>
    <col min="7159" max="7159" width="40.1796875" style="1751" customWidth="1"/>
    <col min="7160" max="7160" width="37" style="1751" customWidth="1"/>
    <col min="7161" max="7161" width="17.453125" style="1751" customWidth="1"/>
    <col min="7162" max="7162" width="19.453125" style="1751" customWidth="1"/>
    <col min="7163" max="7163" width="0" style="1751" hidden="1" customWidth="1"/>
    <col min="7164" max="7164" width="21.7265625" style="1751" customWidth="1"/>
    <col min="7165" max="7165" width="71" style="1751" customWidth="1"/>
    <col min="7166" max="7167" width="0" style="1751" hidden="1" customWidth="1"/>
    <col min="7168" max="7168" width="13.7265625" style="1751" customWidth="1"/>
    <col min="7169" max="7414" width="8.81640625" style="1751"/>
    <col min="7415" max="7415" width="40.1796875" style="1751" customWidth="1"/>
    <col min="7416" max="7416" width="37" style="1751" customWidth="1"/>
    <col min="7417" max="7417" width="17.453125" style="1751" customWidth="1"/>
    <col min="7418" max="7418" width="19.453125" style="1751" customWidth="1"/>
    <col min="7419" max="7419" width="0" style="1751" hidden="1" customWidth="1"/>
    <col min="7420" max="7420" width="21.7265625" style="1751" customWidth="1"/>
    <col min="7421" max="7421" width="71" style="1751" customWidth="1"/>
    <col min="7422" max="7423" width="0" style="1751" hidden="1" customWidth="1"/>
    <col min="7424" max="7424" width="13.7265625" style="1751" customWidth="1"/>
    <col min="7425" max="7670" width="8.81640625" style="1751"/>
    <col min="7671" max="7671" width="40.1796875" style="1751" customWidth="1"/>
    <col min="7672" max="7672" width="37" style="1751" customWidth="1"/>
    <col min="7673" max="7673" width="17.453125" style="1751" customWidth="1"/>
    <col min="7674" max="7674" width="19.453125" style="1751" customWidth="1"/>
    <col min="7675" max="7675" width="0" style="1751" hidden="1" customWidth="1"/>
    <col min="7676" max="7676" width="21.7265625" style="1751" customWidth="1"/>
    <col min="7677" max="7677" width="71" style="1751" customWidth="1"/>
    <col min="7678" max="7679" width="0" style="1751" hidden="1" customWidth="1"/>
    <col min="7680" max="7680" width="13.7265625" style="1751" customWidth="1"/>
    <col min="7681" max="7926" width="8.81640625" style="1751"/>
    <col min="7927" max="7927" width="40.1796875" style="1751" customWidth="1"/>
    <col min="7928" max="7928" width="37" style="1751" customWidth="1"/>
    <col min="7929" max="7929" width="17.453125" style="1751" customWidth="1"/>
    <col min="7930" max="7930" width="19.453125" style="1751" customWidth="1"/>
    <col min="7931" max="7931" width="0" style="1751" hidden="1" customWidth="1"/>
    <col min="7932" max="7932" width="21.7265625" style="1751" customWidth="1"/>
    <col min="7933" max="7933" width="71" style="1751" customWidth="1"/>
    <col min="7934" max="7935" width="0" style="1751" hidden="1" customWidth="1"/>
    <col min="7936" max="7936" width="13.7265625" style="1751" customWidth="1"/>
    <col min="7937" max="8182" width="8.81640625" style="1751"/>
    <col min="8183" max="8183" width="40.1796875" style="1751" customWidth="1"/>
    <col min="8184" max="8184" width="37" style="1751" customWidth="1"/>
    <col min="8185" max="8185" width="17.453125" style="1751" customWidth="1"/>
    <col min="8186" max="8186" width="19.453125" style="1751" customWidth="1"/>
    <col min="8187" max="8187" width="0" style="1751" hidden="1" customWidth="1"/>
    <col min="8188" max="8188" width="21.7265625" style="1751" customWidth="1"/>
    <col min="8189" max="8189" width="71" style="1751" customWidth="1"/>
    <col min="8190" max="8191" width="0" style="1751" hidden="1" customWidth="1"/>
    <col min="8192" max="8192" width="13.7265625" style="1751" customWidth="1"/>
    <col min="8193" max="8438" width="8.81640625" style="1751"/>
    <col min="8439" max="8439" width="40.1796875" style="1751" customWidth="1"/>
    <col min="8440" max="8440" width="37" style="1751" customWidth="1"/>
    <col min="8441" max="8441" width="17.453125" style="1751" customWidth="1"/>
    <col min="8442" max="8442" width="19.453125" style="1751" customWidth="1"/>
    <col min="8443" max="8443" width="0" style="1751" hidden="1" customWidth="1"/>
    <col min="8444" max="8444" width="21.7265625" style="1751" customWidth="1"/>
    <col min="8445" max="8445" width="71" style="1751" customWidth="1"/>
    <col min="8446" max="8447" width="0" style="1751" hidden="1" customWidth="1"/>
    <col min="8448" max="8448" width="13.7265625" style="1751" customWidth="1"/>
    <col min="8449" max="8694" width="8.81640625" style="1751"/>
    <col min="8695" max="8695" width="40.1796875" style="1751" customWidth="1"/>
    <col min="8696" max="8696" width="37" style="1751" customWidth="1"/>
    <col min="8697" max="8697" width="17.453125" style="1751" customWidth="1"/>
    <col min="8698" max="8698" width="19.453125" style="1751" customWidth="1"/>
    <col min="8699" max="8699" width="0" style="1751" hidden="1" customWidth="1"/>
    <col min="8700" max="8700" width="21.7265625" style="1751" customWidth="1"/>
    <col min="8701" max="8701" width="71" style="1751" customWidth="1"/>
    <col min="8702" max="8703" width="0" style="1751" hidden="1" customWidth="1"/>
    <col min="8704" max="8704" width="13.7265625" style="1751" customWidth="1"/>
    <col min="8705" max="8950" width="8.81640625" style="1751"/>
    <col min="8951" max="8951" width="40.1796875" style="1751" customWidth="1"/>
    <col min="8952" max="8952" width="37" style="1751" customWidth="1"/>
    <col min="8953" max="8953" width="17.453125" style="1751" customWidth="1"/>
    <col min="8954" max="8954" width="19.453125" style="1751" customWidth="1"/>
    <col min="8955" max="8955" width="0" style="1751" hidden="1" customWidth="1"/>
    <col min="8956" max="8956" width="21.7265625" style="1751" customWidth="1"/>
    <col min="8957" max="8957" width="71" style="1751" customWidth="1"/>
    <col min="8958" max="8959" width="0" style="1751" hidden="1" customWidth="1"/>
    <col min="8960" max="8960" width="13.7265625" style="1751" customWidth="1"/>
    <col min="8961" max="9206" width="8.81640625" style="1751"/>
    <col min="9207" max="9207" width="40.1796875" style="1751" customWidth="1"/>
    <col min="9208" max="9208" width="37" style="1751" customWidth="1"/>
    <col min="9209" max="9209" width="17.453125" style="1751" customWidth="1"/>
    <col min="9210" max="9210" width="19.453125" style="1751" customWidth="1"/>
    <col min="9211" max="9211" width="0" style="1751" hidden="1" customWidth="1"/>
    <col min="9212" max="9212" width="21.7265625" style="1751" customWidth="1"/>
    <col min="9213" max="9213" width="71" style="1751" customWidth="1"/>
    <col min="9214" max="9215" width="0" style="1751" hidden="1" customWidth="1"/>
    <col min="9216" max="9216" width="13.7265625" style="1751" customWidth="1"/>
    <col min="9217" max="9462" width="8.81640625" style="1751"/>
    <col min="9463" max="9463" width="40.1796875" style="1751" customWidth="1"/>
    <col min="9464" max="9464" width="37" style="1751" customWidth="1"/>
    <col min="9465" max="9465" width="17.453125" style="1751" customWidth="1"/>
    <col min="9466" max="9466" width="19.453125" style="1751" customWidth="1"/>
    <col min="9467" max="9467" width="0" style="1751" hidden="1" customWidth="1"/>
    <col min="9468" max="9468" width="21.7265625" style="1751" customWidth="1"/>
    <col min="9469" max="9469" width="71" style="1751" customWidth="1"/>
    <col min="9470" max="9471" width="0" style="1751" hidden="1" customWidth="1"/>
    <col min="9472" max="9472" width="13.7265625" style="1751" customWidth="1"/>
    <col min="9473" max="9718" width="8.81640625" style="1751"/>
    <col min="9719" max="9719" width="40.1796875" style="1751" customWidth="1"/>
    <col min="9720" max="9720" width="37" style="1751" customWidth="1"/>
    <col min="9721" max="9721" width="17.453125" style="1751" customWidth="1"/>
    <col min="9722" max="9722" width="19.453125" style="1751" customWidth="1"/>
    <col min="9723" max="9723" width="0" style="1751" hidden="1" customWidth="1"/>
    <col min="9724" max="9724" width="21.7265625" style="1751" customWidth="1"/>
    <col min="9725" max="9725" width="71" style="1751" customWidth="1"/>
    <col min="9726" max="9727" width="0" style="1751" hidden="1" customWidth="1"/>
    <col min="9728" max="9728" width="13.7265625" style="1751" customWidth="1"/>
    <col min="9729" max="9974" width="8.81640625" style="1751"/>
    <col min="9975" max="9975" width="40.1796875" style="1751" customWidth="1"/>
    <col min="9976" max="9976" width="37" style="1751" customWidth="1"/>
    <col min="9977" max="9977" width="17.453125" style="1751" customWidth="1"/>
    <col min="9978" max="9978" width="19.453125" style="1751" customWidth="1"/>
    <col min="9979" max="9979" width="0" style="1751" hidden="1" customWidth="1"/>
    <col min="9980" max="9980" width="21.7265625" style="1751" customWidth="1"/>
    <col min="9981" max="9981" width="71" style="1751" customWidth="1"/>
    <col min="9982" max="9983" width="0" style="1751" hidden="1" customWidth="1"/>
    <col min="9984" max="9984" width="13.7265625" style="1751" customWidth="1"/>
    <col min="9985" max="10230" width="8.81640625" style="1751"/>
    <col min="10231" max="10231" width="40.1796875" style="1751" customWidth="1"/>
    <col min="10232" max="10232" width="37" style="1751" customWidth="1"/>
    <col min="10233" max="10233" width="17.453125" style="1751" customWidth="1"/>
    <col min="10234" max="10234" width="19.453125" style="1751" customWidth="1"/>
    <col min="10235" max="10235" width="0" style="1751" hidden="1" customWidth="1"/>
    <col min="10236" max="10236" width="21.7265625" style="1751" customWidth="1"/>
    <col min="10237" max="10237" width="71" style="1751" customWidth="1"/>
    <col min="10238" max="10239" width="0" style="1751" hidden="1" customWidth="1"/>
    <col min="10240" max="10240" width="13.7265625" style="1751" customWidth="1"/>
    <col min="10241" max="10486" width="8.81640625" style="1751"/>
    <col min="10487" max="10487" width="40.1796875" style="1751" customWidth="1"/>
    <col min="10488" max="10488" width="37" style="1751" customWidth="1"/>
    <col min="10489" max="10489" width="17.453125" style="1751" customWidth="1"/>
    <col min="10490" max="10490" width="19.453125" style="1751" customWidth="1"/>
    <col min="10491" max="10491" width="0" style="1751" hidden="1" customWidth="1"/>
    <col min="10492" max="10492" width="21.7265625" style="1751" customWidth="1"/>
    <col min="10493" max="10493" width="71" style="1751" customWidth="1"/>
    <col min="10494" max="10495" width="0" style="1751" hidden="1" customWidth="1"/>
    <col min="10496" max="10496" width="13.7265625" style="1751" customWidth="1"/>
    <col min="10497" max="10742" width="8.81640625" style="1751"/>
    <col min="10743" max="10743" width="40.1796875" style="1751" customWidth="1"/>
    <col min="10744" max="10744" width="37" style="1751" customWidth="1"/>
    <col min="10745" max="10745" width="17.453125" style="1751" customWidth="1"/>
    <col min="10746" max="10746" width="19.453125" style="1751" customWidth="1"/>
    <col min="10747" max="10747" width="0" style="1751" hidden="1" customWidth="1"/>
    <col min="10748" max="10748" width="21.7265625" style="1751" customWidth="1"/>
    <col min="10749" max="10749" width="71" style="1751" customWidth="1"/>
    <col min="10750" max="10751" width="0" style="1751" hidden="1" customWidth="1"/>
    <col min="10752" max="10752" width="13.7265625" style="1751" customWidth="1"/>
    <col min="10753" max="10998" width="8.81640625" style="1751"/>
    <col min="10999" max="10999" width="40.1796875" style="1751" customWidth="1"/>
    <col min="11000" max="11000" width="37" style="1751" customWidth="1"/>
    <col min="11001" max="11001" width="17.453125" style="1751" customWidth="1"/>
    <col min="11002" max="11002" width="19.453125" style="1751" customWidth="1"/>
    <col min="11003" max="11003" width="0" style="1751" hidden="1" customWidth="1"/>
    <col min="11004" max="11004" width="21.7265625" style="1751" customWidth="1"/>
    <col min="11005" max="11005" width="71" style="1751" customWidth="1"/>
    <col min="11006" max="11007" width="0" style="1751" hidden="1" customWidth="1"/>
    <col min="11008" max="11008" width="13.7265625" style="1751" customWidth="1"/>
    <col min="11009" max="11254" width="8.81640625" style="1751"/>
    <col min="11255" max="11255" width="40.1796875" style="1751" customWidth="1"/>
    <col min="11256" max="11256" width="37" style="1751" customWidth="1"/>
    <col min="11257" max="11257" width="17.453125" style="1751" customWidth="1"/>
    <col min="11258" max="11258" width="19.453125" style="1751" customWidth="1"/>
    <col min="11259" max="11259" width="0" style="1751" hidden="1" customWidth="1"/>
    <col min="11260" max="11260" width="21.7265625" style="1751" customWidth="1"/>
    <col min="11261" max="11261" width="71" style="1751" customWidth="1"/>
    <col min="11262" max="11263" width="0" style="1751" hidden="1" customWidth="1"/>
    <col min="11264" max="11264" width="13.7265625" style="1751" customWidth="1"/>
    <col min="11265" max="11510" width="8.81640625" style="1751"/>
    <col min="11511" max="11511" width="40.1796875" style="1751" customWidth="1"/>
    <col min="11512" max="11512" width="37" style="1751" customWidth="1"/>
    <col min="11513" max="11513" width="17.453125" style="1751" customWidth="1"/>
    <col min="11514" max="11514" width="19.453125" style="1751" customWidth="1"/>
    <col min="11515" max="11515" width="0" style="1751" hidden="1" customWidth="1"/>
    <col min="11516" max="11516" width="21.7265625" style="1751" customWidth="1"/>
    <col min="11517" max="11517" width="71" style="1751" customWidth="1"/>
    <col min="11518" max="11519" width="0" style="1751" hidden="1" customWidth="1"/>
    <col min="11520" max="11520" width="13.7265625" style="1751" customWidth="1"/>
    <col min="11521" max="11766" width="8.81640625" style="1751"/>
    <col min="11767" max="11767" width="40.1796875" style="1751" customWidth="1"/>
    <col min="11768" max="11768" width="37" style="1751" customWidth="1"/>
    <col min="11769" max="11769" width="17.453125" style="1751" customWidth="1"/>
    <col min="11770" max="11770" width="19.453125" style="1751" customWidth="1"/>
    <col min="11771" max="11771" width="0" style="1751" hidden="1" customWidth="1"/>
    <col min="11772" max="11772" width="21.7265625" style="1751" customWidth="1"/>
    <col min="11773" max="11773" width="71" style="1751" customWidth="1"/>
    <col min="11774" max="11775" width="0" style="1751" hidden="1" customWidth="1"/>
    <col min="11776" max="11776" width="13.7265625" style="1751" customWidth="1"/>
    <col min="11777" max="12022" width="8.81640625" style="1751"/>
    <col min="12023" max="12023" width="40.1796875" style="1751" customWidth="1"/>
    <col min="12024" max="12024" width="37" style="1751" customWidth="1"/>
    <col min="12025" max="12025" width="17.453125" style="1751" customWidth="1"/>
    <col min="12026" max="12026" width="19.453125" style="1751" customWidth="1"/>
    <col min="12027" max="12027" width="0" style="1751" hidden="1" customWidth="1"/>
    <col min="12028" max="12028" width="21.7265625" style="1751" customWidth="1"/>
    <col min="12029" max="12029" width="71" style="1751" customWidth="1"/>
    <col min="12030" max="12031" width="0" style="1751" hidden="1" customWidth="1"/>
    <col min="12032" max="12032" width="13.7265625" style="1751" customWidth="1"/>
    <col min="12033" max="12278" width="8.81640625" style="1751"/>
    <col min="12279" max="12279" width="40.1796875" style="1751" customWidth="1"/>
    <col min="12280" max="12280" width="37" style="1751" customWidth="1"/>
    <col min="12281" max="12281" width="17.453125" style="1751" customWidth="1"/>
    <col min="12282" max="12282" width="19.453125" style="1751" customWidth="1"/>
    <col min="12283" max="12283" width="0" style="1751" hidden="1" customWidth="1"/>
    <col min="12284" max="12284" width="21.7265625" style="1751" customWidth="1"/>
    <col min="12285" max="12285" width="71" style="1751" customWidth="1"/>
    <col min="12286" max="12287" width="0" style="1751" hidden="1" customWidth="1"/>
    <col min="12288" max="12288" width="13.7265625" style="1751" customWidth="1"/>
    <col min="12289" max="12534" width="8.81640625" style="1751"/>
    <col min="12535" max="12535" width="40.1796875" style="1751" customWidth="1"/>
    <col min="12536" max="12536" width="37" style="1751" customWidth="1"/>
    <col min="12537" max="12537" width="17.453125" style="1751" customWidth="1"/>
    <col min="12538" max="12538" width="19.453125" style="1751" customWidth="1"/>
    <col min="12539" max="12539" width="0" style="1751" hidden="1" customWidth="1"/>
    <col min="12540" max="12540" width="21.7265625" style="1751" customWidth="1"/>
    <col min="12541" max="12541" width="71" style="1751" customWidth="1"/>
    <col min="12542" max="12543" width="0" style="1751" hidden="1" customWidth="1"/>
    <col min="12544" max="12544" width="13.7265625" style="1751" customWidth="1"/>
    <col min="12545" max="12790" width="8.81640625" style="1751"/>
    <col min="12791" max="12791" width="40.1796875" style="1751" customWidth="1"/>
    <col min="12792" max="12792" width="37" style="1751" customWidth="1"/>
    <col min="12793" max="12793" width="17.453125" style="1751" customWidth="1"/>
    <col min="12794" max="12794" width="19.453125" style="1751" customWidth="1"/>
    <col min="12795" max="12795" width="0" style="1751" hidden="1" customWidth="1"/>
    <col min="12796" max="12796" width="21.7265625" style="1751" customWidth="1"/>
    <col min="12797" max="12797" width="71" style="1751" customWidth="1"/>
    <col min="12798" max="12799" width="0" style="1751" hidden="1" customWidth="1"/>
    <col min="12800" max="12800" width="13.7265625" style="1751" customWidth="1"/>
    <col min="12801" max="13046" width="8.81640625" style="1751"/>
    <col min="13047" max="13047" width="40.1796875" style="1751" customWidth="1"/>
    <col min="13048" max="13048" width="37" style="1751" customWidth="1"/>
    <col min="13049" max="13049" width="17.453125" style="1751" customWidth="1"/>
    <col min="13050" max="13050" width="19.453125" style="1751" customWidth="1"/>
    <col min="13051" max="13051" width="0" style="1751" hidden="1" customWidth="1"/>
    <col min="13052" max="13052" width="21.7265625" style="1751" customWidth="1"/>
    <col min="13053" max="13053" width="71" style="1751" customWidth="1"/>
    <col min="13054" max="13055" width="0" style="1751" hidden="1" customWidth="1"/>
    <col min="13056" max="13056" width="13.7265625" style="1751" customWidth="1"/>
    <col min="13057" max="13302" width="8.81640625" style="1751"/>
    <col min="13303" max="13303" width="40.1796875" style="1751" customWidth="1"/>
    <col min="13304" max="13304" width="37" style="1751" customWidth="1"/>
    <col min="13305" max="13305" width="17.453125" style="1751" customWidth="1"/>
    <col min="13306" max="13306" width="19.453125" style="1751" customWidth="1"/>
    <col min="13307" max="13307" width="0" style="1751" hidden="1" customWidth="1"/>
    <col min="13308" max="13308" width="21.7265625" style="1751" customWidth="1"/>
    <col min="13309" max="13309" width="71" style="1751" customWidth="1"/>
    <col min="13310" max="13311" width="0" style="1751" hidden="1" customWidth="1"/>
    <col min="13312" max="13312" width="13.7265625" style="1751" customWidth="1"/>
    <col min="13313" max="13558" width="8.81640625" style="1751"/>
    <col min="13559" max="13559" width="40.1796875" style="1751" customWidth="1"/>
    <col min="13560" max="13560" width="37" style="1751" customWidth="1"/>
    <col min="13561" max="13561" width="17.453125" style="1751" customWidth="1"/>
    <col min="13562" max="13562" width="19.453125" style="1751" customWidth="1"/>
    <col min="13563" max="13563" width="0" style="1751" hidden="1" customWidth="1"/>
    <col min="13564" max="13564" width="21.7265625" style="1751" customWidth="1"/>
    <col min="13565" max="13565" width="71" style="1751" customWidth="1"/>
    <col min="13566" max="13567" width="0" style="1751" hidden="1" customWidth="1"/>
    <col min="13568" max="13568" width="13.7265625" style="1751" customWidth="1"/>
    <col min="13569" max="13814" width="8.81640625" style="1751"/>
    <col min="13815" max="13815" width="40.1796875" style="1751" customWidth="1"/>
    <col min="13816" max="13816" width="37" style="1751" customWidth="1"/>
    <col min="13817" max="13817" width="17.453125" style="1751" customWidth="1"/>
    <col min="13818" max="13818" width="19.453125" style="1751" customWidth="1"/>
    <col min="13819" max="13819" width="0" style="1751" hidden="1" customWidth="1"/>
    <col min="13820" max="13820" width="21.7265625" style="1751" customWidth="1"/>
    <col min="13821" max="13821" width="71" style="1751" customWidth="1"/>
    <col min="13822" max="13823" width="0" style="1751" hidden="1" customWidth="1"/>
    <col min="13824" max="13824" width="13.7265625" style="1751" customWidth="1"/>
    <col min="13825" max="14070" width="8.81640625" style="1751"/>
    <col min="14071" max="14071" width="40.1796875" style="1751" customWidth="1"/>
    <col min="14072" max="14072" width="37" style="1751" customWidth="1"/>
    <col min="14073" max="14073" width="17.453125" style="1751" customWidth="1"/>
    <col min="14074" max="14074" width="19.453125" style="1751" customWidth="1"/>
    <col min="14075" max="14075" width="0" style="1751" hidden="1" customWidth="1"/>
    <col min="14076" max="14076" width="21.7265625" style="1751" customWidth="1"/>
    <col min="14077" max="14077" width="71" style="1751" customWidth="1"/>
    <col min="14078" max="14079" width="0" style="1751" hidden="1" customWidth="1"/>
    <col min="14080" max="14080" width="13.7265625" style="1751" customWidth="1"/>
    <col min="14081" max="14326" width="8.81640625" style="1751"/>
    <col min="14327" max="14327" width="40.1796875" style="1751" customWidth="1"/>
    <col min="14328" max="14328" width="37" style="1751" customWidth="1"/>
    <col min="14329" max="14329" width="17.453125" style="1751" customWidth="1"/>
    <col min="14330" max="14330" width="19.453125" style="1751" customWidth="1"/>
    <col min="14331" max="14331" width="0" style="1751" hidden="1" customWidth="1"/>
    <col min="14332" max="14332" width="21.7265625" style="1751" customWidth="1"/>
    <col min="14333" max="14333" width="71" style="1751" customWidth="1"/>
    <col min="14334" max="14335" width="0" style="1751" hidden="1" customWidth="1"/>
    <col min="14336" max="14336" width="13.7265625" style="1751" customWidth="1"/>
    <col min="14337" max="14582" width="8.81640625" style="1751"/>
    <col min="14583" max="14583" width="40.1796875" style="1751" customWidth="1"/>
    <col min="14584" max="14584" width="37" style="1751" customWidth="1"/>
    <col min="14585" max="14585" width="17.453125" style="1751" customWidth="1"/>
    <col min="14586" max="14586" width="19.453125" style="1751" customWidth="1"/>
    <col min="14587" max="14587" width="0" style="1751" hidden="1" customWidth="1"/>
    <col min="14588" max="14588" width="21.7265625" style="1751" customWidth="1"/>
    <col min="14589" max="14589" width="71" style="1751" customWidth="1"/>
    <col min="14590" max="14591" width="0" style="1751" hidden="1" customWidth="1"/>
    <col min="14592" max="14592" width="13.7265625" style="1751" customWidth="1"/>
    <col min="14593" max="14838" width="8.81640625" style="1751"/>
    <col min="14839" max="14839" width="40.1796875" style="1751" customWidth="1"/>
    <col min="14840" max="14840" width="37" style="1751" customWidth="1"/>
    <col min="14841" max="14841" width="17.453125" style="1751" customWidth="1"/>
    <col min="14842" max="14842" width="19.453125" style="1751" customWidth="1"/>
    <col min="14843" max="14843" width="0" style="1751" hidden="1" customWidth="1"/>
    <col min="14844" max="14844" width="21.7265625" style="1751" customWidth="1"/>
    <col min="14845" max="14845" width="71" style="1751" customWidth="1"/>
    <col min="14846" max="14847" width="0" style="1751" hidden="1" customWidth="1"/>
    <col min="14848" max="14848" width="13.7265625" style="1751" customWidth="1"/>
    <col min="14849" max="15094" width="8.81640625" style="1751"/>
    <col min="15095" max="15095" width="40.1796875" style="1751" customWidth="1"/>
    <col min="15096" max="15096" width="37" style="1751" customWidth="1"/>
    <col min="15097" max="15097" width="17.453125" style="1751" customWidth="1"/>
    <col min="15098" max="15098" width="19.453125" style="1751" customWidth="1"/>
    <col min="15099" max="15099" width="0" style="1751" hidden="1" customWidth="1"/>
    <col min="15100" max="15100" width="21.7265625" style="1751" customWidth="1"/>
    <col min="15101" max="15101" width="71" style="1751" customWidth="1"/>
    <col min="15102" max="15103" width="0" style="1751" hidden="1" customWidth="1"/>
    <col min="15104" max="15104" width="13.7265625" style="1751" customWidth="1"/>
    <col min="15105" max="15350" width="8.81640625" style="1751"/>
    <col min="15351" max="15351" width="40.1796875" style="1751" customWidth="1"/>
    <col min="15352" max="15352" width="37" style="1751" customWidth="1"/>
    <col min="15353" max="15353" width="17.453125" style="1751" customWidth="1"/>
    <col min="15354" max="15354" width="19.453125" style="1751" customWidth="1"/>
    <col min="15355" max="15355" width="0" style="1751" hidden="1" customWidth="1"/>
    <col min="15356" max="15356" width="21.7265625" style="1751" customWidth="1"/>
    <col min="15357" max="15357" width="71" style="1751" customWidth="1"/>
    <col min="15358" max="15359" width="0" style="1751" hidden="1" customWidth="1"/>
    <col min="15360" max="15360" width="13.7265625" style="1751" customWidth="1"/>
    <col min="15361" max="15606" width="8.81640625" style="1751"/>
    <col min="15607" max="15607" width="40.1796875" style="1751" customWidth="1"/>
    <col min="15608" max="15608" width="37" style="1751" customWidth="1"/>
    <col min="15609" max="15609" width="17.453125" style="1751" customWidth="1"/>
    <col min="15610" max="15610" width="19.453125" style="1751" customWidth="1"/>
    <col min="15611" max="15611" width="0" style="1751" hidden="1" customWidth="1"/>
    <col min="15612" max="15612" width="21.7265625" style="1751" customWidth="1"/>
    <col min="15613" max="15613" width="71" style="1751" customWidth="1"/>
    <col min="15614" max="15615" width="0" style="1751" hidden="1" customWidth="1"/>
    <col min="15616" max="15616" width="13.7265625" style="1751" customWidth="1"/>
    <col min="15617" max="15862" width="8.81640625" style="1751"/>
    <col min="15863" max="15863" width="40.1796875" style="1751" customWidth="1"/>
    <col min="15864" max="15864" width="37" style="1751" customWidth="1"/>
    <col min="15865" max="15865" width="17.453125" style="1751" customWidth="1"/>
    <col min="15866" max="15866" width="19.453125" style="1751" customWidth="1"/>
    <col min="15867" max="15867" width="0" style="1751" hidden="1" customWidth="1"/>
    <col min="15868" max="15868" width="21.7265625" style="1751" customWidth="1"/>
    <col min="15869" max="15869" width="71" style="1751" customWidth="1"/>
    <col min="15870" max="15871" width="0" style="1751" hidden="1" customWidth="1"/>
    <col min="15872" max="15872" width="13.7265625" style="1751" customWidth="1"/>
    <col min="15873" max="16118" width="8.81640625" style="1751"/>
    <col min="16119" max="16119" width="40.1796875" style="1751" customWidth="1"/>
    <col min="16120" max="16120" width="37" style="1751" customWidth="1"/>
    <col min="16121" max="16121" width="17.453125" style="1751" customWidth="1"/>
    <col min="16122" max="16122" width="19.453125" style="1751" customWidth="1"/>
    <col min="16123" max="16123" width="0" style="1751" hidden="1" customWidth="1"/>
    <col min="16124" max="16124" width="21.7265625" style="1751" customWidth="1"/>
    <col min="16125" max="16125" width="71" style="1751" customWidth="1"/>
    <col min="16126" max="16127" width="0" style="1751" hidden="1" customWidth="1"/>
    <col min="16128" max="16128" width="13.7265625" style="1751" customWidth="1"/>
    <col min="16129" max="16384" width="8.81640625" style="1751"/>
  </cols>
  <sheetData>
    <row r="1" spans="1:25" x14ac:dyDescent="0.25">
      <c r="H1" s="3400" t="s">
        <v>946</v>
      </c>
      <c r="I1" s="3400"/>
      <c r="J1" s="3400"/>
    </row>
    <row r="2" spans="1:25" x14ac:dyDescent="0.25">
      <c r="H2" s="3400" t="s">
        <v>450</v>
      </c>
      <c r="I2" s="3400"/>
      <c r="J2" s="3400"/>
    </row>
    <row r="3" spans="1:25" x14ac:dyDescent="0.25">
      <c r="H3" s="3400" t="s">
        <v>449</v>
      </c>
      <c r="I3" s="3400"/>
      <c r="J3" s="3400"/>
    </row>
    <row r="4" spans="1:25" x14ac:dyDescent="0.25">
      <c r="H4" s="3400" t="s">
        <v>448</v>
      </c>
      <c r="I4" s="3400"/>
      <c r="J4" s="3400"/>
    </row>
    <row r="5" spans="1:25" x14ac:dyDescent="0.25">
      <c r="H5" s="3400" t="s">
        <v>1129</v>
      </c>
      <c r="I5" s="3400"/>
      <c r="J5" s="3400"/>
    </row>
    <row r="7" spans="1:25" x14ac:dyDescent="0.25">
      <c r="F7" s="1752"/>
      <c r="J7" s="1768" t="s">
        <v>813</v>
      </c>
    </row>
    <row r="8" spans="1:25" x14ac:dyDescent="0.25">
      <c r="F8" s="1752"/>
      <c r="J8" s="1768" t="s">
        <v>797</v>
      </c>
    </row>
    <row r="9" spans="1:25" ht="15.5" x14ac:dyDescent="0.35">
      <c r="F9" s="1752"/>
      <c r="I9" s="1752"/>
      <c r="J9" s="1690" t="s">
        <v>449</v>
      </c>
    </row>
    <row r="10" spans="1:25" ht="15.5" x14ac:dyDescent="0.35">
      <c r="F10" s="1752"/>
      <c r="J10" s="1690" t="s">
        <v>448</v>
      </c>
    </row>
    <row r="11" spans="1:25" ht="12.65" customHeight="1" x14ac:dyDescent="0.25">
      <c r="F11" s="1753"/>
      <c r="H11" s="3164" t="s">
        <v>1103</v>
      </c>
      <c r="I11" s="3164"/>
      <c r="J11" s="3164"/>
      <c r="K11" s="258"/>
      <c r="L11" s="258"/>
      <c r="M11" s="258"/>
      <c r="N11" s="258"/>
      <c r="O11" s="258"/>
      <c r="P11" s="258"/>
      <c r="Q11" s="258"/>
      <c r="R11" s="258"/>
      <c r="S11" s="258"/>
      <c r="T11" s="258"/>
      <c r="U11" s="258"/>
    </row>
    <row r="12" spans="1:25" x14ac:dyDescent="0.25">
      <c r="F12" s="1754"/>
    </row>
    <row r="13" spans="1:25" ht="18" customHeight="1" x14ac:dyDescent="0.25">
      <c r="B13" s="1755"/>
      <c r="C13" s="1756"/>
      <c r="D13" s="1757"/>
      <c r="E13" s="1758"/>
      <c r="F13" s="1758"/>
      <c r="G13" s="1758"/>
    </row>
    <row r="14" spans="1:25" ht="24" customHeight="1" x14ac:dyDescent="0.25">
      <c r="B14" s="3398" t="s">
        <v>983</v>
      </c>
      <c r="C14" s="3398"/>
      <c r="D14" s="3398"/>
      <c r="E14" s="3398"/>
      <c r="F14" s="3398"/>
      <c r="G14" s="3398"/>
      <c r="H14" s="3398"/>
      <c r="I14" s="3398"/>
      <c r="J14" s="3398"/>
    </row>
    <row r="15" spans="1:25" ht="20.149999999999999" customHeight="1" x14ac:dyDescent="0.35">
      <c r="A15" s="3399" t="s">
        <v>869</v>
      </c>
      <c r="B15" s="3399"/>
      <c r="C15" s="3399"/>
      <c r="D15" s="3399"/>
      <c r="E15" s="3399"/>
      <c r="F15" s="3399"/>
      <c r="G15" s="3399"/>
      <c r="H15" s="3399"/>
      <c r="I15" s="3399"/>
      <c r="J15" s="3399"/>
      <c r="K15" s="1773"/>
    </row>
    <row r="16" spans="1:25" ht="15.75" customHeight="1" x14ac:dyDescent="0.35">
      <c r="A16" s="2913" t="s">
        <v>992</v>
      </c>
      <c r="B16" s="2913"/>
      <c r="C16" s="2913"/>
      <c r="D16" s="2913"/>
      <c r="E16" s="2913"/>
      <c r="F16" s="2913"/>
      <c r="G16" s="2913"/>
      <c r="H16" s="2913"/>
      <c r="I16" s="2913"/>
      <c r="J16" s="2913"/>
      <c r="K16" s="1772"/>
      <c r="L16" s="1772"/>
      <c r="M16" s="1772"/>
      <c r="N16" s="1772"/>
      <c r="O16" s="1772"/>
      <c r="P16" s="1772"/>
      <c r="Q16" s="1772"/>
      <c r="R16" s="1772"/>
      <c r="S16" s="1772"/>
      <c r="T16" s="1772"/>
      <c r="U16" s="1772"/>
      <c r="V16" s="1772"/>
      <c r="W16" s="1772"/>
      <c r="X16" s="1772"/>
      <c r="Y16" s="1772"/>
    </row>
    <row r="17" spans="2:10" ht="18.75" customHeight="1" thickBot="1" x14ac:dyDescent="0.3">
      <c r="B17" s="1759"/>
      <c r="C17" s="1760"/>
      <c r="D17" s="1760"/>
      <c r="E17" s="1761"/>
      <c r="F17" s="1761"/>
      <c r="G17" s="1762"/>
      <c r="J17" s="1762" t="s">
        <v>979</v>
      </c>
    </row>
    <row r="18" spans="2:10" ht="34.5" customHeight="1" x14ac:dyDescent="0.25">
      <c r="B18" s="1799" t="s">
        <v>611</v>
      </c>
      <c r="C18" s="1800" t="s">
        <v>980</v>
      </c>
      <c r="D18" s="1800" t="s">
        <v>609</v>
      </c>
      <c r="E18" s="1800" t="s">
        <v>608</v>
      </c>
      <c r="F18" s="1800" t="s">
        <v>607</v>
      </c>
      <c r="G18" s="1800" t="s">
        <v>606</v>
      </c>
      <c r="H18" s="1800" t="s">
        <v>981</v>
      </c>
      <c r="I18" s="1800" t="s">
        <v>982</v>
      </c>
      <c r="J18" s="1801" t="s">
        <v>1042</v>
      </c>
    </row>
    <row r="19" spans="2:10" ht="123" customHeight="1" x14ac:dyDescent="0.25">
      <c r="B19" s="1802">
        <v>1</v>
      </c>
      <c r="C19" s="1794" t="s">
        <v>987</v>
      </c>
      <c r="D19" s="1764" t="s">
        <v>452</v>
      </c>
      <c r="E19" s="1764" t="s">
        <v>539</v>
      </c>
      <c r="F19" s="1764" t="s">
        <v>214</v>
      </c>
      <c r="G19" s="1764"/>
      <c r="H19" s="1765">
        <f>H20</f>
        <v>1489.4870000000001</v>
      </c>
      <c r="I19" s="1765">
        <f>I20</f>
        <v>1331.5219999999999</v>
      </c>
      <c r="J19" s="1766">
        <f>J20</f>
        <v>383.2</v>
      </c>
    </row>
    <row r="20" spans="2:10" s="1763" customFormat="1" ht="55" customHeight="1" x14ac:dyDescent="0.35">
      <c r="B20" s="1803"/>
      <c r="C20" s="1795" t="s">
        <v>988</v>
      </c>
      <c r="D20" s="1764" t="s">
        <v>452</v>
      </c>
      <c r="E20" s="1764" t="s">
        <v>539</v>
      </c>
      <c r="F20" s="1764" t="s">
        <v>984</v>
      </c>
      <c r="G20" s="1796"/>
      <c r="H20" s="1797">
        <f>H21+H23</f>
        <v>1489.4870000000001</v>
      </c>
      <c r="I20" s="1797">
        <f>I21+I23</f>
        <v>1331.5219999999999</v>
      </c>
      <c r="J20" s="1804">
        <f>J21+J23</f>
        <v>383.2</v>
      </c>
    </row>
    <row r="21" spans="2:10" s="1763" customFormat="1" ht="33.75" customHeight="1" x14ac:dyDescent="0.35">
      <c r="B21" s="1803"/>
      <c r="C21" s="1795" t="s">
        <v>989</v>
      </c>
      <c r="D21" s="1764" t="s">
        <v>452</v>
      </c>
      <c r="E21" s="1764" t="s">
        <v>539</v>
      </c>
      <c r="F21" s="1764" t="s">
        <v>984</v>
      </c>
      <c r="G21" s="1798" t="s">
        <v>1</v>
      </c>
      <c r="H21" s="1797">
        <v>766.4</v>
      </c>
      <c r="I21" s="1797">
        <v>766.4</v>
      </c>
      <c r="J21" s="1804">
        <v>383.2</v>
      </c>
    </row>
    <row r="22" spans="2:10" s="1763" customFormat="1" ht="33.75" customHeight="1" x14ac:dyDescent="0.35">
      <c r="B22" s="1803"/>
      <c r="C22" s="1795" t="s">
        <v>619</v>
      </c>
      <c r="D22" s="1764" t="s">
        <v>452</v>
      </c>
      <c r="E22" s="1764" t="s">
        <v>539</v>
      </c>
      <c r="F22" s="1764" t="s">
        <v>213</v>
      </c>
      <c r="G22" s="1798"/>
      <c r="H22" s="1797">
        <f>H23</f>
        <v>723.08699999999999</v>
      </c>
      <c r="I22" s="1797">
        <f>I23</f>
        <v>565.12199999999996</v>
      </c>
      <c r="J22" s="1804">
        <f>J23</f>
        <v>0</v>
      </c>
    </row>
    <row r="23" spans="2:10" s="1763" customFormat="1" ht="52.5" customHeight="1" x14ac:dyDescent="0.35">
      <c r="B23" s="1803"/>
      <c r="C23" s="1795" t="s">
        <v>990</v>
      </c>
      <c r="D23" s="1764" t="s">
        <v>452</v>
      </c>
      <c r="E23" s="1764" t="s">
        <v>539</v>
      </c>
      <c r="F23" s="1764" t="s">
        <v>213</v>
      </c>
      <c r="G23" s="1798" t="s">
        <v>1</v>
      </c>
      <c r="H23" s="1797">
        <v>723.08699999999999</v>
      </c>
      <c r="I23" s="1797">
        <v>565.12199999999996</v>
      </c>
      <c r="J23" s="1804">
        <v>0</v>
      </c>
    </row>
    <row r="24" spans="2:10" s="1763" customFormat="1" ht="52.5" hidden="1" customHeight="1" x14ac:dyDescent="0.35">
      <c r="B24" s="2211"/>
      <c r="C24" s="2212"/>
      <c r="D24" s="1764" t="s">
        <v>452</v>
      </c>
      <c r="E24" s="1764" t="s">
        <v>539</v>
      </c>
      <c r="F24" s="1764" t="s">
        <v>205</v>
      </c>
      <c r="G24" s="1798" t="s">
        <v>1</v>
      </c>
      <c r="H24" s="2213"/>
      <c r="I24" s="2213"/>
      <c r="J24" s="2214"/>
    </row>
    <row r="25" spans="2:10" ht="30" customHeight="1" thickBot="1" x14ac:dyDescent="0.3">
      <c r="B25" s="1805"/>
      <c r="C25" s="1806" t="s">
        <v>314</v>
      </c>
      <c r="D25" s="1807"/>
      <c r="E25" s="1808"/>
      <c r="F25" s="1808"/>
      <c r="G25" s="1808"/>
      <c r="H25" s="1809">
        <f>H19</f>
        <v>1489.4870000000001</v>
      </c>
      <c r="I25" s="1809">
        <f>I19</f>
        <v>1331.5219999999999</v>
      </c>
      <c r="J25" s="1810">
        <f>J19</f>
        <v>383.2</v>
      </c>
    </row>
    <row r="28" spans="2:10" x14ac:dyDescent="0.25">
      <c r="E28" s="1767"/>
    </row>
  </sheetData>
  <mergeCells count="9">
    <mergeCell ref="B14:J14"/>
    <mergeCell ref="H11:J11"/>
    <mergeCell ref="A16:J16"/>
    <mergeCell ref="A15:J15"/>
    <mergeCell ref="H1:J1"/>
    <mergeCell ref="H2:J2"/>
    <mergeCell ref="H3:J3"/>
    <mergeCell ref="H4:J4"/>
    <mergeCell ref="H5:J5"/>
  </mergeCells>
  <pageMargins left="0.55118110236220474" right="0.74" top="0.43307086614173229" bottom="0.19685039370078741" header="0.19685039370078741" footer="0.15748031496062992"/>
  <pageSetup paperSize="9" scale="74" orientation="landscape" r:id="rId1"/>
  <colBreaks count="1" manualBreakCount="1">
    <brk id="7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86"/>
  <sheetViews>
    <sheetView topLeftCell="B11" zoomScaleNormal="100" workbookViewId="0">
      <selection activeCell="H36" sqref="H36"/>
    </sheetView>
  </sheetViews>
  <sheetFormatPr defaultColWidth="9.1796875" defaultRowHeight="12.5" x14ac:dyDescent="0.25"/>
  <cols>
    <col min="1" max="1" width="7.26953125" style="553" hidden="1" customWidth="1"/>
    <col min="2" max="2" width="41.26953125" style="553" customWidth="1"/>
    <col min="3" max="3" width="11.7265625" style="553" hidden="1" customWidth="1"/>
    <col min="4" max="4" width="11" style="555" customWidth="1"/>
    <col min="5" max="5" width="10.81640625" style="555" customWidth="1"/>
    <col min="6" max="6" width="14" style="553" customWidth="1"/>
    <col min="7" max="7" width="9.1796875" style="553" customWidth="1"/>
    <col min="8" max="8" width="10.1796875" style="557" customWidth="1"/>
    <col min="9" max="10" width="9.1796875" style="553" hidden="1" customWidth="1"/>
    <col min="11" max="256" width="9.1796875" style="553"/>
    <col min="257" max="257" width="0" style="553" hidden="1" customWidth="1"/>
    <col min="258" max="258" width="41.26953125" style="553" customWidth="1"/>
    <col min="259" max="259" width="0" style="553" hidden="1" customWidth="1"/>
    <col min="260" max="260" width="11" style="553" customWidth="1"/>
    <col min="261" max="261" width="10.81640625" style="553" customWidth="1"/>
    <col min="262" max="262" width="14" style="553" customWidth="1"/>
    <col min="263" max="263" width="9.1796875" style="553" customWidth="1"/>
    <col min="264" max="264" width="10.1796875" style="553" customWidth="1"/>
    <col min="265" max="266" width="0" style="553" hidden="1" customWidth="1"/>
    <col min="267" max="512" width="9.1796875" style="553"/>
    <col min="513" max="513" width="0" style="553" hidden="1" customWidth="1"/>
    <col min="514" max="514" width="41.26953125" style="553" customWidth="1"/>
    <col min="515" max="515" width="0" style="553" hidden="1" customWidth="1"/>
    <col min="516" max="516" width="11" style="553" customWidth="1"/>
    <col min="517" max="517" width="10.81640625" style="553" customWidth="1"/>
    <col min="518" max="518" width="14" style="553" customWidth="1"/>
    <col min="519" max="519" width="9.1796875" style="553" customWidth="1"/>
    <col min="520" max="520" width="10.1796875" style="553" customWidth="1"/>
    <col min="521" max="522" width="0" style="553" hidden="1" customWidth="1"/>
    <col min="523" max="768" width="9.1796875" style="553"/>
    <col min="769" max="769" width="0" style="553" hidden="1" customWidth="1"/>
    <col min="770" max="770" width="41.26953125" style="553" customWidth="1"/>
    <col min="771" max="771" width="0" style="553" hidden="1" customWidth="1"/>
    <col min="772" max="772" width="11" style="553" customWidth="1"/>
    <col min="773" max="773" width="10.81640625" style="553" customWidth="1"/>
    <col min="774" max="774" width="14" style="553" customWidth="1"/>
    <col min="775" max="775" width="9.1796875" style="553" customWidth="1"/>
    <col min="776" max="776" width="10.1796875" style="553" customWidth="1"/>
    <col min="777" max="778" width="0" style="553" hidden="1" customWidth="1"/>
    <col min="779" max="1024" width="9.1796875" style="553"/>
    <col min="1025" max="1025" width="0" style="553" hidden="1" customWidth="1"/>
    <col min="1026" max="1026" width="41.26953125" style="553" customWidth="1"/>
    <col min="1027" max="1027" width="0" style="553" hidden="1" customWidth="1"/>
    <col min="1028" max="1028" width="11" style="553" customWidth="1"/>
    <col min="1029" max="1029" width="10.81640625" style="553" customWidth="1"/>
    <col min="1030" max="1030" width="14" style="553" customWidth="1"/>
    <col min="1031" max="1031" width="9.1796875" style="553" customWidth="1"/>
    <col min="1032" max="1032" width="10.1796875" style="553" customWidth="1"/>
    <col min="1033" max="1034" width="0" style="553" hidden="1" customWidth="1"/>
    <col min="1035" max="1280" width="9.1796875" style="553"/>
    <col min="1281" max="1281" width="0" style="553" hidden="1" customWidth="1"/>
    <col min="1282" max="1282" width="41.26953125" style="553" customWidth="1"/>
    <col min="1283" max="1283" width="0" style="553" hidden="1" customWidth="1"/>
    <col min="1284" max="1284" width="11" style="553" customWidth="1"/>
    <col min="1285" max="1285" width="10.81640625" style="553" customWidth="1"/>
    <col min="1286" max="1286" width="14" style="553" customWidth="1"/>
    <col min="1287" max="1287" width="9.1796875" style="553" customWidth="1"/>
    <col min="1288" max="1288" width="10.1796875" style="553" customWidth="1"/>
    <col min="1289" max="1290" width="0" style="553" hidden="1" customWidth="1"/>
    <col min="1291" max="1536" width="9.1796875" style="553"/>
    <col min="1537" max="1537" width="0" style="553" hidden="1" customWidth="1"/>
    <col min="1538" max="1538" width="41.26953125" style="553" customWidth="1"/>
    <col min="1539" max="1539" width="0" style="553" hidden="1" customWidth="1"/>
    <col min="1540" max="1540" width="11" style="553" customWidth="1"/>
    <col min="1541" max="1541" width="10.81640625" style="553" customWidth="1"/>
    <col min="1542" max="1542" width="14" style="553" customWidth="1"/>
    <col min="1543" max="1543" width="9.1796875" style="553" customWidth="1"/>
    <col min="1544" max="1544" width="10.1796875" style="553" customWidth="1"/>
    <col min="1545" max="1546" width="0" style="553" hidden="1" customWidth="1"/>
    <col min="1547" max="1792" width="9.1796875" style="553"/>
    <col min="1793" max="1793" width="0" style="553" hidden="1" customWidth="1"/>
    <col min="1794" max="1794" width="41.26953125" style="553" customWidth="1"/>
    <col min="1795" max="1795" width="0" style="553" hidden="1" customWidth="1"/>
    <col min="1796" max="1796" width="11" style="553" customWidth="1"/>
    <col min="1797" max="1797" width="10.81640625" style="553" customWidth="1"/>
    <col min="1798" max="1798" width="14" style="553" customWidth="1"/>
    <col min="1799" max="1799" width="9.1796875" style="553" customWidth="1"/>
    <col min="1800" max="1800" width="10.1796875" style="553" customWidth="1"/>
    <col min="1801" max="1802" width="0" style="553" hidden="1" customWidth="1"/>
    <col min="1803" max="2048" width="9.1796875" style="553"/>
    <col min="2049" max="2049" width="0" style="553" hidden="1" customWidth="1"/>
    <col min="2050" max="2050" width="41.26953125" style="553" customWidth="1"/>
    <col min="2051" max="2051" width="0" style="553" hidden="1" customWidth="1"/>
    <col min="2052" max="2052" width="11" style="553" customWidth="1"/>
    <col min="2053" max="2053" width="10.81640625" style="553" customWidth="1"/>
    <col min="2054" max="2054" width="14" style="553" customWidth="1"/>
    <col min="2055" max="2055" width="9.1796875" style="553" customWidth="1"/>
    <col min="2056" max="2056" width="10.1796875" style="553" customWidth="1"/>
    <col min="2057" max="2058" width="0" style="553" hidden="1" customWidth="1"/>
    <col min="2059" max="2304" width="9.1796875" style="553"/>
    <col min="2305" max="2305" width="0" style="553" hidden="1" customWidth="1"/>
    <col min="2306" max="2306" width="41.26953125" style="553" customWidth="1"/>
    <col min="2307" max="2307" width="0" style="553" hidden="1" customWidth="1"/>
    <col min="2308" max="2308" width="11" style="553" customWidth="1"/>
    <col min="2309" max="2309" width="10.81640625" style="553" customWidth="1"/>
    <col min="2310" max="2310" width="14" style="553" customWidth="1"/>
    <col min="2311" max="2311" width="9.1796875" style="553" customWidth="1"/>
    <col min="2312" max="2312" width="10.1796875" style="553" customWidth="1"/>
    <col min="2313" max="2314" width="0" style="553" hidden="1" customWidth="1"/>
    <col min="2315" max="2560" width="9.1796875" style="553"/>
    <col min="2561" max="2561" width="0" style="553" hidden="1" customWidth="1"/>
    <col min="2562" max="2562" width="41.26953125" style="553" customWidth="1"/>
    <col min="2563" max="2563" width="0" style="553" hidden="1" customWidth="1"/>
    <col min="2564" max="2564" width="11" style="553" customWidth="1"/>
    <col min="2565" max="2565" width="10.81640625" style="553" customWidth="1"/>
    <col min="2566" max="2566" width="14" style="553" customWidth="1"/>
    <col min="2567" max="2567" width="9.1796875" style="553" customWidth="1"/>
    <col min="2568" max="2568" width="10.1796875" style="553" customWidth="1"/>
    <col min="2569" max="2570" width="0" style="553" hidden="1" customWidth="1"/>
    <col min="2571" max="2816" width="9.1796875" style="553"/>
    <col min="2817" max="2817" width="0" style="553" hidden="1" customWidth="1"/>
    <col min="2818" max="2818" width="41.26953125" style="553" customWidth="1"/>
    <col min="2819" max="2819" width="0" style="553" hidden="1" customWidth="1"/>
    <col min="2820" max="2820" width="11" style="553" customWidth="1"/>
    <col min="2821" max="2821" width="10.81640625" style="553" customWidth="1"/>
    <col min="2822" max="2822" width="14" style="553" customWidth="1"/>
    <col min="2823" max="2823" width="9.1796875" style="553" customWidth="1"/>
    <col min="2824" max="2824" width="10.1796875" style="553" customWidth="1"/>
    <col min="2825" max="2826" width="0" style="553" hidden="1" customWidth="1"/>
    <col min="2827" max="3072" width="9.1796875" style="553"/>
    <col min="3073" max="3073" width="0" style="553" hidden="1" customWidth="1"/>
    <col min="3074" max="3074" width="41.26953125" style="553" customWidth="1"/>
    <col min="3075" max="3075" width="0" style="553" hidden="1" customWidth="1"/>
    <col min="3076" max="3076" width="11" style="553" customWidth="1"/>
    <col min="3077" max="3077" width="10.81640625" style="553" customWidth="1"/>
    <col min="3078" max="3078" width="14" style="553" customWidth="1"/>
    <col min="3079" max="3079" width="9.1796875" style="553" customWidth="1"/>
    <col min="3080" max="3080" width="10.1796875" style="553" customWidth="1"/>
    <col min="3081" max="3082" width="0" style="553" hidden="1" customWidth="1"/>
    <col min="3083" max="3328" width="9.1796875" style="553"/>
    <col min="3329" max="3329" width="0" style="553" hidden="1" customWidth="1"/>
    <col min="3330" max="3330" width="41.26953125" style="553" customWidth="1"/>
    <col min="3331" max="3331" width="0" style="553" hidden="1" customWidth="1"/>
    <col min="3332" max="3332" width="11" style="553" customWidth="1"/>
    <col min="3333" max="3333" width="10.81640625" style="553" customWidth="1"/>
    <col min="3334" max="3334" width="14" style="553" customWidth="1"/>
    <col min="3335" max="3335" width="9.1796875" style="553" customWidth="1"/>
    <col min="3336" max="3336" width="10.1796875" style="553" customWidth="1"/>
    <col min="3337" max="3338" width="0" style="553" hidden="1" customWidth="1"/>
    <col min="3339" max="3584" width="9.1796875" style="553"/>
    <col min="3585" max="3585" width="0" style="553" hidden="1" customWidth="1"/>
    <col min="3586" max="3586" width="41.26953125" style="553" customWidth="1"/>
    <col min="3587" max="3587" width="0" style="553" hidden="1" customWidth="1"/>
    <col min="3588" max="3588" width="11" style="553" customWidth="1"/>
    <col min="3589" max="3589" width="10.81640625" style="553" customWidth="1"/>
    <col min="3590" max="3590" width="14" style="553" customWidth="1"/>
    <col min="3591" max="3591" width="9.1796875" style="553" customWidth="1"/>
    <col min="3592" max="3592" width="10.1796875" style="553" customWidth="1"/>
    <col min="3593" max="3594" width="0" style="553" hidden="1" customWidth="1"/>
    <col min="3595" max="3840" width="9.1796875" style="553"/>
    <col min="3841" max="3841" width="0" style="553" hidden="1" customWidth="1"/>
    <col min="3842" max="3842" width="41.26953125" style="553" customWidth="1"/>
    <col min="3843" max="3843" width="0" style="553" hidden="1" customWidth="1"/>
    <col min="3844" max="3844" width="11" style="553" customWidth="1"/>
    <col min="3845" max="3845" width="10.81640625" style="553" customWidth="1"/>
    <col min="3846" max="3846" width="14" style="553" customWidth="1"/>
    <col min="3847" max="3847" width="9.1796875" style="553" customWidth="1"/>
    <col min="3848" max="3848" width="10.1796875" style="553" customWidth="1"/>
    <col min="3849" max="3850" width="0" style="553" hidden="1" customWidth="1"/>
    <col min="3851" max="4096" width="9.1796875" style="553"/>
    <col min="4097" max="4097" width="0" style="553" hidden="1" customWidth="1"/>
    <col min="4098" max="4098" width="41.26953125" style="553" customWidth="1"/>
    <col min="4099" max="4099" width="0" style="553" hidden="1" customWidth="1"/>
    <col min="4100" max="4100" width="11" style="553" customWidth="1"/>
    <col min="4101" max="4101" width="10.81640625" style="553" customWidth="1"/>
    <col min="4102" max="4102" width="14" style="553" customWidth="1"/>
    <col min="4103" max="4103" width="9.1796875" style="553" customWidth="1"/>
    <col min="4104" max="4104" width="10.1796875" style="553" customWidth="1"/>
    <col min="4105" max="4106" width="0" style="553" hidden="1" customWidth="1"/>
    <col min="4107" max="4352" width="9.1796875" style="553"/>
    <col min="4353" max="4353" width="0" style="553" hidden="1" customWidth="1"/>
    <col min="4354" max="4354" width="41.26953125" style="553" customWidth="1"/>
    <col min="4355" max="4355" width="0" style="553" hidden="1" customWidth="1"/>
    <col min="4356" max="4356" width="11" style="553" customWidth="1"/>
    <col min="4357" max="4357" width="10.81640625" style="553" customWidth="1"/>
    <col min="4358" max="4358" width="14" style="553" customWidth="1"/>
    <col min="4359" max="4359" width="9.1796875" style="553" customWidth="1"/>
    <col min="4360" max="4360" width="10.1796875" style="553" customWidth="1"/>
    <col min="4361" max="4362" width="0" style="553" hidden="1" customWidth="1"/>
    <col min="4363" max="4608" width="9.1796875" style="553"/>
    <col min="4609" max="4609" width="0" style="553" hidden="1" customWidth="1"/>
    <col min="4610" max="4610" width="41.26953125" style="553" customWidth="1"/>
    <col min="4611" max="4611" width="0" style="553" hidden="1" customWidth="1"/>
    <col min="4612" max="4612" width="11" style="553" customWidth="1"/>
    <col min="4613" max="4613" width="10.81640625" style="553" customWidth="1"/>
    <col min="4614" max="4614" width="14" style="553" customWidth="1"/>
    <col min="4615" max="4615" width="9.1796875" style="553" customWidth="1"/>
    <col min="4616" max="4616" width="10.1796875" style="553" customWidth="1"/>
    <col min="4617" max="4618" width="0" style="553" hidden="1" customWidth="1"/>
    <col min="4619" max="4864" width="9.1796875" style="553"/>
    <col min="4865" max="4865" width="0" style="553" hidden="1" customWidth="1"/>
    <col min="4866" max="4866" width="41.26953125" style="553" customWidth="1"/>
    <col min="4867" max="4867" width="0" style="553" hidden="1" customWidth="1"/>
    <col min="4868" max="4868" width="11" style="553" customWidth="1"/>
    <col min="4869" max="4869" width="10.81640625" style="553" customWidth="1"/>
    <col min="4870" max="4870" width="14" style="553" customWidth="1"/>
    <col min="4871" max="4871" width="9.1796875" style="553" customWidth="1"/>
    <col min="4872" max="4872" width="10.1796875" style="553" customWidth="1"/>
    <col min="4873" max="4874" width="0" style="553" hidden="1" customWidth="1"/>
    <col min="4875" max="5120" width="9.1796875" style="553"/>
    <col min="5121" max="5121" width="0" style="553" hidden="1" customWidth="1"/>
    <col min="5122" max="5122" width="41.26953125" style="553" customWidth="1"/>
    <col min="5123" max="5123" width="0" style="553" hidden="1" customWidth="1"/>
    <col min="5124" max="5124" width="11" style="553" customWidth="1"/>
    <col min="5125" max="5125" width="10.81640625" style="553" customWidth="1"/>
    <col min="5126" max="5126" width="14" style="553" customWidth="1"/>
    <col min="5127" max="5127" width="9.1796875" style="553" customWidth="1"/>
    <col min="5128" max="5128" width="10.1796875" style="553" customWidth="1"/>
    <col min="5129" max="5130" width="0" style="553" hidden="1" customWidth="1"/>
    <col min="5131" max="5376" width="9.1796875" style="553"/>
    <col min="5377" max="5377" width="0" style="553" hidden="1" customWidth="1"/>
    <col min="5378" max="5378" width="41.26953125" style="553" customWidth="1"/>
    <col min="5379" max="5379" width="0" style="553" hidden="1" customWidth="1"/>
    <col min="5380" max="5380" width="11" style="553" customWidth="1"/>
    <col min="5381" max="5381" width="10.81640625" style="553" customWidth="1"/>
    <col min="5382" max="5382" width="14" style="553" customWidth="1"/>
    <col min="5383" max="5383" width="9.1796875" style="553" customWidth="1"/>
    <col min="5384" max="5384" width="10.1796875" style="553" customWidth="1"/>
    <col min="5385" max="5386" width="0" style="553" hidden="1" customWidth="1"/>
    <col min="5387" max="5632" width="9.1796875" style="553"/>
    <col min="5633" max="5633" width="0" style="553" hidden="1" customWidth="1"/>
    <col min="5634" max="5634" width="41.26953125" style="553" customWidth="1"/>
    <col min="5635" max="5635" width="0" style="553" hidden="1" customWidth="1"/>
    <col min="5636" max="5636" width="11" style="553" customWidth="1"/>
    <col min="5637" max="5637" width="10.81640625" style="553" customWidth="1"/>
    <col min="5638" max="5638" width="14" style="553" customWidth="1"/>
    <col min="5639" max="5639" width="9.1796875" style="553" customWidth="1"/>
    <col min="5640" max="5640" width="10.1796875" style="553" customWidth="1"/>
    <col min="5641" max="5642" width="0" style="553" hidden="1" customWidth="1"/>
    <col min="5643" max="5888" width="9.1796875" style="553"/>
    <col min="5889" max="5889" width="0" style="553" hidden="1" customWidth="1"/>
    <col min="5890" max="5890" width="41.26953125" style="553" customWidth="1"/>
    <col min="5891" max="5891" width="0" style="553" hidden="1" customWidth="1"/>
    <col min="5892" max="5892" width="11" style="553" customWidth="1"/>
    <col min="5893" max="5893" width="10.81640625" style="553" customWidth="1"/>
    <col min="5894" max="5894" width="14" style="553" customWidth="1"/>
    <col min="5895" max="5895" width="9.1796875" style="553" customWidth="1"/>
    <col min="5896" max="5896" width="10.1796875" style="553" customWidth="1"/>
    <col min="5897" max="5898" width="0" style="553" hidden="1" customWidth="1"/>
    <col min="5899" max="6144" width="9.1796875" style="553"/>
    <col min="6145" max="6145" width="0" style="553" hidden="1" customWidth="1"/>
    <col min="6146" max="6146" width="41.26953125" style="553" customWidth="1"/>
    <col min="6147" max="6147" width="0" style="553" hidden="1" customWidth="1"/>
    <col min="6148" max="6148" width="11" style="553" customWidth="1"/>
    <col min="6149" max="6149" width="10.81640625" style="553" customWidth="1"/>
    <col min="6150" max="6150" width="14" style="553" customWidth="1"/>
    <col min="6151" max="6151" width="9.1796875" style="553" customWidth="1"/>
    <col min="6152" max="6152" width="10.1796875" style="553" customWidth="1"/>
    <col min="6153" max="6154" width="0" style="553" hidden="1" customWidth="1"/>
    <col min="6155" max="6400" width="9.1796875" style="553"/>
    <col min="6401" max="6401" width="0" style="553" hidden="1" customWidth="1"/>
    <col min="6402" max="6402" width="41.26953125" style="553" customWidth="1"/>
    <col min="6403" max="6403" width="0" style="553" hidden="1" customWidth="1"/>
    <col min="6404" max="6404" width="11" style="553" customWidth="1"/>
    <col min="6405" max="6405" width="10.81640625" style="553" customWidth="1"/>
    <col min="6406" max="6406" width="14" style="553" customWidth="1"/>
    <col min="6407" max="6407" width="9.1796875" style="553" customWidth="1"/>
    <col min="6408" max="6408" width="10.1796875" style="553" customWidth="1"/>
    <col min="6409" max="6410" width="0" style="553" hidden="1" customWidth="1"/>
    <col min="6411" max="6656" width="9.1796875" style="553"/>
    <col min="6657" max="6657" width="0" style="553" hidden="1" customWidth="1"/>
    <col min="6658" max="6658" width="41.26953125" style="553" customWidth="1"/>
    <col min="6659" max="6659" width="0" style="553" hidden="1" customWidth="1"/>
    <col min="6660" max="6660" width="11" style="553" customWidth="1"/>
    <col min="6661" max="6661" width="10.81640625" style="553" customWidth="1"/>
    <col min="6662" max="6662" width="14" style="553" customWidth="1"/>
    <col min="6663" max="6663" width="9.1796875" style="553" customWidth="1"/>
    <col min="6664" max="6664" width="10.1796875" style="553" customWidth="1"/>
    <col min="6665" max="6666" width="0" style="553" hidden="1" customWidth="1"/>
    <col min="6667" max="6912" width="9.1796875" style="553"/>
    <col min="6913" max="6913" width="0" style="553" hidden="1" customWidth="1"/>
    <col min="6914" max="6914" width="41.26953125" style="553" customWidth="1"/>
    <col min="6915" max="6915" width="0" style="553" hidden="1" customWidth="1"/>
    <col min="6916" max="6916" width="11" style="553" customWidth="1"/>
    <col min="6917" max="6917" width="10.81640625" style="553" customWidth="1"/>
    <col min="6918" max="6918" width="14" style="553" customWidth="1"/>
    <col min="6919" max="6919" width="9.1796875" style="553" customWidth="1"/>
    <col min="6920" max="6920" width="10.1796875" style="553" customWidth="1"/>
    <col min="6921" max="6922" width="0" style="553" hidden="1" customWidth="1"/>
    <col min="6923" max="7168" width="9.1796875" style="553"/>
    <col min="7169" max="7169" width="0" style="553" hidden="1" customWidth="1"/>
    <col min="7170" max="7170" width="41.26953125" style="553" customWidth="1"/>
    <col min="7171" max="7171" width="0" style="553" hidden="1" customWidth="1"/>
    <col min="7172" max="7172" width="11" style="553" customWidth="1"/>
    <col min="7173" max="7173" width="10.81640625" style="553" customWidth="1"/>
    <col min="7174" max="7174" width="14" style="553" customWidth="1"/>
    <col min="7175" max="7175" width="9.1796875" style="553" customWidth="1"/>
    <col min="7176" max="7176" width="10.1796875" style="553" customWidth="1"/>
    <col min="7177" max="7178" width="0" style="553" hidden="1" customWidth="1"/>
    <col min="7179" max="7424" width="9.1796875" style="553"/>
    <col min="7425" max="7425" width="0" style="553" hidden="1" customWidth="1"/>
    <col min="7426" max="7426" width="41.26953125" style="553" customWidth="1"/>
    <col min="7427" max="7427" width="0" style="553" hidden="1" customWidth="1"/>
    <col min="7428" max="7428" width="11" style="553" customWidth="1"/>
    <col min="7429" max="7429" width="10.81640625" style="553" customWidth="1"/>
    <col min="7430" max="7430" width="14" style="553" customWidth="1"/>
    <col min="7431" max="7431" width="9.1796875" style="553" customWidth="1"/>
    <col min="7432" max="7432" width="10.1796875" style="553" customWidth="1"/>
    <col min="7433" max="7434" width="0" style="553" hidden="1" customWidth="1"/>
    <col min="7435" max="7680" width="9.1796875" style="553"/>
    <col min="7681" max="7681" width="0" style="553" hidden="1" customWidth="1"/>
    <col min="7682" max="7682" width="41.26953125" style="553" customWidth="1"/>
    <col min="7683" max="7683" width="0" style="553" hidden="1" customWidth="1"/>
    <col min="7684" max="7684" width="11" style="553" customWidth="1"/>
    <col min="7685" max="7685" width="10.81640625" style="553" customWidth="1"/>
    <col min="7686" max="7686" width="14" style="553" customWidth="1"/>
    <col min="7687" max="7687" width="9.1796875" style="553" customWidth="1"/>
    <col min="7688" max="7688" width="10.1796875" style="553" customWidth="1"/>
    <col min="7689" max="7690" width="0" style="553" hidden="1" customWidth="1"/>
    <col min="7691" max="7936" width="9.1796875" style="553"/>
    <col min="7937" max="7937" width="0" style="553" hidden="1" customWidth="1"/>
    <col min="7938" max="7938" width="41.26953125" style="553" customWidth="1"/>
    <col min="7939" max="7939" width="0" style="553" hidden="1" customWidth="1"/>
    <col min="7940" max="7940" width="11" style="553" customWidth="1"/>
    <col min="7941" max="7941" width="10.81640625" style="553" customWidth="1"/>
    <col min="7942" max="7942" width="14" style="553" customWidth="1"/>
    <col min="7943" max="7943" width="9.1796875" style="553" customWidth="1"/>
    <col min="7944" max="7944" width="10.1796875" style="553" customWidth="1"/>
    <col min="7945" max="7946" width="0" style="553" hidden="1" customWidth="1"/>
    <col min="7947" max="8192" width="9.1796875" style="553"/>
    <col min="8193" max="8193" width="0" style="553" hidden="1" customWidth="1"/>
    <col min="8194" max="8194" width="41.26953125" style="553" customWidth="1"/>
    <col min="8195" max="8195" width="0" style="553" hidden="1" customWidth="1"/>
    <col min="8196" max="8196" width="11" style="553" customWidth="1"/>
    <col min="8197" max="8197" width="10.81640625" style="553" customWidth="1"/>
    <col min="8198" max="8198" width="14" style="553" customWidth="1"/>
    <col min="8199" max="8199" width="9.1796875" style="553" customWidth="1"/>
    <col min="8200" max="8200" width="10.1796875" style="553" customWidth="1"/>
    <col min="8201" max="8202" width="0" style="553" hidden="1" customWidth="1"/>
    <col min="8203" max="8448" width="9.1796875" style="553"/>
    <col min="8449" max="8449" width="0" style="553" hidden="1" customWidth="1"/>
    <col min="8450" max="8450" width="41.26953125" style="553" customWidth="1"/>
    <col min="8451" max="8451" width="0" style="553" hidden="1" customWidth="1"/>
    <col min="8452" max="8452" width="11" style="553" customWidth="1"/>
    <col min="8453" max="8453" width="10.81640625" style="553" customWidth="1"/>
    <col min="8454" max="8454" width="14" style="553" customWidth="1"/>
    <col min="8455" max="8455" width="9.1796875" style="553" customWidth="1"/>
    <col min="8456" max="8456" width="10.1796875" style="553" customWidth="1"/>
    <col min="8457" max="8458" width="0" style="553" hidden="1" customWidth="1"/>
    <col min="8459" max="8704" width="9.1796875" style="553"/>
    <col min="8705" max="8705" width="0" style="553" hidden="1" customWidth="1"/>
    <col min="8706" max="8706" width="41.26953125" style="553" customWidth="1"/>
    <col min="8707" max="8707" width="0" style="553" hidden="1" customWidth="1"/>
    <col min="8708" max="8708" width="11" style="553" customWidth="1"/>
    <col min="8709" max="8709" width="10.81640625" style="553" customWidth="1"/>
    <col min="8710" max="8710" width="14" style="553" customWidth="1"/>
    <col min="8711" max="8711" width="9.1796875" style="553" customWidth="1"/>
    <col min="8712" max="8712" width="10.1796875" style="553" customWidth="1"/>
    <col min="8713" max="8714" width="0" style="553" hidden="1" customWidth="1"/>
    <col min="8715" max="8960" width="9.1796875" style="553"/>
    <col min="8961" max="8961" width="0" style="553" hidden="1" customWidth="1"/>
    <col min="8962" max="8962" width="41.26953125" style="553" customWidth="1"/>
    <col min="8963" max="8963" width="0" style="553" hidden="1" customWidth="1"/>
    <col min="8964" max="8964" width="11" style="553" customWidth="1"/>
    <col min="8965" max="8965" width="10.81640625" style="553" customWidth="1"/>
    <col min="8966" max="8966" width="14" style="553" customWidth="1"/>
    <col min="8967" max="8967" width="9.1796875" style="553" customWidth="1"/>
    <col min="8968" max="8968" width="10.1796875" style="553" customWidth="1"/>
    <col min="8969" max="8970" width="0" style="553" hidden="1" customWidth="1"/>
    <col min="8971" max="9216" width="9.1796875" style="553"/>
    <col min="9217" max="9217" width="0" style="553" hidden="1" customWidth="1"/>
    <col min="9218" max="9218" width="41.26953125" style="553" customWidth="1"/>
    <col min="9219" max="9219" width="0" style="553" hidden="1" customWidth="1"/>
    <col min="9220" max="9220" width="11" style="553" customWidth="1"/>
    <col min="9221" max="9221" width="10.81640625" style="553" customWidth="1"/>
    <col min="9222" max="9222" width="14" style="553" customWidth="1"/>
    <col min="9223" max="9223" width="9.1796875" style="553" customWidth="1"/>
    <col min="9224" max="9224" width="10.1796875" style="553" customWidth="1"/>
    <col min="9225" max="9226" width="0" style="553" hidden="1" customWidth="1"/>
    <col min="9227" max="9472" width="9.1796875" style="553"/>
    <col min="9473" max="9473" width="0" style="553" hidden="1" customWidth="1"/>
    <col min="9474" max="9474" width="41.26953125" style="553" customWidth="1"/>
    <col min="9475" max="9475" width="0" style="553" hidden="1" customWidth="1"/>
    <col min="9476" max="9476" width="11" style="553" customWidth="1"/>
    <col min="9477" max="9477" width="10.81640625" style="553" customWidth="1"/>
    <col min="9478" max="9478" width="14" style="553" customWidth="1"/>
    <col min="9479" max="9479" width="9.1796875" style="553" customWidth="1"/>
    <col min="9480" max="9480" width="10.1796875" style="553" customWidth="1"/>
    <col min="9481" max="9482" width="0" style="553" hidden="1" customWidth="1"/>
    <col min="9483" max="9728" width="9.1796875" style="553"/>
    <col min="9729" max="9729" width="0" style="553" hidden="1" customWidth="1"/>
    <col min="9730" max="9730" width="41.26953125" style="553" customWidth="1"/>
    <col min="9731" max="9731" width="0" style="553" hidden="1" customWidth="1"/>
    <col min="9732" max="9732" width="11" style="553" customWidth="1"/>
    <col min="9733" max="9733" width="10.81640625" style="553" customWidth="1"/>
    <col min="9734" max="9734" width="14" style="553" customWidth="1"/>
    <col min="9735" max="9735" width="9.1796875" style="553" customWidth="1"/>
    <col min="9736" max="9736" width="10.1796875" style="553" customWidth="1"/>
    <col min="9737" max="9738" width="0" style="553" hidden="1" customWidth="1"/>
    <col min="9739" max="9984" width="9.1796875" style="553"/>
    <col min="9985" max="9985" width="0" style="553" hidden="1" customWidth="1"/>
    <col min="9986" max="9986" width="41.26953125" style="553" customWidth="1"/>
    <col min="9987" max="9987" width="0" style="553" hidden="1" customWidth="1"/>
    <col min="9988" max="9988" width="11" style="553" customWidth="1"/>
    <col min="9989" max="9989" width="10.81640625" style="553" customWidth="1"/>
    <col min="9990" max="9990" width="14" style="553" customWidth="1"/>
    <col min="9991" max="9991" width="9.1796875" style="553" customWidth="1"/>
    <col min="9992" max="9992" width="10.1796875" style="553" customWidth="1"/>
    <col min="9993" max="9994" width="0" style="553" hidden="1" customWidth="1"/>
    <col min="9995" max="10240" width="9.1796875" style="553"/>
    <col min="10241" max="10241" width="0" style="553" hidden="1" customWidth="1"/>
    <col min="10242" max="10242" width="41.26953125" style="553" customWidth="1"/>
    <col min="10243" max="10243" width="0" style="553" hidden="1" customWidth="1"/>
    <col min="10244" max="10244" width="11" style="553" customWidth="1"/>
    <col min="10245" max="10245" width="10.81640625" style="553" customWidth="1"/>
    <col min="10246" max="10246" width="14" style="553" customWidth="1"/>
    <col min="10247" max="10247" width="9.1796875" style="553" customWidth="1"/>
    <col min="10248" max="10248" width="10.1796875" style="553" customWidth="1"/>
    <col min="10249" max="10250" width="0" style="553" hidden="1" customWidth="1"/>
    <col min="10251" max="10496" width="9.1796875" style="553"/>
    <col min="10497" max="10497" width="0" style="553" hidden="1" customWidth="1"/>
    <col min="10498" max="10498" width="41.26953125" style="553" customWidth="1"/>
    <col min="10499" max="10499" width="0" style="553" hidden="1" customWidth="1"/>
    <col min="10500" max="10500" width="11" style="553" customWidth="1"/>
    <col min="10501" max="10501" width="10.81640625" style="553" customWidth="1"/>
    <col min="10502" max="10502" width="14" style="553" customWidth="1"/>
    <col min="10503" max="10503" width="9.1796875" style="553" customWidth="1"/>
    <col min="10504" max="10504" width="10.1796875" style="553" customWidth="1"/>
    <col min="10505" max="10506" width="0" style="553" hidden="1" customWidth="1"/>
    <col min="10507" max="10752" width="9.1796875" style="553"/>
    <col min="10753" max="10753" width="0" style="553" hidden="1" customWidth="1"/>
    <col min="10754" max="10754" width="41.26953125" style="553" customWidth="1"/>
    <col min="10755" max="10755" width="0" style="553" hidden="1" customWidth="1"/>
    <col min="10756" max="10756" width="11" style="553" customWidth="1"/>
    <col min="10757" max="10757" width="10.81640625" style="553" customWidth="1"/>
    <col min="10758" max="10758" width="14" style="553" customWidth="1"/>
    <col min="10759" max="10759" width="9.1796875" style="553" customWidth="1"/>
    <col min="10760" max="10760" width="10.1796875" style="553" customWidth="1"/>
    <col min="10761" max="10762" width="0" style="553" hidden="1" customWidth="1"/>
    <col min="10763" max="11008" width="9.1796875" style="553"/>
    <col min="11009" max="11009" width="0" style="553" hidden="1" customWidth="1"/>
    <col min="11010" max="11010" width="41.26953125" style="553" customWidth="1"/>
    <col min="11011" max="11011" width="0" style="553" hidden="1" customWidth="1"/>
    <col min="11012" max="11012" width="11" style="553" customWidth="1"/>
    <col min="11013" max="11013" width="10.81640625" style="553" customWidth="1"/>
    <col min="11014" max="11014" width="14" style="553" customWidth="1"/>
    <col min="11015" max="11015" width="9.1796875" style="553" customWidth="1"/>
    <col min="11016" max="11016" width="10.1796875" style="553" customWidth="1"/>
    <col min="11017" max="11018" width="0" style="553" hidden="1" customWidth="1"/>
    <col min="11019" max="11264" width="9.1796875" style="553"/>
    <col min="11265" max="11265" width="0" style="553" hidden="1" customWidth="1"/>
    <col min="11266" max="11266" width="41.26953125" style="553" customWidth="1"/>
    <col min="11267" max="11267" width="0" style="553" hidden="1" customWidth="1"/>
    <col min="11268" max="11268" width="11" style="553" customWidth="1"/>
    <col min="11269" max="11269" width="10.81640625" style="553" customWidth="1"/>
    <col min="11270" max="11270" width="14" style="553" customWidth="1"/>
    <col min="11271" max="11271" width="9.1796875" style="553" customWidth="1"/>
    <col min="11272" max="11272" width="10.1796875" style="553" customWidth="1"/>
    <col min="11273" max="11274" width="0" style="553" hidden="1" customWidth="1"/>
    <col min="11275" max="11520" width="9.1796875" style="553"/>
    <col min="11521" max="11521" width="0" style="553" hidden="1" customWidth="1"/>
    <col min="11522" max="11522" width="41.26953125" style="553" customWidth="1"/>
    <col min="11523" max="11523" width="0" style="553" hidden="1" customWidth="1"/>
    <col min="11524" max="11524" width="11" style="553" customWidth="1"/>
    <col min="11525" max="11525" width="10.81640625" style="553" customWidth="1"/>
    <col min="11526" max="11526" width="14" style="553" customWidth="1"/>
    <col min="11527" max="11527" width="9.1796875" style="553" customWidth="1"/>
    <col min="11528" max="11528" width="10.1796875" style="553" customWidth="1"/>
    <col min="11529" max="11530" width="0" style="553" hidden="1" customWidth="1"/>
    <col min="11531" max="11776" width="9.1796875" style="553"/>
    <col min="11777" max="11777" width="0" style="553" hidden="1" customWidth="1"/>
    <col min="11778" max="11778" width="41.26953125" style="553" customWidth="1"/>
    <col min="11779" max="11779" width="0" style="553" hidden="1" customWidth="1"/>
    <col min="11780" max="11780" width="11" style="553" customWidth="1"/>
    <col min="11781" max="11781" width="10.81640625" style="553" customWidth="1"/>
    <col min="11782" max="11782" width="14" style="553" customWidth="1"/>
    <col min="11783" max="11783" width="9.1796875" style="553" customWidth="1"/>
    <col min="11784" max="11784" width="10.1796875" style="553" customWidth="1"/>
    <col min="11785" max="11786" width="0" style="553" hidden="1" customWidth="1"/>
    <col min="11787" max="12032" width="9.1796875" style="553"/>
    <col min="12033" max="12033" width="0" style="553" hidden="1" customWidth="1"/>
    <col min="12034" max="12034" width="41.26953125" style="553" customWidth="1"/>
    <col min="12035" max="12035" width="0" style="553" hidden="1" customWidth="1"/>
    <col min="12036" max="12036" width="11" style="553" customWidth="1"/>
    <col min="12037" max="12037" width="10.81640625" style="553" customWidth="1"/>
    <col min="12038" max="12038" width="14" style="553" customWidth="1"/>
    <col min="12039" max="12039" width="9.1796875" style="553" customWidth="1"/>
    <col min="12040" max="12040" width="10.1796875" style="553" customWidth="1"/>
    <col min="12041" max="12042" width="0" style="553" hidden="1" customWidth="1"/>
    <col min="12043" max="12288" width="9.1796875" style="553"/>
    <col min="12289" max="12289" width="0" style="553" hidden="1" customWidth="1"/>
    <col min="12290" max="12290" width="41.26953125" style="553" customWidth="1"/>
    <col min="12291" max="12291" width="0" style="553" hidden="1" customWidth="1"/>
    <col min="12292" max="12292" width="11" style="553" customWidth="1"/>
    <col min="12293" max="12293" width="10.81640625" style="553" customWidth="1"/>
    <col min="12294" max="12294" width="14" style="553" customWidth="1"/>
    <col min="12295" max="12295" width="9.1796875" style="553" customWidth="1"/>
    <col min="12296" max="12296" width="10.1796875" style="553" customWidth="1"/>
    <col min="12297" max="12298" width="0" style="553" hidden="1" customWidth="1"/>
    <col min="12299" max="12544" width="9.1796875" style="553"/>
    <col min="12545" max="12545" width="0" style="553" hidden="1" customWidth="1"/>
    <col min="12546" max="12546" width="41.26953125" style="553" customWidth="1"/>
    <col min="12547" max="12547" width="0" style="553" hidden="1" customWidth="1"/>
    <col min="12548" max="12548" width="11" style="553" customWidth="1"/>
    <col min="12549" max="12549" width="10.81640625" style="553" customWidth="1"/>
    <col min="12550" max="12550" width="14" style="553" customWidth="1"/>
    <col min="12551" max="12551" width="9.1796875" style="553" customWidth="1"/>
    <col min="12552" max="12552" width="10.1796875" style="553" customWidth="1"/>
    <col min="12553" max="12554" width="0" style="553" hidden="1" customWidth="1"/>
    <col min="12555" max="12800" width="9.1796875" style="553"/>
    <col min="12801" max="12801" width="0" style="553" hidden="1" customWidth="1"/>
    <col min="12802" max="12802" width="41.26953125" style="553" customWidth="1"/>
    <col min="12803" max="12803" width="0" style="553" hidden="1" customWidth="1"/>
    <col min="12804" max="12804" width="11" style="553" customWidth="1"/>
    <col min="12805" max="12805" width="10.81640625" style="553" customWidth="1"/>
    <col min="12806" max="12806" width="14" style="553" customWidth="1"/>
    <col min="12807" max="12807" width="9.1796875" style="553" customWidth="1"/>
    <col min="12808" max="12808" width="10.1796875" style="553" customWidth="1"/>
    <col min="12809" max="12810" width="0" style="553" hidden="1" customWidth="1"/>
    <col min="12811" max="13056" width="9.1796875" style="553"/>
    <col min="13057" max="13057" width="0" style="553" hidden="1" customWidth="1"/>
    <col min="13058" max="13058" width="41.26953125" style="553" customWidth="1"/>
    <col min="13059" max="13059" width="0" style="553" hidden="1" customWidth="1"/>
    <col min="13060" max="13060" width="11" style="553" customWidth="1"/>
    <col min="13061" max="13061" width="10.81640625" style="553" customWidth="1"/>
    <col min="13062" max="13062" width="14" style="553" customWidth="1"/>
    <col min="13063" max="13063" width="9.1796875" style="553" customWidth="1"/>
    <col min="13064" max="13064" width="10.1796875" style="553" customWidth="1"/>
    <col min="13065" max="13066" width="0" style="553" hidden="1" customWidth="1"/>
    <col min="13067" max="13312" width="9.1796875" style="553"/>
    <col min="13313" max="13313" width="0" style="553" hidden="1" customWidth="1"/>
    <col min="13314" max="13314" width="41.26953125" style="553" customWidth="1"/>
    <col min="13315" max="13315" width="0" style="553" hidden="1" customWidth="1"/>
    <col min="13316" max="13316" width="11" style="553" customWidth="1"/>
    <col min="13317" max="13317" width="10.81640625" style="553" customWidth="1"/>
    <col min="13318" max="13318" width="14" style="553" customWidth="1"/>
    <col min="13319" max="13319" width="9.1796875" style="553" customWidth="1"/>
    <col min="13320" max="13320" width="10.1796875" style="553" customWidth="1"/>
    <col min="13321" max="13322" width="0" style="553" hidden="1" customWidth="1"/>
    <col min="13323" max="13568" width="9.1796875" style="553"/>
    <col min="13569" max="13569" width="0" style="553" hidden="1" customWidth="1"/>
    <col min="13570" max="13570" width="41.26953125" style="553" customWidth="1"/>
    <col min="13571" max="13571" width="0" style="553" hidden="1" customWidth="1"/>
    <col min="13572" max="13572" width="11" style="553" customWidth="1"/>
    <col min="13573" max="13573" width="10.81640625" style="553" customWidth="1"/>
    <col min="13574" max="13574" width="14" style="553" customWidth="1"/>
    <col min="13575" max="13575" width="9.1796875" style="553" customWidth="1"/>
    <col min="13576" max="13576" width="10.1796875" style="553" customWidth="1"/>
    <col min="13577" max="13578" width="0" style="553" hidden="1" customWidth="1"/>
    <col min="13579" max="13824" width="9.1796875" style="553"/>
    <col min="13825" max="13825" width="0" style="553" hidden="1" customWidth="1"/>
    <col min="13826" max="13826" width="41.26953125" style="553" customWidth="1"/>
    <col min="13827" max="13827" width="0" style="553" hidden="1" customWidth="1"/>
    <col min="13828" max="13828" width="11" style="553" customWidth="1"/>
    <col min="13829" max="13829" width="10.81640625" style="553" customWidth="1"/>
    <col min="13830" max="13830" width="14" style="553" customWidth="1"/>
    <col min="13831" max="13831" width="9.1796875" style="553" customWidth="1"/>
    <col min="13832" max="13832" width="10.1796875" style="553" customWidth="1"/>
    <col min="13833" max="13834" width="0" style="553" hidden="1" customWidth="1"/>
    <col min="13835" max="14080" width="9.1796875" style="553"/>
    <col min="14081" max="14081" width="0" style="553" hidden="1" customWidth="1"/>
    <col min="14082" max="14082" width="41.26953125" style="553" customWidth="1"/>
    <col min="14083" max="14083" width="0" style="553" hidden="1" customWidth="1"/>
    <col min="14084" max="14084" width="11" style="553" customWidth="1"/>
    <col min="14085" max="14085" width="10.81640625" style="553" customWidth="1"/>
    <col min="14086" max="14086" width="14" style="553" customWidth="1"/>
    <col min="14087" max="14087" width="9.1796875" style="553" customWidth="1"/>
    <col min="14088" max="14088" width="10.1796875" style="553" customWidth="1"/>
    <col min="14089" max="14090" width="0" style="553" hidden="1" customWidth="1"/>
    <col min="14091" max="14336" width="9.1796875" style="553"/>
    <col min="14337" max="14337" width="0" style="553" hidden="1" customWidth="1"/>
    <col min="14338" max="14338" width="41.26953125" style="553" customWidth="1"/>
    <col min="14339" max="14339" width="0" style="553" hidden="1" customWidth="1"/>
    <col min="14340" max="14340" width="11" style="553" customWidth="1"/>
    <col min="14341" max="14341" width="10.81640625" style="553" customWidth="1"/>
    <col min="14342" max="14342" width="14" style="553" customWidth="1"/>
    <col min="14343" max="14343" width="9.1796875" style="553" customWidth="1"/>
    <col min="14344" max="14344" width="10.1796875" style="553" customWidth="1"/>
    <col min="14345" max="14346" width="0" style="553" hidden="1" customWidth="1"/>
    <col min="14347" max="14592" width="9.1796875" style="553"/>
    <col min="14593" max="14593" width="0" style="553" hidden="1" customWidth="1"/>
    <col min="14594" max="14594" width="41.26953125" style="553" customWidth="1"/>
    <col min="14595" max="14595" width="0" style="553" hidden="1" customWidth="1"/>
    <col min="14596" max="14596" width="11" style="553" customWidth="1"/>
    <col min="14597" max="14597" width="10.81640625" style="553" customWidth="1"/>
    <col min="14598" max="14598" width="14" style="553" customWidth="1"/>
    <col min="14599" max="14599" width="9.1796875" style="553" customWidth="1"/>
    <col min="14600" max="14600" width="10.1796875" style="553" customWidth="1"/>
    <col min="14601" max="14602" width="0" style="553" hidden="1" customWidth="1"/>
    <col min="14603" max="14848" width="9.1796875" style="553"/>
    <col min="14849" max="14849" width="0" style="553" hidden="1" customWidth="1"/>
    <col min="14850" max="14850" width="41.26953125" style="553" customWidth="1"/>
    <col min="14851" max="14851" width="0" style="553" hidden="1" customWidth="1"/>
    <col min="14852" max="14852" width="11" style="553" customWidth="1"/>
    <col min="14853" max="14853" width="10.81640625" style="553" customWidth="1"/>
    <col min="14854" max="14854" width="14" style="553" customWidth="1"/>
    <col min="14855" max="14855" width="9.1796875" style="553" customWidth="1"/>
    <col min="14856" max="14856" width="10.1796875" style="553" customWidth="1"/>
    <col min="14857" max="14858" width="0" style="553" hidden="1" customWidth="1"/>
    <col min="14859" max="15104" width="9.1796875" style="553"/>
    <col min="15105" max="15105" width="0" style="553" hidden="1" customWidth="1"/>
    <col min="15106" max="15106" width="41.26953125" style="553" customWidth="1"/>
    <col min="15107" max="15107" width="0" style="553" hidden="1" customWidth="1"/>
    <col min="15108" max="15108" width="11" style="553" customWidth="1"/>
    <col min="15109" max="15109" width="10.81640625" style="553" customWidth="1"/>
    <col min="15110" max="15110" width="14" style="553" customWidth="1"/>
    <col min="15111" max="15111" width="9.1796875" style="553" customWidth="1"/>
    <col min="15112" max="15112" width="10.1796875" style="553" customWidth="1"/>
    <col min="15113" max="15114" width="0" style="553" hidden="1" customWidth="1"/>
    <col min="15115" max="15360" width="9.1796875" style="553"/>
    <col min="15361" max="15361" width="0" style="553" hidden="1" customWidth="1"/>
    <col min="15362" max="15362" width="41.26953125" style="553" customWidth="1"/>
    <col min="15363" max="15363" width="0" style="553" hidden="1" customWidth="1"/>
    <col min="15364" max="15364" width="11" style="553" customWidth="1"/>
    <col min="15365" max="15365" width="10.81640625" style="553" customWidth="1"/>
    <col min="15366" max="15366" width="14" style="553" customWidth="1"/>
    <col min="15367" max="15367" width="9.1796875" style="553" customWidth="1"/>
    <col min="15368" max="15368" width="10.1796875" style="553" customWidth="1"/>
    <col min="15369" max="15370" width="0" style="553" hidden="1" customWidth="1"/>
    <col min="15371" max="15616" width="9.1796875" style="553"/>
    <col min="15617" max="15617" width="0" style="553" hidden="1" customWidth="1"/>
    <col min="15618" max="15618" width="41.26953125" style="553" customWidth="1"/>
    <col min="15619" max="15619" width="0" style="553" hidden="1" customWidth="1"/>
    <col min="15620" max="15620" width="11" style="553" customWidth="1"/>
    <col min="15621" max="15621" width="10.81640625" style="553" customWidth="1"/>
    <col min="15622" max="15622" width="14" style="553" customWidth="1"/>
    <col min="15623" max="15623" width="9.1796875" style="553" customWidth="1"/>
    <col min="15624" max="15624" width="10.1796875" style="553" customWidth="1"/>
    <col min="15625" max="15626" width="0" style="553" hidden="1" customWidth="1"/>
    <col min="15627" max="15872" width="9.1796875" style="553"/>
    <col min="15873" max="15873" width="0" style="553" hidden="1" customWidth="1"/>
    <col min="15874" max="15874" width="41.26953125" style="553" customWidth="1"/>
    <col min="15875" max="15875" width="0" style="553" hidden="1" customWidth="1"/>
    <col min="15876" max="15876" width="11" style="553" customWidth="1"/>
    <col min="15877" max="15877" width="10.81640625" style="553" customWidth="1"/>
    <col min="15878" max="15878" width="14" style="553" customWidth="1"/>
    <col min="15879" max="15879" width="9.1796875" style="553" customWidth="1"/>
    <col min="15880" max="15880" width="10.1796875" style="553" customWidth="1"/>
    <col min="15881" max="15882" width="0" style="553" hidden="1" customWidth="1"/>
    <col min="15883" max="16128" width="9.1796875" style="553"/>
    <col min="16129" max="16129" width="0" style="553" hidden="1" customWidth="1"/>
    <col min="16130" max="16130" width="41.26953125" style="553" customWidth="1"/>
    <col min="16131" max="16131" width="0" style="553" hidden="1" customWidth="1"/>
    <col min="16132" max="16132" width="11" style="553" customWidth="1"/>
    <col min="16133" max="16133" width="10.81640625" style="553" customWidth="1"/>
    <col min="16134" max="16134" width="14" style="553" customWidth="1"/>
    <col min="16135" max="16135" width="9.1796875" style="553" customWidth="1"/>
    <col min="16136" max="16136" width="10.1796875" style="553" customWidth="1"/>
    <col min="16137" max="16138" width="0" style="553" hidden="1" customWidth="1"/>
    <col min="16139" max="16384" width="9.1796875" style="553"/>
  </cols>
  <sheetData>
    <row r="1" spans="1:15" ht="17.25" customHeight="1" x14ac:dyDescent="0.35">
      <c r="A1" s="551"/>
      <c r="B1" s="552"/>
      <c r="C1" s="552"/>
      <c r="D1" s="552"/>
      <c r="E1" s="552"/>
      <c r="F1" s="552"/>
      <c r="G1" s="3397" t="s">
        <v>978</v>
      </c>
      <c r="H1" s="3397"/>
      <c r="I1" s="3397"/>
      <c r="J1" s="3397"/>
    </row>
    <row r="2" spans="1:15" ht="15.5" x14ac:dyDescent="0.35">
      <c r="A2" s="554"/>
      <c r="B2" s="554"/>
      <c r="C2" s="554"/>
      <c r="D2" s="554"/>
      <c r="E2" s="554"/>
      <c r="F2" s="3397" t="s">
        <v>797</v>
      </c>
      <c r="G2" s="3397"/>
      <c r="H2" s="3397"/>
      <c r="I2" s="554"/>
      <c r="J2" s="554"/>
    </row>
    <row r="3" spans="1:15" ht="15.5" x14ac:dyDescent="0.35">
      <c r="A3" s="554"/>
      <c r="B3" s="3397" t="s">
        <v>449</v>
      </c>
      <c r="C3" s="3397"/>
      <c r="D3" s="3397"/>
      <c r="E3" s="3397"/>
      <c r="F3" s="3397"/>
      <c r="G3" s="3397"/>
      <c r="H3" s="3397"/>
      <c r="I3" s="3397"/>
      <c r="J3" s="3397"/>
      <c r="K3" s="554"/>
      <c r="L3" s="554"/>
      <c r="M3" s="554"/>
      <c r="N3" s="554"/>
      <c r="O3" s="554"/>
    </row>
    <row r="4" spans="1:15" ht="15.5" x14ac:dyDescent="0.35">
      <c r="A4" s="551"/>
      <c r="B4" s="554"/>
      <c r="C4" s="554"/>
      <c r="D4" s="3397" t="s">
        <v>798</v>
      </c>
      <c r="E4" s="3397"/>
      <c r="F4" s="3397"/>
      <c r="G4" s="3397"/>
      <c r="H4" s="3397"/>
      <c r="I4" s="554"/>
      <c r="J4" s="554"/>
      <c r="L4" s="554"/>
      <c r="M4" s="554"/>
      <c r="N4" s="554"/>
      <c r="O4" s="554"/>
    </row>
    <row r="5" spans="1:15" ht="18" customHeight="1" x14ac:dyDescent="0.35">
      <c r="A5" s="551"/>
      <c r="B5" s="552"/>
      <c r="C5" s="552"/>
      <c r="D5" s="552"/>
      <c r="E5" s="1770" t="s">
        <v>905</v>
      </c>
      <c r="F5" s="3164" t="s">
        <v>1103</v>
      </c>
      <c r="G5" s="3164"/>
      <c r="H5" s="3164"/>
      <c r="I5" s="552"/>
      <c r="J5" s="552"/>
      <c r="K5" s="552"/>
      <c r="L5" s="552"/>
      <c r="M5" s="552"/>
      <c r="N5" s="552"/>
    </row>
    <row r="6" spans="1:15" x14ac:dyDescent="0.25">
      <c r="F6" s="556"/>
      <c r="L6" s="555"/>
      <c r="M6" s="555"/>
      <c r="N6" s="556"/>
    </row>
    <row r="7" spans="1:15" ht="15.5" hidden="1" x14ac:dyDescent="0.25">
      <c r="F7" s="546"/>
      <c r="H7" s="383" t="s">
        <v>446</v>
      </c>
      <c r="J7" s="546" t="s">
        <v>446</v>
      </c>
      <c r="L7" s="555"/>
      <c r="M7" s="555"/>
    </row>
    <row r="8" spans="1:15" ht="13" hidden="1" x14ac:dyDescent="0.25">
      <c r="F8" s="558"/>
      <c r="H8" s="384"/>
      <c r="L8" s="555"/>
      <c r="M8" s="555"/>
      <c r="N8" s="558"/>
    </row>
    <row r="9" spans="1:15" ht="15.5" hidden="1" x14ac:dyDescent="0.25">
      <c r="F9" s="546"/>
      <c r="H9" s="383" t="s">
        <v>848</v>
      </c>
      <c r="J9" s="546" t="s">
        <v>445</v>
      </c>
      <c r="L9" s="555"/>
      <c r="M9" s="555"/>
    </row>
    <row r="10" spans="1:15" hidden="1" x14ac:dyDescent="0.25">
      <c r="F10" s="556"/>
    </row>
    <row r="11" spans="1:15" ht="12" customHeight="1" x14ac:dyDescent="0.25">
      <c r="F11" s="556"/>
    </row>
    <row r="12" spans="1:15" ht="13" hidden="1" x14ac:dyDescent="0.3">
      <c r="A12" s="3396"/>
      <c r="B12" s="3396"/>
      <c r="C12" s="3396"/>
      <c r="D12" s="3396"/>
      <c r="E12" s="3396"/>
      <c r="F12" s="3396"/>
    </row>
    <row r="13" spans="1:15" ht="69.75" customHeight="1" x14ac:dyDescent="0.3">
      <c r="A13" s="3391" t="s">
        <v>823</v>
      </c>
      <c r="B13" s="3391"/>
      <c r="C13" s="3391"/>
      <c r="D13" s="3391"/>
      <c r="E13" s="3391"/>
      <c r="F13" s="3391"/>
      <c r="G13" s="3391"/>
      <c r="H13" s="3391"/>
      <c r="I13" s="3391"/>
      <c r="J13" s="3391"/>
      <c r="L13" s="559" t="s">
        <v>106</v>
      </c>
    </row>
    <row r="14" spans="1:15" ht="15" customHeight="1" x14ac:dyDescent="0.3">
      <c r="A14" s="923"/>
      <c r="B14" s="3391" t="s">
        <v>998</v>
      </c>
      <c r="C14" s="3391"/>
      <c r="D14" s="3391"/>
      <c r="E14" s="3391"/>
      <c r="F14" s="3391"/>
      <c r="G14" s="3391"/>
      <c r="H14" s="3391"/>
      <c r="I14" s="3391"/>
      <c r="J14" s="3391"/>
      <c r="L14" s="559"/>
    </row>
    <row r="15" spans="1:15" ht="21" customHeight="1" thickBot="1" x14ac:dyDescent="0.35">
      <c r="A15" s="560"/>
      <c r="B15" s="560"/>
      <c r="C15" s="560"/>
      <c r="D15" s="560"/>
      <c r="E15" s="560"/>
      <c r="F15" s="560"/>
    </row>
    <row r="16" spans="1:15" s="564" customFormat="1" ht="45" x14ac:dyDescent="0.25">
      <c r="A16" s="561" t="s">
        <v>611</v>
      </c>
      <c r="B16" s="3392" t="s">
        <v>322</v>
      </c>
      <c r="C16" s="3392"/>
      <c r="D16" s="3392"/>
      <c r="E16" s="3392"/>
      <c r="F16" s="3392"/>
      <c r="G16" s="3392"/>
      <c r="H16" s="720" t="s">
        <v>827</v>
      </c>
      <c r="I16" s="562" t="s">
        <v>799</v>
      </c>
      <c r="J16" s="563" t="s">
        <v>800</v>
      </c>
    </row>
    <row r="17" spans="1:14" s="564" customFormat="1" ht="15" hidden="1" x14ac:dyDescent="0.25">
      <c r="A17" s="565"/>
      <c r="B17" s="721" t="s">
        <v>431</v>
      </c>
      <c r="C17" s="566" t="s">
        <v>430</v>
      </c>
      <c r="D17" s="567" t="s">
        <v>69</v>
      </c>
      <c r="E17" s="568"/>
      <c r="F17" s="568"/>
      <c r="G17" s="568"/>
      <c r="H17" s="722">
        <f>H18+H30</f>
        <v>795.02300000000002</v>
      </c>
      <c r="I17" s="569"/>
      <c r="J17" s="570"/>
    </row>
    <row r="18" spans="1:14" s="564" customFormat="1" ht="52" hidden="1" x14ac:dyDescent="0.25">
      <c r="A18" s="571"/>
      <c r="B18" s="669" t="s">
        <v>105</v>
      </c>
      <c r="C18" s="572" t="s">
        <v>106</v>
      </c>
      <c r="D18" s="572" t="s">
        <v>69</v>
      </c>
      <c r="E18" s="572" t="s">
        <v>103</v>
      </c>
      <c r="F18" s="573"/>
      <c r="G18" s="573"/>
      <c r="H18" s="723">
        <f>H22+H24+H27</f>
        <v>375.32</v>
      </c>
      <c r="I18" s="574"/>
      <c r="J18" s="575"/>
    </row>
    <row r="19" spans="1:14" s="564" customFormat="1" ht="52" hidden="1" x14ac:dyDescent="0.25">
      <c r="A19" s="571"/>
      <c r="B19" s="724" t="s">
        <v>583</v>
      </c>
      <c r="C19" s="572"/>
      <c r="D19" s="572" t="s">
        <v>69</v>
      </c>
      <c r="E19" s="572" t="s">
        <v>103</v>
      </c>
      <c r="F19" s="532" t="s">
        <v>157</v>
      </c>
      <c r="G19" s="573"/>
      <c r="H19" s="725">
        <f>H20</f>
        <v>54.32</v>
      </c>
      <c r="I19" s="574"/>
      <c r="J19" s="575"/>
    </row>
    <row r="20" spans="1:14" s="564" customFormat="1" ht="52" hidden="1" x14ac:dyDescent="0.25">
      <c r="A20" s="571"/>
      <c r="B20" s="726" t="s">
        <v>156</v>
      </c>
      <c r="C20" s="572"/>
      <c r="D20" s="572" t="s">
        <v>69</v>
      </c>
      <c r="E20" s="572" t="s">
        <v>103</v>
      </c>
      <c r="F20" s="532" t="s">
        <v>155</v>
      </c>
      <c r="G20" s="573"/>
      <c r="H20" s="725">
        <f>H21</f>
        <v>54.32</v>
      </c>
      <c r="I20" s="574"/>
      <c r="J20" s="575"/>
    </row>
    <row r="21" spans="1:14" s="564" customFormat="1" ht="15.5" hidden="1" x14ac:dyDescent="0.25">
      <c r="A21" s="571"/>
      <c r="B21" s="724" t="s">
        <v>582</v>
      </c>
      <c r="C21" s="572"/>
      <c r="D21" s="572" t="s">
        <v>69</v>
      </c>
      <c r="E21" s="572" t="s">
        <v>103</v>
      </c>
      <c r="F21" s="532" t="s">
        <v>154</v>
      </c>
      <c r="G21" s="573"/>
      <c r="H21" s="725">
        <f>H22</f>
        <v>54.32</v>
      </c>
      <c r="I21" s="574"/>
      <c r="J21" s="575"/>
    </row>
    <row r="22" spans="1:14" s="580" customFormat="1" ht="38.5" customHeight="1" x14ac:dyDescent="0.35">
      <c r="A22" s="576"/>
      <c r="B22" s="3393" t="s">
        <v>824</v>
      </c>
      <c r="C22" s="3393"/>
      <c r="D22" s="3393"/>
      <c r="E22" s="3393"/>
      <c r="F22" s="3393"/>
      <c r="G22" s="3393"/>
      <c r="H22" s="729">
        <v>54.32</v>
      </c>
      <c r="I22" s="578"/>
      <c r="J22" s="579"/>
      <c r="M22" s="581"/>
      <c r="N22" s="1"/>
    </row>
    <row r="23" spans="1:14" s="580" customFormat="1" ht="15.5" hidden="1" x14ac:dyDescent="0.35">
      <c r="A23" s="576"/>
      <c r="B23" s="728" t="s">
        <v>123</v>
      </c>
      <c r="C23" s="669"/>
      <c r="D23" s="669"/>
      <c r="E23" s="669"/>
      <c r="F23" s="714"/>
      <c r="G23" s="715" t="s">
        <v>120</v>
      </c>
      <c r="H23" s="727">
        <v>43.95</v>
      </c>
      <c r="I23" s="578"/>
      <c r="J23" s="579"/>
      <c r="N23" s="1"/>
    </row>
    <row r="24" spans="1:14" s="580" customFormat="1" ht="54.65" customHeight="1" x14ac:dyDescent="0.35">
      <c r="A24" s="576"/>
      <c r="B24" s="3394" t="s">
        <v>826</v>
      </c>
      <c r="C24" s="3394"/>
      <c r="D24" s="3394"/>
      <c r="E24" s="3394"/>
      <c r="F24" s="3394"/>
      <c r="G24" s="3394"/>
      <c r="H24" s="729">
        <v>321</v>
      </c>
      <c r="I24" s="578">
        <f>I26</f>
        <v>0</v>
      </c>
      <c r="J24" s="579">
        <f>J26</f>
        <v>0</v>
      </c>
      <c r="N24" s="1"/>
    </row>
    <row r="25" spans="1:14" s="580" customFormat="1" ht="46.5" hidden="1" customHeight="1" x14ac:dyDescent="0.35">
      <c r="A25" s="576"/>
      <c r="B25" s="724" t="s">
        <v>575</v>
      </c>
      <c r="C25" s="715"/>
      <c r="D25" s="715"/>
      <c r="E25" s="715"/>
      <c r="F25" s="715"/>
      <c r="G25" s="715"/>
      <c r="H25" s="730"/>
      <c r="I25" s="583"/>
      <c r="J25" s="584"/>
      <c r="N25" s="1"/>
    </row>
    <row r="26" spans="1:14" s="580" customFormat="1" ht="15" hidden="1" customHeight="1" x14ac:dyDescent="0.35">
      <c r="A26" s="576"/>
      <c r="B26" s="728" t="s">
        <v>123</v>
      </c>
      <c r="C26" s="715"/>
      <c r="D26" s="715"/>
      <c r="E26" s="715"/>
      <c r="F26" s="312"/>
      <c r="G26" s="715" t="s">
        <v>120</v>
      </c>
      <c r="H26" s="730">
        <v>321.3</v>
      </c>
      <c r="I26" s="583"/>
      <c r="J26" s="584"/>
      <c r="N26" s="1"/>
    </row>
    <row r="27" spans="1:14" s="580" customFormat="1" ht="46.15" hidden="1" customHeight="1" x14ac:dyDescent="0.35">
      <c r="A27" s="576"/>
      <c r="B27" s="3395" t="s">
        <v>825</v>
      </c>
      <c r="C27" s="3395"/>
      <c r="D27" s="3395"/>
      <c r="E27" s="3395"/>
      <c r="F27" s="3395"/>
      <c r="G27" s="3395"/>
      <c r="H27" s="730">
        <v>0</v>
      </c>
      <c r="I27" s="583">
        <f>I28</f>
        <v>0</v>
      </c>
      <c r="J27" s="584">
        <f>J28</f>
        <v>0</v>
      </c>
      <c r="N27" s="1"/>
    </row>
    <row r="28" spans="1:14" s="580" customFormat="1" ht="15" hidden="1" customHeight="1" x14ac:dyDescent="0.35">
      <c r="A28" s="576"/>
      <c r="B28" s="728" t="s">
        <v>123</v>
      </c>
      <c r="C28" s="715"/>
      <c r="D28" s="715"/>
      <c r="E28" s="715"/>
      <c r="F28" s="312"/>
      <c r="G28" s="715" t="s">
        <v>120</v>
      </c>
      <c r="H28" s="730">
        <v>213</v>
      </c>
      <c r="I28" s="583">
        <v>0</v>
      </c>
      <c r="J28" s="584">
        <v>0</v>
      </c>
      <c r="N28" s="1"/>
    </row>
    <row r="29" spans="1:14" s="580" customFormat="1" ht="60.65" hidden="1" customHeight="1" x14ac:dyDescent="0.35">
      <c r="A29" s="576"/>
      <c r="B29" s="731" t="s">
        <v>134</v>
      </c>
      <c r="C29" s="669"/>
      <c r="D29" s="669"/>
      <c r="E29" s="669"/>
      <c r="F29" s="715"/>
      <c r="G29" s="715"/>
      <c r="H29" s="730"/>
      <c r="I29" s="583"/>
      <c r="J29" s="584"/>
      <c r="N29" s="1"/>
    </row>
    <row r="30" spans="1:14" s="580" customFormat="1" ht="49.15" hidden="1" customHeight="1" x14ac:dyDescent="0.35">
      <c r="A30" s="576"/>
      <c r="B30" s="669" t="s">
        <v>122</v>
      </c>
      <c r="C30" s="715"/>
      <c r="D30" s="669"/>
      <c r="E30" s="715"/>
      <c r="F30" s="669"/>
      <c r="G30" s="669" t="s">
        <v>71</v>
      </c>
      <c r="H30" s="729">
        <f>H31</f>
        <v>419.70300000000003</v>
      </c>
      <c r="I30" s="578">
        <f>I31</f>
        <v>0</v>
      </c>
      <c r="J30" s="579">
        <f>J31</f>
        <v>0</v>
      </c>
      <c r="N30" s="1"/>
    </row>
    <row r="31" spans="1:14" s="580" customFormat="1" ht="52" hidden="1" x14ac:dyDescent="0.35">
      <c r="A31" s="576"/>
      <c r="B31" s="724" t="s">
        <v>583</v>
      </c>
      <c r="C31" s="715"/>
      <c r="D31" s="669"/>
      <c r="E31" s="669"/>
      <c r="F31" s="714"/>
      <c r="G31" s="716"/>
      <c r="H31" s="729">
        <f>H32</f>
        <v>419.70300000000003</v>
      </c>
      <c r="I31" s="578">
        <f>I34</f>
        <v>0</v>
      </c>
      <c r="J31" s="579">
        <f>J34</f>
        <v>0</v>
      </c>
      <c r="N31" s="1"/>
    </row>
    <row r="32" spans="1:14" s="580" customFormat="1" ht="52" hidden="1" x14ac:dyDescent="0.35">
      <c r="A32" s="576"/>
      <c r="B32" s="726" t="s">
        <v>156</v>
      </c>
      <c r="C32" s="715"/>
      <c r="D32" s="669"/>
      <c r="E32" s="669"/>
      <c r="F32" s="714"/>
      <c r="G32" s="716"/>
      <c r="H32" s="729">
        <f>H33</f>
        <v>419.70300000000003</v>
      </c>
      <c r="I32" s="578"/>
      <c r="J32" s="579"/>
      <c r="N32" s="1"/>
    </row>
    <row r="33" spans="1:14" s="580" customFormat="1" ht="15.5" hidden="1" x14ac:dyDescent="0.35">
      <c r="A33" s="576"/>
      <c r="B33" s="724" t="s">
        <v>582</v>
      </c>
      <c r="C33" s="715"/>
      <c r="D33" s="669"/>
      <c r="E33" s="669"/>
      <c r="F33" s="714"/>
      <c r="G33" s="716"/>
      <c r="H33" s="729">
        <f>H34</f>
        <v>419.70300000000003</v>
      </c>
      <c r="I33" s="578"/>
      <c r="J33" s="579"/>
      <c r="N33" s="1"/>
    </row>
    <row r="34" spans="1:14" s="580" customFormat="1" ht="54" customHeight="1" x14ac:dyDescent="0.35">
      <c r="A34" s="576"/>
      <c r="B34" s="3389" t="s">
        <v>586</v>
      </c>
      <c r="C34" s="3389"/>
      <c r="D34" s="3389"/>
      <c r="E34" s="3389"/>
      <c r="F34" s="3389"/>
      <c r="G34" s="3389"/>
      <c r="H34" s="730">
        <f>419.73-0.027</f>
        <v>419.70300000000003</v>
      </c>
      <c r="I34" s="583">
        <f>I35</f>
        <v>0</v>
      </c>
      <c r="J34" s="584">
        <f>J35</f>
        <v>0</v>
      </c>
      <c r="N34" s="1"/>
    </row>
    <row r="35" spans="1:14" s="580" customFormat="1" ht="13.9" hidden="1" customHeight="1" thickBot="1" x14ac:dyDescent="0.4">
      <c r="A35" s="576"/>
      <c r="B35" s="582" t="s">
        <v>123</v>
      </c>
      <c r="C35" s="717"/>
      <c r="D35" s="718" t="s">
        <v>69</v>
      </c>
      <c r="E35" s="718" t="s">
        <v>119</v>
      </c>
      <c r="F35" s="440" t="s">
        <v>129</v>
      </c>
      <c r="G35" s="717" t="s">
        <v>120</v>
      </c>
      <c r="H35" s="719">
        <v>199.49199999999999</v>
      </c>
      <c r="I35" s="585">
        <v>0</v>
      </c>
      <c r="J35" s="586">
        <v>0</v>
      </c>
      <c r="N35" s="1"/>
    </row>
    <row r="36" spans="1:14" ht="13" x14ac:dyDescent="0.3">
      <c r="B36" s="3390" t="s">
        <v>828</v>
      </c>
      <c r="C36" s="3390"/>
      <c r="D36" s="3390"/>
      <c r="E36" s="3390"/>
      <c r="F36" s="3390"/>
      <c r="G36" s="3390"/>
      <c r="H36" s="924">
        <f>H22+H24+H27+H34</f>
        <v>795.02300000000002</v>
      </c>
    </row>
    <row r="186" ht="80.5" customHeight="1" x14ac:dyDescent="0.25"/>
  </sheetData>
  <mergeCells count="14">
    <mergeCell ref="B36:G36"/>
    <mergeCell ref="B22:G22"/>
    <mergeCell ref="B24:G24"/>
    <mergeCell ref="B27:G27"/>
    <mergeCell ref="B16:G16"/>
    <mergeCell ref="B34:G34"/>
    <mergeCell ref="A13:J13"/>
    <mergeCell ref="B14:J14"/>
    <mergeCell ref="G1:J1"/>
    <mergeCell ref="F2:H2"/>
    <mergeCell ref="B3:J3"/>
    <mergeCell ref="D4:H4"/>
    <mergeCell ref="F5:H5"/>
    <mergeCell ref="A12:F12"/>
  </mergeCells>
  <printOptions horizontalCentered="1"/>
  <pageMargins left="0.55118110236220474" right="0.19685039370078741" top="0.59055118110236227" bottom="0.59055118110236227" header="0.51181102362204722" footer="0.51181102362204722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9"/>
  <sheetViews>
    <sheetView topLeftCell="A4" zoomScaleNormal="100" workbookViewId="0">
      <selection activeCell="D10" sqref="D10"/>
    </sheetView>
  </sheetViews>
  <sheetFormatPr defaultColWidth="9.1796875" defaultRowHeight="15.5" x14ac:dyDescent="0.35"/>
  <cols>
    <col min="1" max="1" width="9.1796875" style="587" customWidth="1"/>
    <col min="2" max="2" width="51.54296875" style="588" customWidth="1"/>
    <col min="3" max="3" width="20.1796875" style="588" customWidth="1"/>
    <col min="4" max="4" width="5" style="588" customWidth="1"/>
    <col min="5" max="256" width="9.1796875" style="588"/>
    <col min="257" max="257" width="9.1796875" style="588" customWidth="1"/>
    <col min="258" max="258" width="51.54296875" style="588" customWidth="1"/>
    <col min="259" max="259" width="20.1796875" style="588" customWidth="1"/>
    <col min="260" max="260" width="5" style="588" customWidth="1"/>
    <col min="261" max="512" width="9.1796875" style="588"/>
    <col min="513" max="513" width="9.1796875" style="588" customWidth="1"/>
    <col min="514" max="514" width="51.54296875" style="588" customWidth="1"/>
    <col min="515" max="515" width="20.1796875" style="588" customWidth="1"/>
    <col min="516" max="516" width="5" style="588" customWidth="1"/>
    <col min="517" max="768" width="9.1796875" style="588"/>
    <col min="769" max="769" width="9.1796875" style="588" customWidth="1"/>
    <col min="770" max="770" width="51.54296875" style="588" customWidth="1"/>
    <col min="771" max="771" width="20.1796875" style="588" customWidth="1"/>
    <col min="772" max="772" width="5" style="588" customWidth="1"/>
    <col min="773" max="1024" width="9.1796875" style="588"/>
    <col min="1025" max="1025" width="9.1796875" style="588" customWidth="1"/>
    <col min="1026" max="1026" width="51.54296875" style="588" customWidth="1"/>
    <col min="1027" max="1027" width="20.1796875" style="588" customWidth="1"/>
    <col min="1028" max="1028" width="5" style="588" customWidth="1"/>
    <col min="1029" max="1280" width="9.1796875" style="588"/>
    <col min="1281" max="1281" width="9.1796875" style="588" customWidth="1"/>
    <col min="1282" max="1282" width="51.54296875" style="588" customWidth="1"/>
    <col min="1283" max="1283" width="20.1796875" style="588" customWidth="1"/>
    <col min="1284" max="1284" width="5" style="588" customWidth="1"/>
    <col min="1285" max="1536" width="9.1796875" style="588"/>
    <col min="1537" max="1537" width="9.1796875" style="588" customWidth="1"/>
    <col min="1538" max="1538" width="51.54296875" style="588" customWidth="1"/>
    <col min="1539" max="1539" width="20.1796875" style="588" customWidth="1"/>
    <col min="1540" max="1540" width="5" style="588" customWidth="1"/>
    <col min="1541" max="1792" width="9.1796875" style="588"/>
    <col min="1793" max="1793" width="9.1796875" style="588" customWidth="1"/>
    <col min="1794" max="1794" width="51.54296875" style="588" customWidth="1"/>
    <col min="1795" max="1795" width="20.1796875" style="588" customWidth="1"/>
    <col min="1796" max="1796" width="5" style="588" customWidth="1"/>
    <col min="1797" max="2048" width="9.1796875" style="588"/>
    <col min="2049" max="2049" width="9.1796875" style="588" customWidth="1"/>
    <col min="2050" max="2050" width="51.54296875" style="588" customWidth="1"/>
    <col min="2051" max="2051" width="20.1796875" style="588" customWidth="1"/>
    <col min="2052" max="2052" width="5" style="588" customWidth="1"/>
    <col min="2053" max="2304" width="9.1796875" style="588"/>
    <col min="2305" max="2305" width="9.1796875" style="588" customWidth="1"/>
    <col min="2306" max="2306" width="51.54296875" style="588" customWidth="1"/>
    <col min="2307" max="2307" width="20.1796875" style="588" customWidth="1"/>
    <col min="2308" max="2308" width="5" style="588" customWidth="1"/>
    <col min="2309" max="2560" width="9.1796875" style="588"/>
    <col min="2561" max="2561" width="9.1796875" style="588" customWidth="1"/>
    <col min="2562" max="2562" width="51.54296875" style="588" customWidth="1"/>
    <col min="2563" max="2563" width="20.1796875" style="588" customWidth="1"/>
    <col min="2564" max="2564" width="5" style="588" customWidth="1"/>
    <col min="2565" max="2816" width="9.1796875" style="588"/>
    <col min="2817" max="2817" width="9.1796875" style="588" customWidth="1"/>
    <col min="2818" max="2818" width="51.54296875" style="588" customWidth="1"/>
    <col min="2819" max="2819" width="20.1796875" style="588" customWidth="1"/>
    <col min="2820" max="2820" width="5" style="588" customWidth="1"/>
    <col min="2821" max="3072" width="9.1796875" style="588"/>
    <col min="3073" max="3073" width="9.1796875" style="588" customWidth="1"/>
    <col min="3074" max="3074" width="51.54296875" style="588" customWidth="1"/>
    <col min="3075" max="3075" width="20.1796875" style="588" customWidth="1"/>
    <col min="3076" max="3076" width="5" style="588" customWidth="1"/>
    <col min="3077" max="3328" width="9.1796875" style="588"/>
    <col min="3329" max="3329" width="9.1796875" style="588" customWidth="1"/>
    <col min="3330" max="3330" width="51.54296875" style="588" customWidth="1"/>
    <col min="3331" max="3331" width="20.1796875" style="588" customWidth="1"/>
    <col min="3332" max="3332" width="5" style="588" customWidth="1"/>
    <col min="3333" max="3584" width="9.1796875" style="588"/>
    <col min="3585" max="3585" width="9.1796875" style="588" customWidth="1"/>
    <col min="3586" max="3586" width="51.54296875" style="588" customWidth="1"/>
    <col min="3587" max="3587" width="20.1796875" style="588" customWidth="1"/>
    <col min="3588" max="3588" width="5" style="588" customWidth="1"/>
    <col min="3589" max="3840" width="9.1796875" style="588"/>
    <col min="3841" max="3841" width="9.1796875" style="588" customWidth="1"/>
    <col min="3842" max="3842" width="51.54296875" style="588" customWidth="1"/>
    <col min="3843" max="3843" width="20.1796875" style="588" customWidth="1"/>
    <col min="3844" max="3844" width="5" style="588" customWidth="1"/>
    <col min="3845" max="4096" width="9.1796875" style="588"/>
    <col min="4097" max="4097" width="9.1796875" style="588" customWidth="1"/>
    <col min="4098" max="4098" width="51.54296875" style="588" customWidth="1"/>
    <col min="4099" max="4099" width="20.1796875" style="588" customWidth="1"/>
    <col min="4100" max="4100" width="5" style="588" customWidth="1"/>
    <col min="4101" max="4352" width="9.1796875" style="588"/>
    <col min="4353" max="4353" width="9.1796875" style="588" customWidth="1"/>
    <col min="4354" max="4354" width="51.54296875" style="588" customWidth="1"/>
    <col min="4355" max="4355" width="20.1796875" style="588" customWidth="1"/>
    <col min="4356" max="4356" width="5" style="588" customWidth="1"/>
    <col min="4357" max="4608" width="9.1796875" style="588"/>
    <col min="4609" max="4609" width="9.1796875" style="588" customWidth="1"/>
    <col min="4610" max="4610" width="51.54296875" style="588" customWidth="1"/>
    <col min="4611" max="4611" width="20.1796875" style="588" customWidth="1"/>
    <col min="4612" max="4612" width="5" style="588" customWidth="1"/>
    <col min="4613" max="4864" width="9.1796875" style="588"/>
    <col min="4865" max="4865" width="9.1796875" style="588" customWidth="1"/>
    <col min="4866" max="4866" width="51.54296875" style="588" customWidth="1"/>
    <col min="4867" max="4867" width="20.1796875" style="588" customWidth="1"/>
    <col min="4868" max="4868" width="5" style="588" customWidth="1"/>
    <col min="4869" max="5120" width="9.1796875" style="588"/>
    <col min="5121" max="5121" width="9.1796875" style="588" customWidth="1"/>
    <col min="5122" max="5122" width="51.54296875" style="588" customWidth="1"/>
    <col min="5123" max="5123" width="20.1796875" style="588" customWidth="1"/>
    <col min="5124" max="5124" width="5" style="588" customWidth="1"/>
    <col min="5125" max="5376" width="9.1796875" style="588"/>
    <col min="5377" max="5377" width="9.1796875" style="588" customWidth="1"/>
    <col min="5378" max="5378" width="51.54296875" style="588" customWidth="1"/>
    <col min="5379" max="5379" width="20.1796875" style="588" customWidth="1"/>
    <col min="5380" max="5380" width="5" style="588" customWidth="1"/>
    <col min="5381" max="5632" width="9.1796875" style="588"/>
    <col min="5633" max="5633" width="9.1796875" style="588" customWidth="1"/>
    <col min="5634" max="5634" width="51.54296875" style="588" customWidth="1"/>
    <col min="5635" max="5635" width="20.1796875" style="588" customWidth="1"/>
    <col min="5636" max="5636" width="5" style="588" customWidth="1"/>
    <col min="5637" max="5888" width="9.1796875" style="588"/>
    <col min="5889" max="5889" width="9.1796875" style="588" customWidth="1"/>
    <col min="5890" max="5890" width="51.54296875" style="588" customWidth="1"/>
    <col min="5891" max="5891" width="20.1796875" style="588" customWidth="1"/>
    <col min="5892" max="5892" width="5" style="588" customWidth="1"/>
    <col min="5893" max="6144" width="9.1796875" style="588"/>
    <col min="6145" max="6145" width="9.1796875" style="588" customWidth="1"/>
    <col min="6146" max="6146" width="51.54296875" style="588" customWidth="1"/>
    <col min="6147" max="6147" width="20.1796875" style="588" customWidth="1"/>
    <col min="6148" max="6148" width="5" style="588" customWidth="1"/>
    <col min="6149" max="6400" width="9.1796875" style="588"/>
    <col min="6401" max="6401" width="9.1796875" style="588" customWidth="1"/>
    <col min="6402" max="6402" width="51.54296875" style="588" customWidth="1"/>
    <col min="6403" max="6403" width="20.1796875" style="588" customWidth="1"/>
    <col min="6404" max="6404" width="5" style="588" customWidth="1"/>
    <col min="6405" max="6656" width="9.1796875" style="588"/>
    <col min="6657" max="6657" width="9.1796875" style="588" customWidth="1"/>
    <col min="6658" max="6658" width="51.54296875" style="588" customWidth="1"/>
    <col min="6659" max="6659" width="20.1796875" style="588" customWidth="1"/>
    <col min="6660" max="6660" width="5" style="588" customWidth="1"/>
    <col min="6661" max="6912" width="9.1796875" style="588"/>
    <col min="6913" max="6913" width="9.1796875" style="588" customWidth="1"/>
    <col min="6914" max="6914" width="51.54296875" style="588" customWidth="1"/>
    <col min="6915" max="6915" width="20.1796875" style="588" customWidth="1"/>
    <col min="6916" max="6916" width="5" style="588" customWidth="1"/>
    <col min="6917" max="7168" width="9.1796875" style="588"/>
    <col min="7169" max="7169" width="9.1796875" style="588" customWidth="1"/>
    <col min="7170" max="7170" width="51.54296875" style="588" customWidth="1"/>
    <col min="7171" max="7171" width="20.1796875" style="588" customWidth="1"/>
    <col min="7172" max="7172" width="5" style="588" customWidth="1"/>
    <col min="7173" max="7424" width="9.1796875" style="588"/>
    <col min="7425" max="7425" width="9.1796875" style="588" customWidth="1"/>
    <col min="7426" max="7426" width="51.54296875" style="588" customWidth="1"/>
    <col min="7427" max="7427" width="20.1796875" style="588" customWidth="1"/>
    <col min="7428" max="7428" width="5" style="588" customWidth="1"/>
    <col min="7429" max="7680" width="9.1796875" style="588"/>
    <col min="7681" max="7681" width="9.1796875" style="588" customWidth="1"/>
    <col min="7682" max="7682" width="51.54296875" style="588" customWidth="1"/>
    <col min="7683" max="7683" width="20.1796875" style="588" customWidth="1"/>
    <col min="7684" max="7684" width="5" style="588" customWidth="1"/>
    <col min="7685" max="7936" width="9.1796875" style="588"/>
    <col min="7937" max="7937" width="9.1796875" style="588" customWidth="1"/>
    <col min="7938" max="7938" width="51.54296875" style="588" customWidth="1"/>
    <col min="7939" max="7939" width="20.1796875" style="588" customWidth="1"/>
    <col min="7940" max="7940" width="5" style="588" customWidth="1"/>
    <col min="7941" max="8192" width="9.1796875" style="588"/>
    <col min="8193" max="8193" width="9.1796875" style="588" customWidth="1"/>
    <col min="8194" max="8194" width="51.54296875" style="588" customWidth="1"/>
    <col min="8195" max="8195" width="20.1796875" style="588" customWidth="1"/>
    <col min="8196" max="8196" width="5" style="588" customWidth="1"/>
    <col min="8197" max="8448" width="9.1796875" style="588"/>
    <col min="8449" max="8449" width="9.1796875" style="588" customWidth="1"/>
    <col min="8450" max="8450" width="51.54296875" style="588" customWidth="1"/>
    <col min="8451" max="8451" width="20.1796875" style="588" customWidth="1"/>
    <col min="8452" max="8452" width="5" style="588" customWidth="1"/>
    <col min="8453" max="8704" width="9.1796875" style="588"/>
    <col min="8705" max="8705" width="9.1796875" style="588" customWidth="1"/>
    <col min="8706" max="8706" width="51.54296875" style="588" customWidth="1"/>
    <col min="8707" max="8707" width="20.1796875" style="588" customWidth="1"/>
    <col min="8708" max="8708" width="5" style="588" customWidth="1"/>
    <col min="8709" max="8960" width="9.1796875" style="588"/>
    <col min="8961" max="8961" width="9.1796875" style="588" customWidth="1"/>
    <col min="8962" max="8962" width="51.54296875" style="588" customWidth="1"/>
    <col min="8963" max="8963" width="20.1796875" style="588" customWidth="1"/>
    <col min="8964" max="8964" width="5" style="588" customWidth="1"/>
    <col min="8965" max="9216" width="9.1796875" style="588"/>
    <col min="9217" max="9217" width="9.1796875" style="588" customWidth="1"/>
    <col min="9218" max="9218" width="51.54296875" style="588" customWidth="1"/>
    <col min="9219" max="9219" width="20.1796875" style="588" customWidth="1"/>
    <col min="9220" max="9220" width="5" style="588" customWidth="1"/>
    <col min="9221" max="9472" width="9.1796875" style="588"/>
    <col min="9473" max="9473" width="9.1796875" style="588" customWidth="1"/>
    <col min="9474" max="9474" width="51.54296875" style="588" customWidth="1"/>
    <col min="9475" max="9475" width="20.1796875" style="588" customWidth="1"/>
    <col min="9476" max="9476" width="5" style="588" customWidth="1"/>
    <col min="9477" max="9728" width="9.1796875" style="588"/>
    <col min="9729" max="9729" width="9.1796875" style="588" customWidth="1"/>
    <col min="9730" max="9730" width="51.54296875" style="588" customWidth="1"/>
    <col min="9731" max="9731" width="20.1796875" style="588" customWidth="1"/>
    <col min="9732" max="9732" width="5" style="588" customWidth="1"/>
    <col min="9733" max="9984" width="9.1796875" style="588"/>
    <col min="9985" max="9985" width="9.1796875" style="588" customWidth="1"/>
    <col min="9986" max="9986" width="51.54296875" style="588" customWidth="1"/>
    <col min="9987" max="9987" width="20.1796875" style="588" customWidth="1"/>
    <col min="9988" max="9988" width="5" style="588" customWidth="1"/>
    <col min="9989" max="10240" width="9.1796875" style="588"/>
    <col min="10241" max="10241" width="9.1796875" style="588" customWidth="1"/>
    <col min="10242" max="10242" width="51.54296875" style="588" customWidth="1"/>
    <col min="10243" max="10243" width="20.1796875" style="588" customWidth="1"/>
    <col min="10244" max="10244" width="5" style="588" customWidth="1"/>
    <col min="10245" max="10496" width="9.1796875" style="588"/>
    <col min="10497" max="10497" width="9.1796875" style="588" customWidth="1"/>
    <col min="10498" max="10498" width="51.54296875" style="588" customWidth="1"/>
    <col min="10499" max="10499" width="20.1796875" style="588" customWidth="1"/>
    <col min="10500" max="10500" width="5" style="588" customWidth="1"/>
    <col min="10501" max="10752" width="9.1796875" style="588"/>
    <col min="10753" max="10753" width="9.1796875" style="588" customWidth="1"/>
    <col min="10754" max="10754" width="51.54296875" style="588" customWidth="1"/>
    <col min="10755" max="10755" width="20.1796875" style="588" customWidth="1"/>
    <col min="10756" max="10756" width="5" style="588" customWidth="1"/>
    <col min="10757" max="11008" width="9.1796875" style="588"/>
    <col min="11009" max="11009" width="9.1796875" style="588" customWidth="1"/>
    <col min="11010" max="11010" width="51.54296875" style="588" customWidth="1"/>
    <col min="11011" max="11011" width="20.1796875" style="588" customWidth="1"/>
    <col min="11012" max="11012" width="5" style="588" customWidth="1"/>
    <col min="11013" max="11264" width="9.1796875" style="588"/>
    <col min="11265" max="11265" width="9.1796875" style="588" customWidth="1"/>
    <col min="11266" max="11266" width="51.54296875" style="588" customWidth="1"/>
    <col min="11267" max="11267" width="20.1796875" style="588" customWidth="1"/>
    <col min="11268" max="11268" width="5" style="588" customWidth="1"/>
    <col min="11269" max="11520" width="9.1796875" style="588"/>
    <col min="11521" max="11521" width="9.1796875" style="588" customWidth="1"/>
    <col min="11522" max="11522" width="51.54296875" style="588" customWidth="1"/>
    <col min="11523" max="11523" width="20.1796875" style="588" customWidth="1"/>
    <col min="11524" max="11524" width="5" style="588" customWidth="1"/>
    <col min="11525" max="11776" width="9.1796875" style="588"/>
    <col min="11777" max="11777" width="9.1796875" style="588" customWidth="1"/>
    <col min="11778" max="11778" width="51.54296875" style="588" customWidth="1"/>
    <col min="11779" max="11779" width="20.1796875" style="588" customWidth="1"/>
    <col min="11780" max="11780" width="5" style="588" customWidth="1"/>
    <col min="11781" max="12032" width="9.1796875" style="588"/>
    <col min="12033" max="12033" width="9.1796875" style="588" customWidth="1"/>
    <col min="12034" max="12034" width="51.54296875" style="588" customWidth="1"/>
    <col min="12035" max="12035" width="20.1796875" style="588" customWidth="1"/>
    <col min="12036" max="12036" width="5" style="588" customWidth="1"/>
    <col min="12037" max="12288" width="9.1796875" style="588"/>
    <col min="12289" max="12289" width="9.1796875" style="588" customWidth="1"/>
    <col min="12290" max="12290" width="51.54296875" style="588" customWidth="1"/>
    <col min="12291" max="12291" width="20.1796875" style="588" customWidth="1"/>
    <col min="12292" max="12292" width="5" style="588" customWidth="1"/>
    <col min="12293" max="12544" width="9.1796875" style="588"/>
    <col min="12545" max="12545" width="9.1796875" style="588" customWidth="1"/>
    <col min="12546" max="12546" width="51.54296875" style="588" customWidth="1"/>
    <col min="12547" max="12547" width="20.1796875" style="588" customWidth="1"/>
    <col min="12548" max="12548" width="5" style="588" customWidth="1"/>
    <col min="12549" max="12800" width="9.1796875" style="588"/>
    <col min="12801" max="12801" width="9.1796875" style="588" customWidth="1"/>
    <col min="12802" max="12802" width="51.54296875" style="588" customWidth="1"/>
    <col min="12803" max="12803" width="20.1796875" style="588" customWidth="1"/>
    <col min="12804" max="12804" width="5" style="588" customWidth="1"/>
    <col min="12805" max="13056" width="9.1796875" style="588"/>
    <col min="13057" max="13057" width="9.1796875" style="588" customWidth="1"/>
    <col min="13058" max="13058" width="51.54296875" style="588" customWidth="1"/>
    <col min="13059" max="13059" width="20.1796875" style="588" customWidth="1"/>
    <col min="13060" max="13060" width="5" style="588" customWidth="1"/>
    <col min="13061" max="13312" width="9.1796875" style="588"/>
    <col min="13313" max="13313" width="9.1796875" style="588" customWidth="1"/>
    <col min="13314" max="13314" width="51.54296875" style="588" customWidth="1"/>
    <col min="13315" max="13315" width="20.1796875" style="588" customWidth="1"/>
    <col min="13316" max="13316" width="5" style="588" customWidth="1"/>
    <col min="13317" max="13568" width="9.1796875" style="588"/>
    <col min="13569" max="13569" width="9.1796875" style="588" customWidth="1"/>
    <col min="13570" max="13570" width="51.54296875" style="588" customWidth="1"/>
    <col min="13571" max="13571" width="20.1796875" style="588" customWidth="1"/>
    <col min="13572" max="13572" width="5" style="588" customWidth="1"/>
    <col min="13573" max="13824" width="9.1796875" style="588"/>
    <col min="13825" max="13825" width="9.1796875" style="588" customWidth="1"/>
    <col min="13826" max="13826" width="51.54296875" style="588" customWidth="1"/>
    <col min="13827" max="13827" width="20.1796875" style="588" customWidth="1"/>
    <col min="13828" max="13828" width="5" style="588" customWidth="1"/>
    <col min="13829" max="14080" width="9.1796875" style="588"/>
    <col min="14081" max="14081" width="9.1796875" style="588" customWidth="1"/>
    <col min="14082" max="14082" width="51.54296875" style="588" customWidth="1"/>
    <col min="14083" max="14083" width="20.1796875" style="588" customWidth="1"/>
    <col min="14084" max="14084" width="5" style="588" customWidth="1"/>
    <col min="14085" max="14336" width="9.1796875" style="588"/>
    <col min="14337" max="14337" width="9.1796875" style="588" customWidth="1"/>
    <col min="14338" max="14338" width="51.54296875" style="588" customWidth="1"/>
    <col min="14339" max="14339" width="20.1796875" style="588" customWidth="1"/>
    <col min="14340" max="14340" width="5" style="588" customWidth="1"/>
    <col min="14341" max="14592" width="9.1796875" style="588"/>
    <col min="14593" max="14593" width="9.1796875" style="588" customWidth="1"/>
    <col min="14594" max="14594" width="51.54296875" style="588" customWidth="1"/>
    <col min="14595" max="14595" width="20.1796875" style="588" customWidth="1"/>
    <col min="14596" max="14596" width="5" style="588" customWidth="1"/>
    <col min="14597" max="14848" width="9.1796875" style="588"/>
    <col min="14849" max="14849" width="9.1796875" style="588" customWidth="1"/>
    <col min="14850" max="14850" width="51.54296875" style="588" customWidth="1"/>
    <col min="14851" max="14851" width="20.1796875" style="588" customWidth="1"/>
    <col min="14852" max="14852" width="5" style="588" customWidth="1"/>
    <col min="14853" max="15104" width="9.1796875" style="588"/>
    <col min="15105" max="15105" width="9.1796875" style="588" customWidth="1"/>
    <col min="15106" max="15106" width="51.54296875" style="588" customWidth="1"/>
    <col min="15107" max="15107" width="20.1796875" style="588" customWidth="1"/>
    <col min="15108" max="15108" width="5" style="588" customWidth="1"/>
    <col min="15109" max="15360" width="9.1796875" style="588"/>
    <col min="15361" max="15361" width="9.1796875" style="588" customWidth="1"/>
    <col min="15362" max="15362" width="51.54296875" style="588" customWidth="1"/>
    <col min="15363" max="15363" width="20.1796875" style="588" customWidth="1"/>
    <col min="15364" max="15364" width="5" style="588" customWidth="1"/>
    <col min="15365" max="15616" width="9.1796875" style="588"/>
    <col min="15617" max="15617" width="9.1796875" style="588" customWidth="1"/>
    <col min="15618" max="15618" width="51.54296875" style="588" customWidth="1"/>
    <col min="15619" max="15619" width="20.1796875" style="588" customWidth="1"/>
    <col min="15620" max="15620" width="5" style="588" customWidth="1"/>
    <col min="15621" max="15872" width="9.1796875" style="588"/>
    <col min="15873" max="15873" width="9.1796875" style="588" customWidth="1"/>
    <col min="15874" max="15874" width="51.54296875" style="588" customWidth="1"/>
    <col min="15875" max="15875" width="20.1796875" style="588" customWidth="1"/>
    <col min="15876" max="15876" width="5" style="588" customWidth="1"/>
    <col min="15877" max="16128" width="9.1796875" style="588"/>
    <col min="16129" max="16129" width="9.1796875" style="588" customWidth="1"/>
    <col min="16130" max="16130" width="51.54296875" style="588" customWidth="1"/>
    <col min="16131" max="16131" width="20.1796875" style="588" customWidth="1"/>
    <col min="16132" max="16132" width="5" style="588" customWidth="1"/>
    <col min="16133" max="16384" width="9.1796875" style="588"/>
  </cols>
  <sheetData>
    <row r="1" spans="1:4" x14ac:dyDescent="0.35">
      <c r="B1" s="3409" t="s">
        <v>821</v>
      </c>
      <c r="C1" s="3409"/>
      <c r="D1" s="3409"/>
    </row>
    <row r="2" spans="1:4" x14ac:dyDescent="0.35">
      <c r="B2" s="3409" t="s">
        <v>801</v>
      </c>
      <c r="C2" s="3409"/>
      <c r="D2" s="3409"/>
    </row>
    <row r="3" spans="1:4" x14ac:dyDescent="0.35">
      <c r="B3" s="3409" t="s">
        <v>449</v>
      </c>
      <c r="C3" s="3409"/>
      <c r="D3" s="3409"/>
    </row>
    <row r="4" spans="1:4" x14ac:dyDescent="0.35">
      <c r="B4" s="3409" t="s">
        <v>802</v>
      </c>
      <c r="C4" s="3409"/>
      <c r="D4" s="3409"/>
    </row>
    <row r="5" spans="1:4" x14ac:dyDescent="0.35">
      <c r="B5" s="3410" t="s">
        <v>846</v>
      </c>
      <c r="C5" s="3410"/>
      <c r="D5" s="3410"/>
    </row>
    <row r="6" spans="1:4" x14ac:dyDescent="0.35">
      <c r="B6" s="589"/>
      <c r="C6" s="589"/>
      <c r="D6" s="589"/>
    </row>
    <row r="7" spans="1:4" x14ac:dyDescent="0.35">
      <c r="B7" s="589"/>
      <c r="C7" s="589"/>
      <c r="D7" s="546" t="s">
        <v>446</v>
      </c>
    </row>
    <row r="8" spans="1:4" x14ac:dyDescent="0.35">
      <c r="B8" s="589"/>
      <c r="C8" s="589"/>
      <c r="D8" s="558"/>
    </row>
    <row r="9" spans="1:4" x14ac:dyDescent="0.35">
      <c r="B9" s="589"/>
      <c r="C9" s="589"/>
      <c r="D9" s="546" t="s">
        <v>848</v>
      </c>
    </row>
    <row r="10" spans="1:4" x14ac:dyDescent="0.35">
      <c r="B10" s="589"/>
      <c r="C10" s="589"/>
      <c r="D10" s="546"/>
    </row>
    <row r="11" spans="1:4" x14ac:dyDescent="0.35">
      <c r="B11" s="589"/>
      <c r="C11" s="589"/>
      <c r="D11" s="546"/>
    </row>
    <row r="12" spans="1:4" x14ac:dyDescent="0.35">
      <c r="B12" s="3411"/>
      <c r="C12" s="3411"/>
    </row>
    <row r="13" spans="1:4" x14ac:dyDescent="0.35">
      <c r="A13" s="3412" t="s">
        <v>803</v>
      </c>
      <c r="B13" s="3412"/>
      <c r="C13" s="3412"/>
    </row>
    <row r="14" spans="1:4" ht="16.5" customHeight="1" x14ac:dyDescent="0.35">
      <c r="A14" s="3412" t="s">
        <v>804</v>
      </c>
      <c r="B14" s="3412"/>
      <c r="C14" s="3412"/>
      <c r="D14" s="590"/>
    </row>
    <row r="15" spans="1:4" ht="16.5" customHeight="1" x14ac:dyDescent="0.35">
      <c r="A15" s="3412" t="s">
        <v>847</v>
      </c>
      <c r="B15" s="3412"/>
      <c r="C15" s="3412"/>
      <c r="D15" s="590"/>
    </row>
    <row r="16" spans="1:4" ht="16" thickBot="1" x14ac:dyDescent="0.4">
      <c r="A16" s="591"/>
      <c r="B16" s="592"/>
      <c r="C16" s="593"/>
    </row>
    <row r="17" spans="1:3" s="595" customFormat="1" thickBot="1" x14ac:dyDescent="0.3">
      <c r="A17" s="3413" t="s">
        <v>805</v>
      </c>
      <c r="B17" s="3414"/>
      <c r="C17" s="594" t="s">
        <v>806</v>
      </c>
    </row>
    <row r="18" spans="1:3" s="595" customFormat="1" ht="13.5" customHeight="1" x14ac:dyDescent="0.25">
      <c r="A18" s="3415" t="s">
        <v>807</v>
      </c>
      <c r="B18" s="3416"/>
      <c r="C18" s="596">
        <v>0.1</v>
      </c>
    </row>
    <row r="19" spans="1:3" s="595" customFormat="1" ht="20.25" customHeight="1" x14ac:dyDescent="0.25">
      <c r="A19" s="3407" t="s">
        <v>660</v>
      </c>
      <c r="B19" s="3408"/>
      <c r="C19" s="597">
        <v>1</v>
      </c>
    </row>
    <row r="20" spans="1:3" s="595" customFormat="1" ht="18" customHeight="1" x14ac:dyDescent="0.25">
      <c r="A20" s="3403" t="s">
        <v>664</v>
      </c>
      <c r="B20" s="3404"/>
      <c r="C20" s="598">
        <v>1</v>
      </c>
    </row>
    <row r="21" spans="1:3" s="595" customFormat="1" ht="17.25" hidden="1" customHeight="1" x14ac:dyDescent="0.25">
      <c r="A21" s="3405" t="s">
        <v>662</v>
      </c>
      <c r="B21" s="3406"/>
      <c r="C21" s="599">
        <v>0.5</v>
      </c>
    </row>
    <row r="22" spans="1:3" s="595" customFormat="1" ht="18.75" hidden="1" customHeight="1" x14ac:dyDescent="0.25">
      <c r="A22" s="3403" t="s">
        <v>808</v>
      </c>
      <c r="B22" s="3404"/>
      <c r="C22" s="598">
        <v>0.5</v>
      </c>
    </row>
    <row r="23" spans="1:3" s="595" customFormat="1" ht="17.25" hidden="1" customHeight="1" x14ac:dyDescent="0.25">
      <c r="A23" s="3403" t="s">
        <v>809</v>
      </c>
      <c r="B23" s="3404"/>
      <c r="C23" s="598">
        <v>0.5</v>
      </c>
    </row>
    <row r="24" spans="1:3" s="595" customFormat="1" ht="15.75" customHeight="1" x14ac:dyDescent="0.25">
      <c r="A24" s="3403" t="s">
        <v>810</v>
      </c>
      <c r="B24" s="3404"/>
      <c r="C24" s="600">
        <v>1</v>
      </c>
    </row>
    <row r="25" spans="1:3" s="595" customFormat="1" ht="15.75" customHeight="1" x14ac:dyDescent="0.25">
      <c r="A25" s="3403" t="s">
        <v>811</v>
      </c>
      <c r="B25" s="3404"/>
      <c r="C25" s="600">
        <v>1</v>
      </c>
    </row>
    <row r="26" spans="1:3" s="595" customFormat="1" ht="20.25" customHeight="1" thickBot="1" x14ac:dyDescent="0.3">
      <c r="A26" s="3401" t="s">
        <v>812</v>
      </c>
      <c r="B26" s="3402"/>
      <c r="C26" s="601">
        <v>1</v>
      </c>
    </row>
    <row r="27" spans="1:3" x14ac:dyDescent="0.35">
      <c r="A27" s="602"/>
      <c r="B27" s="603"/>
      <c r="C27" s="603"/>
    </row>
    <row r="28" spans="1:3" x14ac:dyDescent="0.35">
      <c r="A28" s="602"/>
      <c r="B28" s="603"/>
      <c r="C28" s="603"/>
    </row>
    <row r="29" spans="1:3" x14ac:dyDescent="0.35">
      <c r="A29" s="602"/>
      <c r="B29" s="603"/>
      <c r="C29" s="603"/>
    </row>
    <row r="30" spans="1:3" x14ac:dyDescent="0.35">
      <c r="A30" s="602"/>
      <c r="B30" s="603"/>
      <c r="C30" s="603"/>
    </row>
    <row r="31" spans="1:3" x14ac:dyDescent="0.35">
      <c r="A31" s="602"/>
      <c r="B31" s="603"/>
      <c r="C31" s="603"/>
    </row>
    <row r="32" spans="1:3" x14ac:dyDescent="0.35">
      <c r="A32" s="602"/>
      <c r="B32" s="603"/>
      <c r="C32" s="603"/>
    </row>
    <row r="33" spans="1:3" x14ac:dyDescent="0.35">
      <c r="A33" s="602"/>
      <c r="B33" s="603"/>
      <c r="C33" s="603"/>
    </row>
    <row r="34" spans="1:3" x14ac:dyDescent="0.35">
      <c r="A34" s="602"/>
      <c r="B34" s="603"/>
      <c r="C34" s="603"/>
    </row>
    <row r="35" spans="1:3" x14ac:dyDescent="0.35">
      <c r="A35" s="602"/>
      <c r="B35" s="603"/>
      <c r="C35" s="603"/>
    </row>
    <row r="36" spans="1:3" x14ac:dyDescent="0.35">
      <c r="A36" s="602"/>
      <c r="B36" s="603"/>
      <c r="C36" s="603"/>
    </row>
    <row r="37" spans="1:3" x14ac:dyDescent="0.35">
      <c r="A37" s="602"/>
      <c r="B37" s="603"/>
      <c r="C37" s="603"/>
    </row>
    <row r="38" spans="1:3" x14ac:dyDescent="0.35">
      <c r="A38" s="602"/>
      <c r="B38" s="603"/>
      <c r="C38" s="603"/>
    </row>
    <row r="39" spans="1:3" x14ac:dyDescent="0.35">
      <c r="A39" s="602"/>
      <c r="B39" s="603"/>
      <c r="C39" s="603"/>
    </row>
  </sheetData>
  <mergeCells count="19">
    <mergeCell ref="A19:B19"/>
    <mergeCell ref="B1:D1"/>
    <mergeCell ref="B2:D2"/>
    <mergeCell ref="B3:D3"/>
    <mergeCell ref="B4:D4"/>
    <mergeCell ref="B5:D5"/>
    <mergeCell ref="B12:C12"/>
    <mergeCell ref="A13:C13"/>
    <mergeCell ref="A14:C14"/>
    <mergeCell ref="A15:C15"/>
    <mergeCell ref="A17:B17"/>
    <mergeCell ref="A18:B18"/>
    <mergeCell ref="A26:B26"/>
    <mergeCell ref="A20:B20"/>
    <mergeCell ref="A21:B21"/>
    <mergeCell ref="A22:B22"/>
    <mergeCell ref="A23:B23"/>
    <mergeCell ref="A24:B24"/>
    <mergeCell ref="A25:B25"/>
  </mergeCells>
  <printOptions horizontalCentered="1"/>
  <pageMargins left="0.9055118110236221" right="0.51181102362204722" top="0.98425196850393704" bottom="0.98425196850393704" header="0.51181102362204722" footer="0.51181102362204722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219"/>
  <sheetViews>
    <sheetView topLeftCell="A30" zoomScaleNormal="100" zoomScaleSheetLayoutView="50" workbookViewId="0">
      <selection activeCell="A208" sqref="A208:B209"/>
    </sheetView>
  </sheetViews>
  <sheetFormatPr defaultColWidth="9.1796875" defaultRowHeight="12.5" x14ac:dyDescent="0.25"/>
  <cols>
    <col min="1" max="1" width="8.81640625" style="580" customWidth="1"/>
    <col min="2" max="2" width="60.26953125" style="606" customWidth="1"/>
    <col min="3" max="3" width="10" style="581" hidden="1" customWidth="1"/>
    <col min="4" max="4" width="9.26953125" style="611" hidden="1" customWidth="1"/>
    <col min="5" max="5" width="10.453125" style="611" hidden="1" customWidth="1"/>
    <col min="6" max="6" width="10.54296875" style="4" customWidth="1"/>
    <col min="7" max="7" width="7.54296875" style="4" customWidth="1"/>
    <col min="8" max="8" width="10.453125" style="4" customWidth="1"/>
    <col min="9" max="9" width="15.54296875" style="263" customWidth="1"/>
    <col min="10" max="10" width="14.7265625" style="605" hidden="1" customWidth="1"/>
    <col min="11" max="11" width="15.81640625" style="605" hidden="1" customWidth="1"/>
    <col min="12" max="12" width="18.7265625" style="605" hidden="1" customWidth="1"/>
    <col min="13" max="13" width="9.1796875" style="580" customWidth="1"/>
    <col min="14" max="23" width="9.1796875" style="608" customWidth="1"/>
    <col min="24" max="256" width="9.1796875" style="580"/>
    <col min="257" max="257" width="8.81640625" style="580" customWidth="1"/>
    <col min="258" max="258" width="60.26953125" style="580" customWidth="1"/>
    <col min="259" max="261" width="0" style="580" hidden="1" customWidth="1"/>
    <col min="262" max="262" width="11.54296875" style="580" customWidth="1"/>
    <col min="263" max="263" width="10.26953125" style="580" customWidth="1"/>
    <col min="264" max="264" width="10.453125" style="580" customWidth="1"/>
    <col min="265" max="265" width="22.1796875" style="580" customWidth="1"/>
    <col min="266" max="268" width="0" style="580" hidden="1" customWidth="1"/>
    <col min="269" max="279" width="9.1796875" style="580" customWidth="1"/>
    <col min="280" max="512" width="9.1796875" style="580"/>
    <col min="513" max="513" width="8.81640625" style="580" customWidth="1"/>
    <col min="514" max="514" width="60.26953125" style="580" customWidth="1"/>
    <col min="515" max="517" width="0" style="580" hidden="1" customWidth="1"/>
    <col min="518" max="518" width="11.54296875" style="580" customWidth="1"/>
    <col min="519" max="519" width="10.26953125" style="580" customWidth="1"/>
    <col min="520" max="520" width="10.453125" style="580" customWidth="1"/>
    <col min="521" max="521" width="22.1796875" style="580" customWidth="1"/>
    <col min="522" max="524" width="0" style="580" hidden="1" customWidth="1"/>
    <col min="525" max="535" width="9.1796875" style="580" customWidth="1"/>
    <col min="536" max="768" width="9.1796875" style="580"/>
    <col min="769" max="769" width="8.81640625" style="580" customWidth="1"/>
    <col min="770" max="770" width="60.26953125" style="580" customWidth="1"/>
    <col min="771" max="773" width="0" style="580" hidden="1" customWidth="1"/>
    <col min="774" max="774" width="11.54296875" style="580" customWidth="1"/>
    <col min="775" max="775" width="10.26953125" style="580" customWidth="1"/>
    <col min="776" max="776" width="10.453125" style="580" customWidth="1"/>
    <col min="777" max="777" width="22.1796875" style="580" customWidth="1"/>
    <col min="778" max="780" width="0" style="580" hidden="1" customWidth="1"/>
    <col min="781" max="791" width="9.1796875" style="580" customWidth="1"/>
    <col min="792" max="1024" width="9.1796875" style="580"/>
    <col min="1025" max="1025" width="8.81640625" style="580" customWidth="1"/>
    <col min="1026" max="1026" width="60.26953125" style="580" customWidth="1"/>
    <col min="1027" max="1029" width="0" style="580" hidden="1" customWidth="1"/>
    <col min="1030" max="1030" width="11.54296875" style="580" customWidth="1"/>
    <col min="1031" max="1031" width="10.26953125" style="580" customWidth="1"/>
    <col min="1032" max="1032" width="10.453125" style="580" customWidth="1"/>
    <col min="1033" max="1033" width="22.1796875" style="580" customWidth="1"/>
    <col min="1034" max="1036" width="0" style="580" hidden="1" customWidth="1"/>
    <col min="1037" max="1047" width="9.1796875" style="580" customWidth="1"/>
    <col min="1048" max="1280" width="9.1796875" style="580"/>
    <col min="1281" max="1281" width="8.81640625" style="580" customWidth="1"/>
    <col min="1282" max="1282" width="60.26953125" style="580" customWidth="1"/>
    <col min="1283" max="1285" width="0" style="580" hidden="1" customWidth="1"/>
    <col min="1286" max="1286" width="11.54296875" style="580" customWidth="1"/>
    <col min="1287" max="1287" width="10.26953125" style="580" customWidth="1"/>
    <col min="1288" max="1288" width="10.453125" style="580" customWidth="1"/>
    <col min="1289" max="1289" width="22.1796875" style="580" customWidth="1"/>
    <col min="1290" max="1292" width="0" style="580" hidden="1" customWidth="1"/>
    <col min="1293" max="1303" width="9.1796875" style="580" customWidth="1"/>
    <col min="1304" max="1536" width="9.1796875" style="580"/>
    <col min="1537" max="1537" width="8.81640625" style="580" customWidth="1"/>
    <col min="1538" max="1538" width="60.26953125" style="580" customWidth="1"/>
    <col min="1539" max="1541" width="0" style="580" hidden="1" customWidth="1"/>
    <col min="1542" max="1542" width="11.54296875" style="580" customWidth="1"/>
    <col min="1543" max="1543" width="10.26953125" style="580" customWidth="1"/>
    <col min="1544" max="1544" width="10.453125" style="580" customWidth="1"/>
    <col min="1545" max="1545" width="22.1796875" style="580" customWidth="1"/>
    <col min="1546" max="1548" width="0" style="580" hidden="1" customWidth="1"/>
    <col min="1549" max="1559" width="9.1796875" style="580" customWidth="1"/>
    <col min="1560" max="1792" width="9.1796875" style="580"/>
    <col min="1793" max="1793" width="8.81640625" style="580" customWidth="1"/>
    <col min="1794" max="1794" width="60.26953125" style="580" customWidth="1"/>
    <col min="1795" max="1797" width="0" style="580" hidden="1" customWidth="1"/>
    <col min="1798" max="1798" width="11.54296875" style="580" customWidth="1"/>
    <col min="1799" max="1799" width="10.26953125" style="580" customWidth="1"/>
    <col min="1800" max="1800" width="10.453125" style="580" customWidth="1"/>
    <col min="1801" max="1801" width="22.1796875" style="580" customWidth="1"/>
    <col min="1802" max="1804" width="0" style="580" hidden="1" customWidth="1"/>
    <col min="1805" max="1815" width="9.1796875" style="580" customWidth="1"/>
    <col min="1816" max="2048" width="9.1796875" style="580"/>
    <col min="2049" max="2049" width="8.81640625" style="580" customWidth="1"/>
    <col min="2050" max="2050" width="60.26953125" style="580" customWidth="1"/>
    <col min="2051" max="2053" width="0" style="580" hidden="1" customWidth="1"/>
    <col min="2054" max="2054" width="11.54296875" style="580" customWidth="1"/>
    <col min="2055" max="2055" width="10.26953125" style="580" customWidth="1"/>
    <col min="2056" max="2056" width="10.453125" style="580" customWidth="1"/>
    <col min="2057" max="2057" width="22.1796875" style="580" customWidth="1"/>
    <col min="2058" max="2060" width="0" style="580" hidden="1" customWidth="1"/>
    <col min="2061" max="2071" width="9.1796875" style="580" customWidth="1"/>
    <col min="2072" max="2304" width="9.1796875" style="580"/>
    <col min="2305" max="2305" width="8.81640625" style="580" customWidth="1"/>
    <col min="2306" max="2306" width="60.26953125" style="580" customWidth="1"/>
    <col min="2307" max="2309" width="0" style="580" hidden="1" customWidth="1"/>
    <col min="2310" max="2310" width="11.54296875" style="580" customWidth="1"/>
    <col min="2311" max="2311" width="10.26953125" style="580" customWidth="1"/>
    <col min="2312" max="2312" width="10.453125" style="580" customWidth="1"/>
    <col min="2313" max="2313" width="22.1796875" style="580" customWidth="1"/>
    <col min="2314" max="2316" width="0" style="580" hidden="1" customWidth="1"/>
    <col min="2317" max="2327" width="9.1796875" style="580" customWidth="1"/>
    <col min="2328" max="2560" width="9.1796875" style="580"/>
    <col min="2561" max="2561" width="8.81640625" style="580" customWidth="1"/>
    <col min="2562" max="2562" width="60.26953125" style="580" customWidth="1"/>
    <col min="2563" max="2565" width="0" style="580" hidden="1" customWidth="1"/>
    <col min="2566" max="2566" width="11.54296875" style="580" customWidth="1"/>
    <col min="2567" max="2567" width="10.26953125" style="580" customWidth="1"/>
    <col min="2568" max="2568" width="10.453125" style="580" customWidth="1"/>
    <col min="2569" max="2569" width="22.1796875" style="580" customWidth="1"/>
    <col min="2570" max="2572" width="0" style="580" hidden="1" customWidth="1"/>
    <col min="2573" max="2583" width="9.1796875" style="580" customWidth="1"/>
    <col min="2584" max="2816" width="9.1796875" style="580"/>
    <col min="2817" max="2817" width="8.81640625" style="580" customWidth="1"/>
    <col min="2818" max="2818" width="60.26953125" style="580" customWidth="1"/>
    <col min="2819" max="2821" width="0" style="580" hidden="1" customWidth="1"/>
    <col min="2822" max="2822" width="11.54296875" style="580" customWidth="1"/>
    <col min="2823" max="2823" width="10.26953125" style="580" customWidth="1"/>
    <col min="2824" max="2824" width="10.453125" style="580" customWidth="1"/>
    <col min="2825" max="2825" width="22.1796875" style="580" customWidth="1"/>
    <col min="2826" max="2828" width="0" style="580" hidden="1" customWidth="1"/>
    <col min="2829" max="2839" width="9.1796875" style="580" customWidth="1"/>
    <col min="2840" max="3072" width="9.1796875" style="580"/>
    <col min="3073" max="3073" width="8.81640625" style="580" customWidth="1"/>
    <col min="3074" max="3074" width="60.26953125" style="580" customWidth="1"/>
    <col min="3075" max="3077" width="0" style="580" hidden="1" customWidth="1"/>
    <col min="3078" max="3078" width="11.54296875" style="580" customWidth="1"/>
    <col min="3079" max="3079" width="10.26953125" style="580" customWidth="1"/>
    <col min="3080" max="3080" width="10.453125" style="580" customWidth="1"/>
    <col min="3081" max="3081" width="22.1796875" style="580" customWidth="1"/>
    <col min="3082" max="3084" width="0" style="580" hidden="1" customWidth="1"/>
    <col min="3085" max="3095" width="9.1796875" style="580" customWidth="1"/>
    <col min="3096" max="3328" width="9.1796875" style="580"/>
    <col min="3329" max="3329" width="8.81640625" style="580" customWidth="1"/>
    <col min="3330" max="3330" width="60.26953125" style="580" customWidth="1"/>
    <col min="3331" max="3333" width="0" style="580" hidden="1" customWidth="1"/>
    <col min="3334" max="3334" width="11.54296875" style="580" customWidth="1"/>
    <col min="3335" max="3335" width="10.26953125" style="580" customWidth="1"/>
    <col min="3336" max="3336" width="10.453125" style="580" customWidth="1"/>
    <col min="3337" max="3337" width="22.1796875" style="580" customWidth="1"/>
    <col min="3338" max="3340" width="0" style="580" hidden="1" customWidth="1"/>
    <col min="3341" max="3351" width="9.1796875" style="580" customWidth="1"/>
    <col min="3352" max="3584" width="9.1796875" style="580"/>
    <col min="3585" max="3585" width="8.81640625" style="580" customWidth="1"/>
    <col min="3586" max="3586" width="60.26953125" style="580" customWidth="1"/>
    <col min="3587" max="3589" width="0" style="580" hidden="1" customWidth="1"/>
    <col min="3590" max="3590" width="11.54296875" style="580" customWidth="1"/>
    <col min="3591" max="3591" width="10.26953125" style="580" customWidth="1"/>
    <col min="3592" max="3592" width="10.453125" style="580" customWidth="1"/>
    <col min="3593" max="3593" width="22.1796875" style="580" customWidth="1"/>
    <col min="3594" max="3596" width="0" style="580" hidden="1" customWidth="1"/>
    <col min="3597" max="3607" width="9.1796875" style="580" customWidth="1"/>
    <col min="3608" max="3840" width="9.1796875" style="580"/>
    <col min="3841" max="3841" width="8.81640625" style="580" customWidth="1"/>
    <col min="3842" max="3842" width="60.26953125" style="580" customWidth="1"/>
    <col min="3843" max="3845" width="0" style="580" hidden="1" customWidth="1"/>
    <col min="3846" max="3846" width="11.54296875" style="580" customWidth="1"/>
    <col min="3847" max="3847" width="10.26953125" style="580" customWidth="1"/>
    <col min="3848" max="3848" width="10.453125" style="580" customWidth="1"/>
    <col min="3849" max="3849" width="22.1796875" style="580" customWidth="1"/>
    <col min="3850" max="3852" width="0" style="580" hidden="1" customWidth="1"/>
    <col min="3853" max="3863" width="9.1796875" style="580" customWidth="1"/>
    <col min="3864" max="4096" width="9.1796875" style="580"/>
    <col min="4097" max="4097" width="8.81640625" style="580" customWidth="1"/>
    <col min="4098" max="4098" width="60.26953125" style="580" customWidth="1"/>
    <col min="4099" max="4101" width="0" style="580" hidden="1" customWidth="1"/>
    <col min="4102" max="4102" width="11.54296875" style="580" customWidth="1"/>
    <col min="4103" max="4103" width="10.26953125" style="580" customWidth="1"/>
    <col min="4104" max="4104" width="10.453125" style="580" customWidth="1"/>
    <col min="4105" max="4105" width="22.1796875" style="580" customWidth="1"/>
    <col min="4106" max="4108" width="0" style="580" hidden="1" customWidth="1"/>
    <col min="4109" max="4119" width="9.1796875" style="580" customWidth="1"/>
    <col min="4120" max="4352" width="9.1796875" style="580"/>
    <col min="4353" max="4353" width="8.81640625" style="580" customWidth="1"/>
    <col min="4354" max="4354" width="60.26953125" style="580" customWidth="1"/>
    <col min="4355" max="4357" width="0" style="580" hidden="1" customWidth="1"/>
    <col min="4358" max="4358" width="11.54296875" style="580" customWidth="1"/>
    <col min="4359" max="4359" width="10.26953125" style="580" customWidth="1"/>
    <col min="4360" max="4360" width="10.453125" style="580" customWidth="1"/>
    <col min="4361" max="4361" width="22.1796875" style="580" customWidth="1"/>
    <col min="4362" max="4364" width="0" style="580" hidden="1" customWidth="1"/>
    <col min="4365" max="4375" width="9.1796875" style="580" customWidth="1"/>
    <col min="4376" max="4608" width="9.1796875" style="580"/>
    <col min="4609" max="4609" width="8.81640625" style="580" customWidth="1"/>
    <col min="4610" max="4610" width="60.26953125" style="580" customWidth="1"/>
    <col min="4611" max="4613" width="0" style="580" hidden="1" customWidth="1"/>
    <col min="4614" max="4614" width="11.54296875" style="580" customWidth="1"/>
    <col min="4615" max="4615" width="10.26953125" style="580" customWidth="1"/>
    <col min="4616" max="4616" width="10.453125" style="580" customWidth="1"/>
    <col min="4617" max="4617" width="22.1796875" style="580" customWidth="1"/>
    <col min="4618" max="4620" width="0" style="580" hidden="1" customWidth="1"/>
    <col min="4621" max="4631" width="9.1796875" style="580" customWidth="1"/>
    <col min="4632" max="4864" width="9.1796875" style="580"/>
    <col min="4865" max="4865" width="8.81640625" style="580" customWidth="1"/>
    <col min="4866" max="4866" width="60.26953125" style="580" customWidth="1"/>
    <col min="4867" max="4869" width="0" style="580" hidden="1" customWidth="1"/>
    <col min="4870" max="4870" width="11.54296875" style="580" customWidth="1"/>
    <col min="4871" max="4871" width="10.26953125" style="580" customWidth="1"/>
    <col min="4872" max="4872" width="10.453125" style="580" customWidth="1"/>
    <col min="4873" max="4873" width="22.1796875" style="580" customWidth="1"/>
    <col min="4874" max="4876" width="0" style="580" hidden="1" customWidth="1"/>
    <col min="4877" max="4887" width="9.1796875" style="580" customWidth="1"/>
    <col min="4888" max="5120" width="9.1796875" style="580"/>
    <col min="5121" max="5121" width="8.81640625" style="580" customWidth="1"/>
    <col min="5122" max="5122" width="60.26953125" style="580" customWidth="1"/>
    <col min="5123" max="5125" width="0" style="580" hidden="1" customWidth="1"/>
    <col min="5126" max="5126" width="11.54296875" style="580" customWidth="1"/>
    <col min="5127" max="5127" width="10.26953125" style="580" customWidth="1"/>
    <col min="5128" max="5128" width="10.453125" style="580" customWidth="1"/>
    <col min="5129" max="5129" width="22.1796875" style="580" customWidth="1"/>
    <col min="5130" max="5132" width="0" style="580" hidden="1" customWidth="1"/>
    <col min="5133" max="5143" width="9.1796875" style="580" customWidth="1"/>
    <col min="5144" max="5376" width="9.1796875" style="580"/>
    <col min="5377" max="5377" width="8.81640625" style="580" customWidth="1"/>
    <col min="5378" max="5378" width="60.26953125" style="580" customWidth="1"/>
    <col min="5379" max="5381" width="0" style="580" hidden="1" customWidth="1"/>
    <col min="5382" max="5382" width="11.54296875" style="580" customWidth="1"/>
    <col min="5383" max="5383" width="10.26953125" style="580" customWidth="1"/>
    <col min="5384" max="5384" width="10.453125" style="580" customWidth="1"/>
    <col min="5385" max="5385" width="22.1796875" style="580" customWidth="1"/>
    <col min="5386" max="5388" width="0" style="580" hidden="1" customWidth="1"/>
    <col min="5389" max="5399" width="9.1796875" style="580" customWidth="1"/>
    <col min="5400" max="5632" width="9.1796875" style="580"/>
    <col min="5633" max="5633" width="8.81640625" style="580" customWidth="1"/>
    <col min="5634" max="5634" width="60.26953125" style="580" customWidth="1"/>
    <col min="5635" max="5637" width="0" style="580" hidden="1" customWidth="1"/>
    <col min="5638" max="5638" width="11.54296875" style="580" customWidth="1"/>
    <col min="5639" max="5639" width="10.26953125" style="580" customWidth="1"/>
    <col min="5640" max="5640" width="10.453125" style="580" customWidth="1"/>
    <col min="5641" max="5641" width="22.1796875" style="580" customWidth="1"/>
    <col min="5642" max="5644" width="0" style="580" hidden="1" customWidth="1"/>
    <col min="5645" max="5655" width="9.1796875" style="580" customWidth="1"/>
    <col min="5656" max="5888" width="9.1796875" style="580"/>
    <col min="5889" max="5889" width="8.81640625" style="580" customWidth="1"/>
    <col min="5890" max="5890" width="60.26953125" style="580" customWidth="1"/>
    <col min="5891" max="5893" width="0" style="580" hidden="1" customWidth="1"/>
    <col min="5894" max="5894" width="11.54296875" style="580" customWidth="1"/>
    <col min="5895" max="5895" width="10.26953125" style="580" customWidth="1"/>
    <col min="5896" max="5896" width="10.453125" style="580" customWidth="1"/>
    <col min="5897" max="5897" width="22.1796875" style="580" customWidth="1"/>
    <col min="5898" max="5900" width="0" style="580" hidden="1" customWidth="1"/>
    <col min="5901" max="5911" width="9.1796875" style="580" customWidth="1"/>
    <col min="5912" max="6144" width="9.1796875" style="580"/>
    <col min="6145" max="6145" width="8.81640625" style="580" customWidth="1"/>
    <col min="6146" max="6146" width="60.26953125" style="580" customWidth="1"/>
    <col min="6147" max="6149" width="0" style="580" hidden="1" customWidth="1"/>
    <col min="6150" max="6150" width="11.54296875" style="580" customWidth="1"/>
    <col min="6151" max="6151" width="10.26953125" style="580" customWidth="1"/>
    <col min="6152" max="6152" width="10.453125" style="580" customWidth="1"/>
    <col min="6153" max="6153" width="22.1796875" style="580" customWidth="1"/>
    <col min="6154" max="6156" width="0" style="580" hidden="1" customWidth="1"/>
    <col min="6157" max="6167" width="9.1796875" style="580" customWidth="1"/>
    <col min="6168" max="6400" width="9.1796875" style="580"/>
    <col min="6401" max="6401" width="8.81640625" style="580" customWidth="1"/>
    <col min="6402" max="6402" width="60.26953125" style="580" customWidth="1"/>
    <col min="6403" max="6405" width="0" style="580" hidden="1" customWidth="1"/>
    <col min="6406" max="6406" width="11.54296875" style="580" customWidth="1"/>
    <col min="6407" max="6407" width="10.26953125" style="580" customWidth="1"/>
    <col min="6408" max="6408" width="10.453125" style="580" customWidth="1"/>
    <col min="6409" max="6409" width="22.1796875" style="580" customWidth="1"/>
    <col min="6410" max="6412" width="0" style="580" hidden="1" customWidth="1"/>
    <col min="6413" max="6423" width="9.1796875" style="580" customWidth="1"/>
    <col min="6424" max="6656" width="9.1796875" style="580"/>
    <col min="6657" max="6657" width="8.81640625" style="580" customWidth="1"/>
    <col min="6658" max="6658" width="60.26953125" style="580" customWidth="1"/>
    <col min="6659" max="6661" width="0" style="580" hidden="1" customWidth="1"/>
    <col min="6662" max="6662" width="11.54296875" style="580" customWidth="1"/>
    <col min="6663" max="6663" width="10.26953125" style="580" customWidth="1"/>
    <col min="6664" max="6664" width="10.453125" style="580" customWidth="1"/>
    <col min="6665" max="6665" width="22.1796875" style="580" customWidth="1"/>
    <col min="6666" max="6668" width="0" style="580" hidden="1" customWidth="1"/>
    <col min="6669" max="6679" width="9.1796875" style="580" customWidth="1"/>
    <col min="6680" max="6912" width="9.1796875" style="580"/>
    <col min="6913" max="6913" width="8.81640625" style="580" customWidth="1"/>
    <col min="6914" max="6914" width="60.26953125" style="580" customWidth="1"/>
    <col min="6915" max="6917" width="0" style="580" hidden="1" customWidth="1"/>
    <col min="6918" max="6918" width="11.54296875" style="580" customWidth="1"/>
    <col min="6919" max="6919" width="10.26953125" style="580" customWidth="1"/>
    <col min="6920" max="6920" width="10.453125" style="580" customWidth="1"/>
    <col min="6921" max="6921" width="22.1796875" style="580" customWidth="1"/>
    <col min="6922" max="6924" width="0" style="580" hidden="1" customWidth="1"/>
    <col min="6925" max="6935" width="9.1796875" style="580" customWidth="1"/>
    <col min="6936" max="7168" width="9.1796875" style="580"/>
    <col min="7169" max="7169" width="8.81640625" style="580" customWidth="1"/>
    <col min="7170" max="7170" width="60.26953125" style="580" customWidth="1"/>
    <col min="7171" max="7173" width="0" style="580" hidden="1" customWidth="1"/>
    <col min="7174" max="7174" width="11.54296875" style="580" customWidth="1"/>
    <col min="7175" max="7175" width="10.26953125" style="580" customWidth="1"/>
    <col min="7176" max="7176" width="10.453125" style="580" customWidth="1"/>
    <col min="7177" max="7177" width="22.1796875" style="580" customWidth="1"/>
    <col min="7178" max="7180" width="0" style="580" hidden="1" customWidth="1"/>
    <col min="7181" max="7191" width="9.1796875" style="580" customWidth="1"/>
    <col min="7192" max="7424" width="9.1796875" style="580"/>
    <col min="7425" max="7425" width="8.81640625" style="580" customWidth="1"/>
    <col min="7426" max="7426" width="60.26953125" style="580" customWidth="1"/>
    <col min="7427" max="7429" width="0" style="580" hidden="1" customWidth="1"/>
    <col min="7430" max="7430" width="11.54296875" style="580" customWidth="1"/>
    <col min="7431" max="7431" width="10.26953125" style="580" customWidth="1"/>
    <col min="7432" max="7432" width="10.453125" style="580" customWidth="1"/>
    <col min="7433" max="7433" width="22.1796875" style="580" customWidth="1"/>
    <col min="7434" max="7436" width="0" style="580" hidden="1" customWidth="1"/>
    <col min="7437" max="7447" width="9.1796875" style="580" customWidth="1"/>
    <col min="7448" max="7680" width="9.1796875" style="580"/>
    <col min="7681" max="7681" width="8.81640625" style="580" customWidth="1"/>
    <col min="7682" max="7682" width="60.26953125" style="580" customWidth="1"/>
    <col min="7683" max="7685" width="0" style="580" hidden="1" customWidth="1"/>
    <col min="7686" max="7686" width="11.54296875" style="580" customWidth="1"/>
    <col min="7687" max="7687" width="10.26953125" style="580" customWidth="1"/>
    <col min="7688" max="7688" width="10.453125" style="580" customWidth="1"/>
    <col min="7689" max="7689" width="22.1796875" style="580" customWidth="1"/>
    <col min="7690" max="7692" width="0" style="580" hidden="1" customWidth="1"/>
    <col min="7693" max="7703" width="9.1796875" style="580" customWidth="1"/>
    <col min="7704" max="7936" width="9.1796875" style="580"/>
    <col min="7937" max="7937" width="8.81640625" style="580" customWidth="1"/>
    <col min="7938" max="7938" width="60.26953125" style="580" customWidth="1"/>
    <col min="7939" max="7941" width="0" style="580" hidden="1" customWidth="1"/>
    <col min="7942" max="7942" width="11.54296875" style="580" customWidth="1"/>
    <col min="7943" max="7943" width="10.26953125" style="580" customWidth="1"/>
    <col min="7944" max="7944" width="10.453125" style="580" customWidth="1"/>
    <col min="7945" max="7945" width="22.1796875" style="580" customWidth="1"/>
    <col min="7946" max="7948" width="0" style="580" hidden="1" customWidth="1"/>
    <col min="7949" max="7959" width="9.1796875" style="580" customWidth="1"/>
    <col min="7960" max="8192" width="9.1796875" style="580"/>
    <col min="8193" max="8193" width="8.81640625" style="580" customWidth="1"/>
    <col min="8194" max="8194" width="60.26953125" style="580" customWidth="1"/>
    <col min="8195" max="8197" width="0" style="580" hidden="1" customWidth="1"/>
    <col min="8198" max="8198" width="11.54296875" style="580" customWidth="1"/>
    <col min="8199" max="8199" width="10.26953125" style="580" customWidth="1"/>
    <col min="8200" max="8200" width="10.453125" style="580" customWidth="1"/>
    <col min="8201" max="8201" width="22.1796875" style="580" customWidth="1"/>
    <col min="8202" max="8204" width="0" style="580" hidden="1" customWidth="1"/>
    <col min="8205" max="8215" width="9.1796875" style="580" customWidth="1"/>
    <col min="8216" max="8448" width="9.1796875" style="580"/>
    <col min="8449" max="8449" width="8.81640625" style="580" customWidth="1"/>
    <col min="8450" max="8450" width="60.26953125" style="580" customWidth="1"/>
    <col min="8451" max="8453" width="0" style="580" hidden="1" customWidth="1"/>
    <col min="8454" max="8454" width="11.54296875" style="580" customWidth="1"/>
    <col min="8455" max="8455" width="10.26953125" style="580" customWidth="1"/>
    <col min="8456" max="8456" width="10.453125" style="580" customWidth="1"/>
    <col min="8457" max="8457" width="22.1796875" style="580" customWidth="1"/>
    <col min="8458" max="8460" width="0" style="580" hidden="1" customWidth="1"/>
    <col min="8461" max="8471" width="9.1796875" style="580" customWidth="1"/>
    <col min="8472" max="8704" width="9.1796875" style="580"/>
    <col min="8705" max="8705" width="8.81640625" style="580" customWidth="1"/>
    <col min="8706" max="8706" width="60.26953125" style="580" customWidth="1"/>
    <col min="8707" max="8709" width="0" style="580" hidden="1" customWidth="1"/>
    <col min="8710" max="8710" width="11.54296875" style="580" customWidth="1"/>
    <col min="8711" max="8711" width="10.26953125" style="580" customWidth="1"/>
    <col min="8712" max="8712" width="10.453125" style="580" customWidth="1"/>
    <col min="8713" max="8713" width="22.1796875" style="580" customWidth="1"/>
    <col min="8714" max="8716" width="0" style="580" hidden="1" customWidth="1"/>
    <col min="8717" max="8727" width="9.1796875" style="580" customWidth="1"/>
    <col min="8728" max="8960" width="9.1796875" style="580"/>
    <col min="8961" max="8961" width="8.81640625" style="580" customWidth="1"/>
    <col min="8962" max="8962" width="60.26953125" style="580" customWidth="1"/>
    <col min="8963" max="8965" width="0" style="580" hidden="1" customWidth="1"/>
    <col min="8966" max="8966" width="11.54296875" style="580" customWidth="1"/>
    <col min="8967" max="8967" width="10.26953125" style="580" customWidth="1"/>
    <col min="8968" max="8968" width="10.453125" style="580" customWidth="1"/>
    <col min="8969" max="8969" width="22.1796875" style="580" customWidth="1"/>
    <col min="8970" max="8972" width="0" style="580" hidden="1" customWidth="1"/>
    <col min="8973" max="8983" width="9.1796875" style="580" customWidth="1"/>
    <col min="8984" max="9216" width="9.1796875" style="580"/>
    <col min="9217" max="9217" width="8.81640625" style="580" customWidth="1"/>
    <col min="9218" max="9218" width="60.26953125" style="580" customWidth="1"/>
    <col min="9219" max="9221" width="0" style="580" hidden="1" customWidth="1"/>
    <col min="9222" max="9222" width="11.54296875" style="580" customWidth="1"/>
    <col min="9223" max="9223" width="10.26953125" style="580" customWidth="1"/>
    <col min="9224" max="9224" width="10.453125" style="580" customWidth="1"/>
    <col min="9225" max="9225" width="22.1796875" style="580" customWidth="1"/>
    <col min="9226" max="9228" width="0" style="580" hidden="1" customWidth="1"/>
    <col min="9229" max="9239" width="9.1796875" style="580" customWidth="1"/>
    <col min="9240" max="9472" width="9.1796875" style="580"/>
    <col min="9473" max="9473" width="8.81640625" style="580" customWidth="1"/>
    <col min="9474" max="9474" width="60.26953125" style="580" customWidth="1"/>
    <col min="9475" max="9477" width="0" style="580" hidden="1" customWidth="1"/>
    <col min="9478" max="9478" width="11.54296875" style="580" customWidth="1"/>
    <col min="9479" max="9479" width="10.26953125" style="580" customWidth="1"/>
    <col min="9480" max="9480" width="10.453125" style="580" customWidth="1"/>
    <col min="9481" max="9481" width="22.1796875" style="580" customWidth="1"/>
    <col min="9482" max="9484" width="0" style="580" hidden="1" customWidth="1"/>
    <col min="9485" max="9495" width="9.1796875" style="580" customWidth="1"/>
    <col min="9496" max="9728" width="9.1796875" style="580"/>
    <col min="9729" max="9729" width="8.81640625" style="580" customWidth="1"/>
    <col min="9730" max="9730" width="60.26953125" style="580" customWidth="1"/>
    <col min="9731" max="9733" width="0" style="580" hidden="1" customWidth="1"/>
    <col min="9734" max="9734" width="11.54296875" style="580" customWidth="1"/>
    <col min="9735" max="9735" width="10.26953125" style="580" customWidth="1"/>
    <col min="9736" max="9736" width="10.453125" style="580" customWidth="1"/>
    <col min="9737" max="9737" width="22.1796875" style="580" customWidth="1"/>
    <col min="9738" max="9740" width="0" style="580" hidden="1" customWidth="1"/>
    <col min="9741" max="9751" width="9.1796875" style="580" customWidth="1"/>
    <col min="9752" max="9984" width="9.1796875" style="580"/>
    <col min="9985" max="9985" width="8.81640625" style="580" customWidth="1"/>
    <col min="9986" max="9986" width="60.26953125" style="580" customWidth="1"/>
    <col min="9987" max="9989" width="0" style="580" hidden="1" customWidth="1"/>
    <col min="9990" max="9990" width="11.54296875" style="580" customWidth="1"/>
    <col min="9991" max="9991" width="10.26953125" style="580" customWidth="1"/>
    <col min="9992" max="9992" width="10.453125" style="580" customWidth="1"/>
    <col min="9993" max="9993" width="22.1796875" style="580" customWidth="1"/>
    <col min="9994" max="9996" width="0" style="580" hidden="1" customWidth="1"/>
    <col min="9997" max="10007" width="9.1796875" style="580" customWidth="1"/>
    <col min="10008" max="10240" width="9.1796875" style="580"/>
    <col min="10241" max="10241" width="8.81640625" style="580" customWidth="1"/>
    <col min="10242" max="10242" width="60.26953125" style="580" customWidth="1"/>
    <col min="10243" max="10245" width="0" style="580" hidden="1" customWidth="1"/>
    <col min="10246" max="10246" width="11.54296875" style="580" customWidth="1"/>
    <col min="10247" max="10247" width="10.26953125" style="580" customWidth="1"/>
    <col min="10248" max="10248" width="10.453125" style="580" customWidth="1"/>
    <col min="10249" max="10249" width="22.1796875" style="580" customWidth="1"/>
    <col min="10250" max="10252" width="0" style="580" hidden="1" customWidth="1"/>
    <col min="10253" max="10263" width="9.1796875" style="580" customWidth="1"/>
    <col min="10264" max="10496" width="9.1796875" style="580"/>
    <col min="10497" max="10497" width="8.81640625" style="580" customWidth="1"/>
    <col min="10498" max="10498" width="60.26953125" style="580" customWidth="1"/>
    <col min="10499" max="10501" width="0" style="580" hidden="1" customWidth="1"/>
    <col min="10502" max="10502" width="11.54296875" style="580" customWidth="1"/>
    <col min="10503" max="10503" width="10.26953125" style="580" customWidth="1"/>
    <col min="10504" max="10504" width="10.453125" style="580" customWidth="1"/>
    <col min="10505" max="10505" width="22.1796875" style="580" customWidth="1"/>
    <col min="10506" max="10508" width="0" style="580" hidden="1" customWidth="1"/>
    <col min="10509" max="10519" width="9.1796875" style="580" customWidth="1"/>
    <col min="10520" max="10752" width="9.1796875" style="580"/>
    <col min="10753" max="10753" width="8.81640625" style="580" customWidth="1"/>
    <col min="10754" max="10754" width="60.26953125" style="580" customWidth="1"/>
    <col min="10755" max="10757" width="0" style="580" hidden="1" customWidth="1"/>
    <col min="10758" max="10758" width="11.54296875" style="580" customWidth="1"/>
    <col min="10759" max="10759" width="10.26953125" style="580" customWidth="1"/>
    <col min="10760" max="10760" width="10.453125" style="580" customWidth="1"/>
    <col min="10761" max="10761" width="22.1796875" style="580" customWidth="1"/>
    <col min="10762" max="10764" width="0" style="580" hidden="1" customWidth="1"/>
    <col min="10765" max="10775" width="9.1796875" style="580" customWidth="1"/>
    <col min="10776" max="11008" width="9.1796875" style="580"/>
    <col min="11009" max="11009" width="8.81640625" style="580" customWidth="1"/>
    <col min="11010" max="11010" width="60.26953125" style="580" customWidth="1"/>
    <col min="11011" max="11013" width="0" style="580" hidden="1" customWidth="1"/>
    <col min="11014" max="11014" width="11.54296875" style="580" customWidth="1"/>
    <col min="11015" max="11015" width="10.26953125" style="580" customWidth="1"/>
    <col min="11016" max="11016" width="10.453125" style="580" customWidth="1"/>
    <col min="11017" max="11017" width="22.1796875" style="580" customWidth="1"/>
    <col min="11018" max="11020" width="0" style="580" hidden="1" customWidth="1"/>
    <col min="11021" max="11031" width="9.1796875" style="580" customWidth="1"/>
    <col min="11032" max="11264" width="9.1796875" style="580"/>
    <col min="11265" max="11265" width="8.81640625" style="580" customWidth="1"/>
    <col min="11266" max="11266" width="60.26953125" style="580" customWidth="1"/>
    <col min="11267" max="11269" width="0" style="580" hidden="1" customWidth="1"/>
    <col min="11270" max="11270" width="11.54296875" style="580" customWidth="1"/>
    <col min="11271" max="11271" width="10.26953125" style="580" customWidth="1"/>
    <col min="11272" max="11272" width="10.453125" style="580" customWidth="1"/>
    <col min="11273" max="11273" width="22.1796875" style="580" customWidth="1"/>
    <col min="11274" max="11276" width="0" style="580" hidden="1" customWidth="1"/>
    <col min="11277" max="11287" width="9.1796875" style="580" customWidth="1"/>
    <col min="11288" max="11520" width="9.1796875" style="580"/>
    <col min="11521" max="11521" width="8.81640625" style="580" customWidth="1"/>
    <col min="11522" max="11522" width="60.26953125" style="580" customWidth="1"/>
    <col min="11523" max="11525" width="0" style="580" hidden="1" customWidth="1"/>
    <col min="11526" max="11526" width="11.54296875" style="580" customWidth="1"/>
    <col min="11527" max="11527" width="10.26953125" style="580" customWidth="1"/>
    <col min="11528" max="11528" width="10.453125" style="580" customWidth="1"/>
    <col min="11529" max="11529" width="22.1796875" style="580" customWidth="1"/>
    <col min="11530" max="11532" width="0" style="580" hidden="1" customWidth="1"/>
    <col min="11533" max="11543" width="9.1796875" style="580" customWidth="1"/>
    <col min="11544" max="11776" width="9.1796875" style="580"/>
    <col min="11777" max="11777" width="8.81640625" style="580" customWidth="1"/>
    <col min="11778" max="11778" width="60.26953125" style="580" customWidth="1"/>
    <col min="11779" max="11781" width="0" style="580" hidden="1" customWidth="1"/>
    <col min="11782" max="11782" width="11.54296875" style="580" customWidth="1"/>
    <col min="11783" max="11783" width="10.26953125" style="580" customWidth="1"/>
    <col min="11784" max="11784" width="10.453125" style="580" customWidth="1"/>
    <col min="11785" max="11785" width="22.1796875" style="580" customWidth="1"/>
    <col min="11786" max="11788" width="0" style="580" hidden="1" customWidth="1"/>
    <col min="11789" max="11799" width="9.1796875" style="580" customWidth="1"/>
    <col min="11800" max="12032" width="9.1796875" style="580"/>
    <col min="12033" max="12033" width="8.81640625" style="580" customWidth="1"/>
    <col min="12034" max="12034" width="60.26953125" style="580" customWidth="1"/>
    <col min="12035" max="12037" width="0" style="580" hidden="1" customWidth="1"/>
    <col min="12038" max="12038" width="11.54296875" style="580" customWidth="1"/>
    <col min="12039" max="12039" width="10.26953125" style="580" customWidth="1"/>
    <col min="12040" max="12040" width="10.453125" style="580" customWidth="1"/>
    <col min="12041" max="12041" width="22.1796875" style="580" customWidth="1"/>
    <col min="12042" max="12044" width="0" style="580" hidden="1" customWidth="1"/>
    <col min="12045" max="12055" width="9.1796875" style="580" customWidth="1"/>
    <col min="12056" max="12288" width="9.1796875" style="580"/>
    <col min="12289" max="12289" width="8.81640625" style="580" customWidth="1"/>
    <col min="12290" max="12290" width="60.26953125" style="580" customWidth="1"/>
    <col min="12291" max="12293" width="0" style="580" hidden="1" customWidth="1"/>
    <col min="12294" max="12294" width="11.54296875" style="580" customWidth="1"/>
    <col min="12295" max="12295" width="10.26953125" style="580" customWidth="1"/>
    <col min="12296" max="12296" width="10.453125" style="580" customWidth="1"/>
    <col min="12297" max="12297" width="22.1796875" style="580" customWidth="1"/>
    <col min="12298" max="12300" width="0" style="580" hidden="1" customWidth="1"/>
    <col min="12301" max="12311" width="9.1796875" style="580" customWidth="1"/>
    <col min="12312" max="12544" width="9.1796875" style="580"/>
    <col min="12545" max="12545" width="8.81640625" style="580" customWidth="1"/>
    <col min="12546" max="12546" width="60.26953125" style="580" customWidth="1"/>
    <col min="12547" max="12549" width="0" style="580" hidden="1" customWidth="1"/>
    <col min="12550" max="12550" width="11.54296875" style="580" customWidth="1"/>
    <col min="12551" max="12551" width="10.26953125" style="580" customWidth="1"/>
    <col min="12552" max="12552" width="10.453125" style="580" customWidth="1"/>
    <col min="12553" max="12553" width="22.1796875" style="580" customWidth="1"/>
    <col min="12554" max="12556" width="0" style="580" hidden="1" customWidth="1"/>
    <col min="12557" max="12567" width="9.1796875" style="580" customWidth="1"/>
    <col min="12568" max="12800" width="9.1796875" style="580"/>
    <col min="12801" max="12801" width="8.81640625" style="580" customWidth="1"/>
    <col min="12802" max="12802" width="60.26953125" style="580" customWidth="1"/>
    <col min="12803" max="12805" width="0" style="580" hidden="1" customWidth="1"/>
    <col min="12806" max="12806" width="11.54296875" style="580" customWidth="1"/>
    <col min="12807" max="12807" width="10.26953125" style="580" customWidth="1"/>
    <col min="12808" max="12808" width="10.453125" style="580" customWidth="1"/>
    <col min="12809" max="12809" width="22.1796875" style="580" customWidth="1"/>
    <col min="12810" max="12812" width="0" style="580" hidden="1" customWidth="1"/>
    <col min="12813" max="12823" width="9.1796875" style="580" customWidth="1"/>
    <col min="12824" max="13056" width="9.1796875" style="580"/>
    <col min="13057" max="13057" width="8.81640625" style="580" customWidth="1"/>
    <col min="13058" max="13058" width="60.26953125" style="580" customWidth="1"/>
    <col min="13059" max="13061" width="0" style="580" hidden="1" customWidth="1"/>
    <col min="13062" max="13062" width="11.54296875" style="580" customWidth="1"/>
    <col min="13063" max="13063" width="10.26953125" style="580" customWidth="1"/>
    <col min="13064" max="13064" width="10.453125" style="580" customWidth="1"/>
    <col min="13065" max="13065" width="22.1796875" style="580" customWidth="1"/>
    <col min="13066" max="13068" width="0" style="580" hidden="1" customWidth="1"/>
    <col min="13069" max="13079" width="9.1796875" style="580" customWidth="1"/>
    <col min="13080" max="13312" width="9.1796875" style="580"/>
    <col min="13313" max="13313" width="8.81640625" style="580" customWidth="1"/>
    <col min="13314" max="13314" width="60.26953125" style="580" customWidth="1"/>
    <col min="13315" max="13317" width="0" style="580" hidden="1" customWidth="1"/>
    <col min="13318" max="13318" width="11.54296875" style="580" customWidth="1"/>
    <col min="13319" max="13319" width="10.26953125" style="580" customWidth="1"/>
    <col min="13320" max="13320" width="10.453125" style="580" customWidth="1"/>
    <col min="13321" max="13321" width="22.1796875" style="580" customWidth="1"/>
    <col min="13322" max="13324" width="0" style="580" hidden="1" customWidth="1"/>
    <col min="13325" max="13335" width="9.1796875" style="580" customWidth="1"/>
    <col min="13336" max="13568" width="9.1796875" style="580"/>
    <col min="13569" max="13569" width="8.81640625" style="580" customWidth="1"/>
    <col min="13570" max="13570" width="60.26953125" style="580" customWidth="1"/>
    <col min="13571" max="13573" width="0" style="580" hidden="1" customWidth="1"/>
    <col min="13574" max="13574" width="11.54296875" style="580" customWidth="1"/>
    <col min="13575" max="13575" width="10.26953125" style="580" customWidth="1"/>
    <col min="13576" max="13576" width="10.453125" style="580" customWidth="1"/>
    <col min="13577" max="13577" width="22.1796875" style="580" customWidth="1"/>
    <col min="13578" max="13580" width="0" style="580" hidden="1" customWidth="1"/>
    <col min="13581" max="13591" width="9.1796875" style="580" customWidth="1"/>
    <col min="13592" max="13824" width="9.1796875" style="580"/>
    <col min="13825" max="13825" width="8.81640625" style="580" customWidth="1"/>
    <col min="13826" max="13826" width="60.26953125" style="580" customWidth="1"/>
    <col min="13827" max="13829" width="0" style="580" hidden="1" customWidth="1"/>
    <col min="13830" max="13830" width="11.54296875" style="580" customWidth="1"/>
    <col min="13831" max="13831" width="10.26953125" style="580" customWidth="1"/>
    <col min="13832" max="13832" width="10.453125" style="580" customWidth="1"/>
    <col min="13833" max="13833" width="22.1796875" style="580" customWidth="1"/>
    <col min="13834" max="13836" width="0" style="580" hidden="1" customWidth="1"/>
    <col min="13837" max="13847" width="9.1796875" style="580" customWidth="1"/>
    <col min="13848" max="14080" width="9.1796875" style="580"/>
    <col min="14081" max="14081" width="8.81640625" style="580" customWidth="1"/>
    <col min="14082" max="14082" width="60.26953125" style="580" customWidth="1"/>
    <col min="14083" max="14085" width="0" style="580" hidden="1" customWidth="1"/>
    <col min="14086" max="14086" width="11.54296875" style="580" customWidth="1"/>
    <col min="14087" max="14087" width="10.26953125" style="580" customWidth="1"/>
    <col min="14088" max="14088" width="10.453125" style="580" customWidth="1"/>
    <col min="14089" max="14089" width="22.1796875" style="580" customWidth="1"/>
    <col min="14090" max="14092" width="0" style="580" hidden="1" customWidth="1"/>
    <col min="14093" max="14103" width="9.1796875" style="580" customWidth="1"/>
    <col min="14104" max="14336" width="9.1796875" style="580"/>
    <col min="14337" max="14337" width="8.81640625" style="580" customWidth="1"/>
    <col min="14338" max="14338" width="60.26953125" style="580" customWidth="1"/>
    <col min="14339" max="14341" width="0" style="580" hidden="1" customWidth="1"/>
    <col min="14342" max="14342" width="11.54296875" style="580" customWidth="1"/>
    <col min="14343" max="14343" width="10.26953125" style="580" customWidth="1"/>
    <col min="14344" max="14344" width="10.453125" style="580" customWidth="1"/>
    <col min="14345" max="14345" width="22.1796875" style="580" customWidth="1"/>
    <col min="14346" max="14348" width="0" style="580" hidden="1" customWidth="1"/>
    <col min="14349" max="14359" width="9.1796875" style="580" customWidth="1"/>
    <col min="14360" max="14592" width="9.1796875" style="580"/>
    <col min="14593" max="14593" width="8.81640625" style="580" customWidth="1"/>
    <col min="14594" max="14594" width="60.26953125" style="580" customWidth="1"/>
    <col min="14595" max="14597" width="0" style="580" hidden="1" customWidth="1"/>
    <col min="14598" max="14598" width="11.54296875" style="580" customWidth="1"/>
    <col min="14599" max="14599" width="10.26953125" style="580" customWidth="1"/>
    <col min="14600" max="14600" width="10.453125" style="580" customWidth="1"/>
    <col min="14601" max="14601" width="22.1796875" style="580" customWidth="1"/>
    <col min="14602" max="14604" width="0" style="580" hidden="1" customWidth="1"/>
    <col min="14605" max="14615" width="9.1796875" style="580" customWidth="1"/>
    <col min="14616" max="14848" width="9.1796875" style="580"/>
    <col min="14849" max="14849" width="8.81640625" style="580" customWidth="1"/>
    <col min="14850" max="14850" width="60.26953125" style="580" customWidth="1"/>
    <col min="14851" max="14853" width="0" style="580" hidden="1" customWidth="1"/>
    <col min="14854" max="14854" width="11.54296875" style="580" customWidth="1"/>
    <col min="14855" max="14855" width="10.26953125" style="580" customWidth="1"/>
    <col min="14856" max="14856" width="10.453125" style="580" customWidth="1"/>
    <col min="14857" max="14857" width="22.1796875" style="580" customWidth="1"/>
    <col min="14858" max="14860" width="0" style="580" hidden="1" customWidth="1"/>
    <col min="14861" max="14871" width="9.1796875" style="580" customWidth="1"/>
    <col min="14872" max="15104" width="9.1796875" style="580"/>
    <col min="15105" max="15105" width="8.81640625" style="580" customWidth="1"/>
    <col min="15106" max="15106" width="60.26953125" style="580" customWidth="1"/>
    <col min="15107" max="15109" width="0" style="580" hidden="1" customWidth="1"/>
    <col min="15110" max="15110" width="11.54296875" style="580" customWidth="1"/>
    <col min="15111" max="15111" width="10.26953125" style="580" customWidth="1"/>
    <col min="15112" max="15112" width="10.453125" style="580" customWidth="1"/>
    <col min="15113" max="15113" width="22.1796875" style="580" customWidth="1"/>
    <col min="15114" max="15116" width="0" style="580" hidden="1" customWidth="1"/>
    <col min="15117" max="15127" width="9.1796875" style="580" customWidth="1"/>
    <col min="15128" max="15360" width="9.1796875" style="580"/>
    <col min="15361" max="15361" width="8.81640625" style="580" customWidth="1"/>
    <col min="15362" max="15362" width="60.26953125" style="580" customWidth="1"/>
    <col min="15363" max="15365" width="0" style="580" hidden="1" customWidth="1"/>
    <col min="15366" max="15366" width="11.54296875" style="580" customWidth="1"/>
    <col min="15367" max="15367" width="10.26953125" style="580" customWidth="1"/>
    <col min="15368" max="15368" width="10.453125" style="580" customWidth="1"/>
    <col min="15369" max="15369" width="22.1796875" style="580" customWidth="1"/>
    <col min="15370" max="15372" width="0" style="580" hidden="1" customWidth="1"/>
    <col min="15373" max="15383" width="9.1796875" style="580" customWidth="1"/>
    <col min="15384" max="15616" width="9.1796875" style="580"/>
    <col min="15617" max="15617" width="8.81640625" style="580" customWidth="1"/>
    <col min="15618" max="15618" width="60.26953125" style="580" customWidth="1"/>
    <col min="15619" max="15621" width="0" style="580" hidden="1" customWidth="1"/>
    <col min="15622" max="15622" width="11.54296875" style="580" customWidth="1"/>
    <col min="15623" max="15623" width="10.26953125" style="580" customWidth="1"/>
    <col min="15624" max="15624" width="10.453125" style="580" customWidth="1"/>
    <col min="15625" max="15625" width="22.1796875" style="580" customWidth="1"/>
    <col min="15626" max="15628" width="0" style="580" hidden="1" customWidth="1"/>
    <col min="15629" max="15639" width="9.1796875" style="580" customWidth="1"/>
    <col min="15640" max="15872" width="9.1796875" style="580"/>
    <col min="15873" max="15873" width="8.81640625" style="580" customWidth="1"/>
    <col min="15874" max="15874" width="60.26953125" style="580" customWidth="1"/>
    <col min="15875" max="15877" width="0" style="580" hidden="1" customWidth="1"/>
    <col min="15878" max="15878" width="11.54296875" style="580" customWidth="1"/>
    <col min="15879" max="15879" width="10.26953125" style="580" customWidth="1"/>
    <col min="15880" max="15880" width="10.453125" style="580" customWidth="1"/>
    <col min="15881" max="15881" width="22.1796875" style="580" customWidth="1"/>
    <col min="15882" max="15884" width="0" style="580" hidden="1" customWidth="1"/>
    <col min="15885" max="15895" width="9.1796875" style="580" customWidth="1"/>
    <col min="15896" max="16128" width="9.1796875" style="580"/>
    <col min="16129" max="16129" width="8.81640625" style="580" customWidth="1"/>
    <col min="16130" max="16130" width="60.26953125" style="580" customWidth="1"/>
    <col min="16131" max="16133" width="0" style="580" hidden="1" customWidth="1"/>
    <col min="16134" max="16134" width="11.54296875" style="580" customWidth="1"/>
    <col min="16135" max="16135" width="10.26953125" style="580" customWidth="1"/>
    <col min="16136" max="16136" width="10.453125" style="580" customWidth="1"/>
    <col min="16137" max="16137" width="22.1796875" style="580" customWidth="1"/>
    <col min="16138" max="16140" width="0" style="580" hidden="1" customWidth="1"/>
    <col min="16141" max="16151" width="9.1796875" style="580" customWidth="1"/>
    <col min="16152" max="16384" width="9.1796875" style="580"/>
  </cols>
  <sheetData>
    <row r="1" spans="9:9" ht="15.5" hidden="1" x14ac:dyDescent="0.35">
      <c r="I1" s="604" t="s">
        <v>813</v>
      </c>
    </row>
    <row r="2" spans="9:9" ht="15.5" hidden="1" x14ac:dyDescent="0.35">
      <c r="I2" s="604" t="s">
        <v>797</v>
      </c>
    </row>
    <row r="3" spans="9:9" ht="15.5" hidden="1" x14ac:dyDescent="0.35">
      <c r="I3" s="604" t="s">
        <v>449</v>
      </c>
    </row>
    <row r="4" spans="9:9" ht="15.5" hidden="1" x14ac:dyDescent="0.35">
      <c r="I4" s="604" t="s">
        <v>814</v>
      </c>
    </row>
    <row r="5" spans="9:9" ht="15.5" hidden="1" x14ac:dyDescent="0.35">
      <c r="I5" s="254" t="s">
        <v>815</v>
      </c>
    </row>
    <row r="6" spans="9:9" hidden="1" x14ac:dyDescent="0.25"/>
    <row r="7" spans="9:9" ht="15.5" hidden="1" x14ac:dyDescent="0.35">
      <c r="I7" s="445" t="s">
        <v>816</v>
      </c>
    </row>
    <row r="8" spans="9:9" ht="15.5" hidden="1" x14ac:dyDescent="0.35">
      <c r="I8" s="445" t="s">
        <v>450</v>
      </c>
    </row>
    <row r="9" spans="9:9" ht="15.5" hidden="1" x14ac:dyDescent="0.35">
      <c r="I9" s="445" t="s">
        <v>626</v>
      </c>
    </row>
    <row r="10" spans="9:9" ht="15.5" hidden="1" x14ac:dyDescent="0.35">
      <c r="I10" s="445" t="s">
        <v>448</v>
      </c>
    </row>
    <row r="11" spans="9:9" ht="15.5" hidden="1" x14ac:dyDescent="0.25">
      <c r="I11" s="546" t="s">
        <v>817</v>
      </c>
    </row>
    <row r="12" spans="9:9" hidden="1" x14ac:dyDescent="0.25">
      <c r="I12" s="605"/>
    </row>
    <row r="13" spans="9:9" ht="15.5" hidden="1" x14ac:dyDescent="0.25">
      <c r="I13" s="546" t="s">
        <v>446</v>
      </c>
    </row>
    <row r="14" spans="9:9" ht="13" hidden="1" x14ac:dyDescent="0.25">
      <c r="I14" s="558"/>
    </row>
    <row r="15" spans="9:9" ht="15.5" hidden="1" x14ac:dyDescent="0.25">
      <c r="I15" s="546" t="s">
        <v>445</v>
      </c>
    </row>
    <row r="16" spans="9:9" ht="15.5" hidden="1" x14ac:dyDescent="0.25">
      <c r="I16" s="546"/>
    </row>
    <row r="17" spans="1:17" ht="15.5" x14ac:dyDescent="0.35">
      <c r="B17" s="3443" t="s">
        <v>616</v>
      </c>
      <c r="C17" s="3443"/>
      <c r="D17" s="3443"/>
      <c r="E17" s="3443"/>
      <c r="F17" s="3443"/>
      <c r="G17" s="3443"/>
      <c r="H17" s="3443"/>
      <c r="I17" s="3443"/>
      <c r="J17" s="3443"/>
      <c r="K17" s="3443"/>
      <c r="L17" s="3443"/>
      <c r="M17" s="3443"/>
      <c r="N17" s="607"/>
      <c r="O17" s="607"/>
      <c r="P17" s="607"/>
      <c r="Q17" s="607"/>
    </row>
    <row r="18" spans="1:17" ht="15.5" x14ac:dyDescent="0.35">
      <c r="B18" s="3443" t="s">
        <v>450</v>
      </c>
      <c r="C18" s="3443"/>
      <c r="D18" s="3443"/>
      <c r="E18" s="3443"/>
      <c r="F18" s="3443"/>
      <c r="G18" s="3443"/>
      <c r="H18" s="3443"/>
      <c r="I18" s="3443"/>
      <c r="J18" s="3443"/>
      <c r="K18" s="3443"/>
      <c r="L18" s="3443"/>
      <c r="M18" s="3443"/>
      <c r="O18" s="607"/>
      <c r="P18" s="607"/>
      <c r="Q18" s="607"/>
    </row>
    <row r="19" spans="1:17" ht="15.5" x14ac:dyDescent="0.35">
      <c r="B19" s="3443" t="s">
        <v>449</v>
      </c>
      <c r="C19" s="3443"/>
      <c r="D19" s="3443"/>
      <c r="E19" s="3443"/>
      <c r="F19" s="3443"/>
      <c r="G19" s="3443"/>
      <c r="H19" s="3443"/>
      <c r="I19" s="3443"/>
      <c r="J19" s="3443"/>
      <c r="K19" s="3443"/>
      <c r="L19" s="3443"/>
      <c r="M19" s="3443"/>
      <c r="N19" s="607"/>
      <c r="O19" s="607"/>
      <c r="P19" s="607"/>
      <c r="Q19" s="607"/>
    </row>
    <row r="20" spans="1:17" ht="15.5" x14ac:dyDescent="0.35">
      <c r="B20" s="3443" t="s">
        <v>448</v>
      </c>
      <c r="C20" s="3443"/>
      <c r="D20" s="3443"/>
      <c r="E20" s="3443"/>
      <c r="F20" s="3443"/>
      <c r="G20" s="3443"/>
      <c r="H20" s="3443"/>
      <c r="I20" s="3443"/>
      <c r="J20" s="3443"/>
      <c r="K20" s="3443"/>
      <c r="L20" s="3443"/>
      <c r="M20" s="3443"/>
      <c r="N20" s="607"/>
      <c r="O20" s="607"/>
      <c r="P20" s="607"/>
      <c r="Q20" s="607"/>
    </row>
    <row r="21" spans="1:17" ht="15.5" x14ac:dyDescent="0.25">
      <c r="B21" s="1771"/>
      <c r="C21" s="1771"/>
      <c r="D21" s="1771"/>
      <c r="E21" s="1771"/>
      <c r="F21" s="1771"/>
      <c r="G21" s="1771"/>
      <c r="H21" s="3164" t="s">
        <v>991</v>
      </c>
      <c r="I21" s="3164"/>
      <c r="J21" s="3164"/>
      <c r="K21" s="3164"/>
      <c r="L21" s="3164"/>
      <c r="M21" s="3164"/>
      <c r="N21" s="609"/>
      <c r="P21" s="610"/>
      <c r="Q21" s="610"/>
    </row>
    <row r="22" spans="1:17" ht="15.5" x14ac:dyDescent="0.35">
      <c r="L22" s="611"/>
      <c r="M22" s="444"/>
      <c r="N22" s="251"/>
      <c r="O22" s="251"/>
      <c r="P22" s="251"/>
      <c r="Q22" s="251"/>
    </row>
    <row r="23" spans="1:17" ht="15.5" hidden="1" x14ac:dyDescent="0.35">
      <c r="B23" s="3212" t="s">
        <v>446</v>
      </c>
      <c r="C23" s="3212"/>
      <c r="D23" s="3212"/>
      <c r="E23" s="3212"/>
      <c r="F23" s="3212"/>
      <c r="G23" s="3212"/>
      <c r="H23" s="3212"/>
      <c r="I23" s="3212"/>
      <c r="J23" s="3212"/>
      <c r="K23" s="3212"/>
      <c r="L23" s="3212"/>
      <c r="M23" s="3212"/>
      <c r="N23" s="251"/>
      <c r="O23" s="251"/>
      <c r="P23" s="251"/>
      <c r="Q23" s="251"/>
    </row>
    <row r="24" spans="1:17" ht="15.5" hidden="1" x14ac:dyDescent="0.35">
      <c r="E24" s="254"/>
      <c r="F24" s="254"/>
      <c r="G24" s="254"/>
      <c r="H24" s="254"/>
      <c r="I24" s="384"/>
      <c r="L24" s="611"/>
      <c r="M24" s="444"/>
      <c r="O24" s="251"/>
      <c r="P24" s="251"/>
    </row>
    <row r="25" spans="1:17" ht="15.5" hidden="1" x14ac:dyDescent="0.35">
      <c r="B25" s="3212" t="s">
        <v>848</v>
      </c>
      <c r="C25" s="3212"/>
      <c r="D25" s="3212"/>
      <c r="E25" s="3212"/>
      <c r="F25" s="3212"/>
      <c r="G25" s="3212"/>
      <c r="H25" s="3212"/>
      <c r="I25" s="3212"/>
      <c r="J25" s="3212"/>
      <c r="K25" s="3212"/>
      <c r="L25" s="3212"/>
      <c r="M25" s="3212"/>
      <c r="N25" s="251"/>
      <c r="O25" s="251"/>
      <c r="P25" s="251"/>
      <c r="Q25" s="251"/>
    </row>
    <row r="26" spans="1:17" ht="15.5" hidden="1" x14ac:dyDescent="0.35">
      <c r="B26" s="612"/>
      <c r="C26" s="613"/>
      <c r="D26" s="614"/>
      <c r="E26" s="614"/>
      <c r="F26" s="247"/>
      <c r="G26" s="247"/>
      <c r="H26" s="247"/>
      <c r="I26" s="382">
        <v>69983.100000000006</v>
      </c>
      <c r="J26" s="615" t="s">
        <v>444</v>
      </c>
      <c r="K26" s="616">
        <v>72195.899999999994</v>
      </c>
      <c r="L26" s="617">
        <v>73707.5</v>
      </c>
      <c r="M26" s="444"/>
      <c r="N26" s="251"/>
      <c r="O26" s="251"/>
      <c r="P26" s="251"/>
    </row>
    <row r="27" spans="1:17" ht="13" hidden="1" x14ac:dyDescent="0.3">
      <c r="B27" s="612"/>
      <c r="C27" s="613"/>
      <c r="D27" s="614"/>
      <c r="E27" s="614"/>
      <c r="F27" s="247"/>
      <c r="G27" s="248" t="s">
        <v>442</v>
      </c>
      <c r="H27" s="247"/>
      <c r="I27" s="380" t="e">
        <f>I26-#REF!</f>
        <v>#REF!</v>
      </c>
      <c r="J27" s="615" t="s">
        <v>443</v>
      </c>
      <c r="K27" s="616">
        <v>1804.9</v>
      </c>
      <c r="L27" s="618">
        <v>3685.4</v>
      </c>
    </row>
    <row r="28" spans="1:17" ht="15.5" hidden="1" x14ac:dyDescent="0.3">
      <c r="B28" s="3446"/>
      <c r="C28" s="3446"/>
      <c r="D28" s="3446"/>
      <c r="E28" s="3446"/>
      <c r="F28" s="3446"/>
      <c r="G28" s="3446"/>
      <c r="H28" s="3446"/>
      <c r="I28" s="3446"/>
      <c r="J28" s="619" t="s">
        <v>442</v>
      </c>
      <c r="K28" s="620" t="e">
        <f>K26-K27-#REF!</f>
        <v>#REF!</v>
      </c>
      <c r="L28" s="621" t="e">
        <f>L26-L27-#REF!</f>
        <v>#REF!</v>
      </c>
    </row>
    <row r="29" spans="1:17" ht="15.65" hidden="1" customHeight="1" x14ac:dyDescent="0.3">
      <c r="A29" s="622"/>
      <c r="B29" s="623"/>
      <c r="C29" s="623"/>
      <c r="D29" s="623"/>
      <c r="E29" s="623"/>
      <c r="F29" s="623"/>
      <c r="G29" s="624"/>
      <c r="H29" s="623"/>
      <c r="I29" s="623"/>
      <c r="J29" s="623"/>
      <c r="K29" s="623"/>
      <c r="L29" s="623"/>
    </row>
    <row r="30" spans="1:17" ht="16.5" x14ac:dyDescent="0.35">
      <c r="B30" s="706"/>
    </row>
    <row r="31" spans="1:17" ht="15" x14ac:dyDescent="0.3">
      <c r="A31" s="2192" t="s">
        <v>868</v>
      </c>
      <c r="B31" s="2192"/>
      <c r="C31" s="2192"/>
      <c r="D31" s="2192"/>
      <c r="E31" s="2192"/>
      <c r="F31" s="2192"/>
      <c r="G31" s="2192"/>
      <c r="H31" s="2192"/>
      <c r="I31" s="2192"/>
      <c r="J31" s="2192"/>
      <c r="N31" s="608" t="s">
        <v>106</v>
      </c>
    </row>
    <row r="32" spans="1:17" ht="15" x14ac:dyDescent="0.3">
      <c r="A32" s="2192" t="s">
        <v>869</v>
      </c>
      <c r="B32" s="2192"/>
      <c r="C32" s="2192"/>
      <c r="D32" s="2192"/>
      <c r="E32" s="2192"/>
      <c r="F32" s="2192"/>
      <c r="G32" s="2192"/>
      <c r="H32" s="2192"/>
      <c r="I32" s="2192"/>
      <c r="J32" s="2192"/>
    </row>
    <row r="33" spans="1:10" ht="15" x14ac:dyDescent="0.3">
      <c r="A33" s="2192" t="s">
        <v>1089</v>
      </c>
      <c r="B33" s="2192"/>
      <c r="C33" s="2192"/>
      <c r="D33" s="2192"/>
      <c r="E33" s="2192"/>
      <c r="F33" s="2192"/>
      <c r="G33" s="2192"/>
      <c r="H33" s="2192"/>
      <c r="I33" s="2192"/>
      <c r="J33" s="2192"/>
    </row>
    <row r="34" spans="1:10" ht="15.5" hidden="1" x14ac:dyDescent="0.35">
      <c r="B34" s="625"/>
      <c r="C34" s="626"/>
      <c r="D34" s="627"/>
      <c r="E34" s="627"/>
      <c r="F34" s="234"/>
      <c r="G34" s="234"/>
      <c r="H34" s="234"/>
      <c r="I34" s="234"/>
      <c r="J34" s="374" t="s">
        <v>437</v>
      </c>
    </row>
    <row r="35" spans="1:10" ht="65" hidden="1" x14ac:dyDescent="0.25">
      <c r="B35" s="628" t="s">
        <v>322</v>
      </c>
      <c r="C35" s="629" t="s">
        <v>436</v>
      </c>
      <c r="D35" s="629" t="s">
        <v>435</v>
      </c>
      <c r="E35" s="629" t="s">
        <v>434</v>
      </c>
      <c r="F35" s="94" t="s">
        <v>321</v>
      </c>
      <c r="G35" s="94" t="s">
        <v>320</v>
      </c>
      <c r="H35" s="94"/>
      <c r="I35" s="94" t="s">
        <v>433</v>
      </c>
      <c r="J35" s="630" t="s">
        <v>319</v>
      </c>
    </row>
    <row r="36" spans="1:10" ht="15" hidden="1" x14ac:dyDescent="0.3">
      <c r="A36" s="634"/>
      <c r="B36" s="631" t="s">
        <v>432</v>
      </c>
      <c r="C36" s="632" t="s">
        <v>71</v>
      </c>
      <c r="D36" s="632" t="s">
        <v>71</v>
      </c>
      <c r="E36" s="632" t="s">
        <v>71</v>
      </c>
      <c r="F36" s="228" t="s">
        <v>71</v>
      </c>
      <c r="G36" s="228" t="s">
        <v>71</v>
      </c>
      <c r="H36" s="228"/>
      <c r="I36" s="228" t="s">
        <v>71</v>
      </c>
      <c r="J36" s="633">
        <f>J37+J80+J85+J99+J121+J160+J168+J182+J189</f>
        <v>69983.100000000006</v>
      </c>
    </row>
    <row r="37" spans="1:10" ht="14" hidden="1" x14ac:dyDescent="0.3">
      <c r="A37" s="634"/>
      <c r="B37" s="635" t="s">
        <v>431</v>
      </c>
      <c r="C37" s="566" t="s">
        <v>430</v>
      </c>
      <c r="D37" s="636" t="s">
        <v>69</v>
      </c>
      <c r="E37" s="636"/>
      <c r="F37" s="225"/>
      <c r="G37" s="225"/>
      <c r="H37" s="225"/>
      <c r="I37" s="225"/>
      <c r="J37" s="637">
        <f>J41+J46+J64+J71+J76</f>
        <v>16206.808000000001</v>
      </c>
    </row>
    <row r="38" spans="1:10" ht="26" hidden="1" x14ac:dyDescent="0.3">
      <c r="A38" s="634"/>
      <c r="B38" s="638" t="s">
        <v>429</v>
      </c>
      <c r="C38" s="639"/>
      <c r="D38" s="89" t="s">
        <v>69</v>
      </c>
      <c r="E38" s="89" t="s">
        <v>427</v>
      </c>
      <c r="F38" s="113"/>
      <c r="G38" s="118"/>
      <c r="H38" s="118"/>
      <c r="I38" s="89" t="s">
        <v>427</v>
      </c>
      <c r="J38" s="640"/>
    </row>
    <row r="39" spans="1:10" ht="39" hidden="1" x14ac:dyDescent="0.3">
      <c r="A39" s="634"/>
      <c r="B39" s="638" t="s">
        <v>126</v>
      </c>
      <c r="C39" s="639"/>
      <c r="D39" s="641" t="s">
        <v>69</v>
      </c>
      <c r="E39" s="641" t="s">
        <v>427</v>
      </c>
      <c r="F39" s="113">
        <v>9100000</v>
      </c>
      <c r="G39" s="118"/>
      <c r="H39" s="118"/>
      <c r="I39" s="89" t="s">
        <v>427</v>
      </c>
      <c r="J39" s="640"/>
    </row>
    <row r="40" spans="1:10" ht="13" hidden="1" x14ac:dyDescent="0.3">
      <c r="A40" s="634"/>
      <c r="B40" s="642" t="s">
        <v>428</v>
      </c>
      <c r="C40" s="639"/>
      <c r="D40" s="643" t="s">
        <v>69</v>
      </c>
      <c r="E40" s="643" t="s">
        <v>427</v>
      </c>
      <c r="F40" s="112">
        <v>9100003</v>
      </c>
      <c r="G40" s="118"/>
      <c r="H40" s="118"/>
      <c r="I40" s="33" t="s">
        <v>427</v>
      </c>
      <c r="J40" s="640"/>
    </row>
    <row r="41" spans="1:10" ht="39" hidden="1" x14ac:dyDescent="0.3">
      <c r="A41" s="634"/>
      <c r="B41" s="638" t="s">
        <v>114</v>
      </c>
      <c r="C41" s="639"/>
      <c r="D41" s="89" t="s">
        <v>69</v>
      </c>
      <c r="E41" s="89" t="s">
        <v>112</v>
      </c>
      <c r="F41" s="112"/>
      <c r="G41" s="118"/>
      <c r="H41" s="118"/>
      <c r="I41" s="89" t="s">
        <v>112</v>
      </c>
      <c r="J41" s="644">
        <f>J42</f>
        <v>2155.7860000000001</v>
      </c>
    </row>
    <row r="42" spans="1:10" ht="39" hidden="1" x14ac:dyDescent="0.3">
      <c r="A42" s="634"/>
      <c r="B42" s="215" t="s">
        <v>126</v>
      </c>
      <c r="C42" s="639"/>
      <c r="D42" s="641" t="s">
        <v>69</v>
      </c>
      <c r="E42" s="89" t="s">
        <v>112</v>
      </c>
      <c r="F42" s="113">
        <v>9100000</v>
      </c>
      <c r="G42" s="118"/>
      <c r="H42" s="118"/>
      <c r="I42" s="89" t="s">
        <v>112</v>
      </c>
      <c r="J42" s="644">
        <f>J43</f>
        <v>2155.7860000000001</v>
      </c>
    </row>
    <row r="43" spans="1:10" ht="13" hidden="1" x14ac:dyDescent="0.3">
      <c r="A43" s="634"/>
      <c r="B43" s="170" t="s">
        <v>153</v>
      </c>
      <c r="C43" s="639"/>
      <c r="D43" s="643" t="s">
        <v>69</v>
      </c>
      <c r="E43" s="33" t="s">
        <v>112</v>
      </c>
      <c r="F43" s="113">
        <v>9100004</v>
      </c>
      <c r="G43" s="118"/>
      <c r="H43" s="118"/>
      <c r="I43" s="33" t="s">
        <v>112</v>
      </c>
      <c r="J43" s="644">
        <f>J44+J45</f>
        <v>2155.7860000000001</v>
      </c>
    </row>
    <row r="44" spans="1:10" ht="13" hidden="1" x14ac:dyDescent="0.3">
      <c r="A44" s="634"/>
      <c r="B44" s="645" t="s">
        <v>410</v>
      </c>
      <c r="C44" s="639"/>
      <c r="D44" s="643" t="s">
        <v>69</v>
      </c>
      <c r="E44" s="33" t="s">
        <v>112</v>
      </c>
      <c r="F44" s="112">
        <v>9100004</v>
      </c>
      <c r="G44" s="119">
        <v>120</v>
      </c>
      <c r="H44" s="119"/>
      <c r="I44" s="33" t="s">
        <v>112</v>
      </c>
      <c r="J44" s="646">
        <v>1300.211</v>
      </c>
    </row>
    <row r="45" spans="1:10" ht="13" hidden="1" x14ac:dyDescent="0.3">
      <c r="A45" s="634"/>
      <c r="B45" s="645" t="s">
        <v>16</v>
      </c>
      <c r="C45" s="639"/>
      <c r="D45" s="643" t="s">
        <v>69</v>
      </c>
      <c r="E45" s="33" t="s">
        <v>112</v>
      </c>
      <c r="F45" s="112">
        <v>9100004</v>
      </c>
      <c r="G45" s="119">
        <v>240</v>
      </c>
      <c r="H45" s="119"/>
      <c r="I45" s="33" t="s">
        <v>112</v>
      </c>
      <c r="J45" s="647">
        <v>855.57500000000005</v>
      </c>
    </row>
    <row r="46" spans="1:10" ht="39" hidden="1" x14ac:dyDescent="0.25">
      <c r="B46" s="648" t="s">
        <v>105</v>
      </c>
      <c r="C46" s="572" t="s">
        <v>106</v>
      </c>
      <c r="D46" s="649" t="s">
        <v>69</v>
      </c>
      <c r="E46" s="649" t="s">
        <v>103</v>
      </c>
      <c r="F46" s="94" t="s">
        <v>71</v>
      </c>
      <c r="G46" s="94" t="s">
        <v>71</v>
      </c>
      <c r="H46" s="94"/>
      <c r="I46" s="94" t="s">
        <v>103</v>
      </c>
      <c r="J46" s="650">
        <f>J47</f>
        <v>11843.717000000001</v>
      </c>
    </row>
    <row r="47" spans="1:10" ht="39" hidden="1" x14ac:dyDescent="0.25">
      <c r="B47" s="648" t="s">
        <v>126</v>
      </c>
      <c r="C47" s="649" t="s">
        <v>106</v>
      </c>
      <c r="D47" s="649" t="s">
        <v>69</v>
      </c>
      <c r="E47" s="649" t="s">
        <v>103</v>
      </c>
      <c r="F47" s="94">
        <v>9100000</v>
      </c>
      <c r="G47" s="94" t="s">
        <v>71</v>
      </c>
      <c r="H47" s="94"/>
      <c r="I47" s="94" t="s">
        <v>103</v>
      </c>
      <c r="J47" s="650">
        <f>J48+J51+J53+J55+J58+J61</f>
        <v>11843.717000000001</v>
      </c>
    </row>
    <row r="48" spans="1:10" ht="13" hidden="1" x14ac:dyDescent="0.25">
      <c r="B48" s="651" t="s">
        <v>153</v>
      </c>
      <c r="C48" s="572" t="s">
        <v>106</v>
      </c>
      <c r="D48" s="572" t="s">
        <v>69</v>
      </c>
      <c r="E48" s="572" t="s">
        <v>103</v>
      </c>
      <c r="F48" s="94">
        <v>9100004</v>
      </c>
      <c r="G48" s="88" t="s">
        <v>71</v>
      </c>
      <c r="H48" s="88"/>
      <c r="I48" s="88" t="s">
        <v>103</v>
      </c>
      <c r="J48" s="652">
        <f>J49+J50</f>
        <v>9577.5059999999994</v>
      </c>
    </row>
    <row r="49" spans="2:10" ht="13" hidden="1" x14ac:dyDescent="0.3">
      <c r="B49" s="645" t="s">
        <v>410</v>
      </c>
      <c r="C49" s="572"/>
      <c r="D49" s="572" t="s">
        <v>69</v>
      </c>
      <c r="E49" s="572" t="s">
        <v>103</v>
      </c>
      <c r="F49" s="88">
        <v>9100004</v>
      </c>
      <c r="G49" s="88">
        <v>120</v>
      </c>
      <c r="H49" s="88"/>
      <c r="I49" s="88" t="s">
        <v>103</v>
      </c>
      <c r="J49" s="653">
        <v>7361.933</v>
      </c>
    </row>
    <row r="50" spans="2:10" ht="13" hidden="1" x14ac:dyDescent="0.3">
      <c r="B50" s="645" t="s">
        <v>16</v>
      </c>
      <c r="C50" s="572"/>
      <c r="D50" s="572" t="s">
        <v>69</v>
      </c>
      <c r="E50" s="572" t="s">
        <v>103</v>
      </c>
      <c r="F50" s="88">
        <v>9100004</v>
      </c>
      <c r="G50" s="88">
        <v>240</v>
      </c>
      <c r="H50" s="88"/>
      <c r="I50" s="88" t="s">
        <v>103</v>
      </c>
      <c r="J50" s="653">
        <v>2215.5729999999999</v>
      </c>
    </row>
    <row r="51" spans="2:10" ht="26" hidden="1" x14ac:dyDescent="0.25">
      <c r="B51" s="651" t="s">
        <v>426</v>
      </c>
      <c r="C51" s="572" t="s">
        <v>106</v>
      </c>
      <c r="D51" s="572" t="s">
        <v>69</v>
      </c>
      <c r="E51" s="572" t="s">
        <v>103</v>
      </c>
      <c r="F51" s="34" t="s">
        <v>425</v>
      </c>
      <c r="G51" s="9"/>
      <c r="H51" s="9"/>
      <c r="I51" s="88" t="s">
        <v>103</v>
      </c>
      <c r="J51" s="646">
        <f>J52</f>
        <v>1154.6110000000001</v>
      </c>
    </row>
    <row r="52" spans="2:10" ht="13" hidden="1" x14ac:dyDescent="0.3">
      <c r="B52" s="645" t="s">
        <v>410</v>
      </c>
      <c r="C52" s="572"/>
      <c r="D52" s="572" t="s">
        <v>69</v>
      </c>
      <c r="E52" s="572" t="s">
        <v>103</v>
      </c>
      <c r="F52" s="9" t="s">
        <v>425</v>
      </c>
      <c r="G52" s="88">
        <v>120</v>
      </c>
      <c r="H52" s="88"/>
      <c r="I52" s="88" t="s">
        <v>103</v>
      </c>
      <c r="J52" s="646">
        <v>1154.6110000000001</v>
      </c>
    </row>
    <row r="53" spans="2:10" ht="26" hidden="1" x14ac:dyDescent="0.25">
      <c r="B53" s="654" t="s">
        <v>424</v>
      </c>
      <c r="C53" s="572"/>
      <c r="D53" s="572" t="s">
        <v>69</v>
      </c>
      <c r="E53" s="572" t="s">
        <v>103</v>
      </c>
      <c r="F53" s="34" t="s">
        <v>141</v>
      </c>
      <c r="G53" s="9"/>
      <c r="H53" s="9"/>
      <c r="I53" s="88" t="s">
        <v>103</v>
      </c>
      <c r="J53" s="655">
        <f>J54</f>
        <v>171.8</v>
      </c>
    </row>
    <row r="54" spans="2:10" ht="13" hidden="1" x14ac:dyDescent="0.3">
      <c r="B54" s="645" t="s">
        <v>142</v>
      </c>
      <c r="C54" s="572"/>
      <c r="D54" s="572" t="s">
        <v>69</v>
      </c>
      <c r="E54" s="572" t="s">
        <v>103</v>
      </c>
      <c r="F54" s="9" t="s">
        <v>141</v>
      </c>
      <c r="G54" s="9" t="s">
        <v>140</v>
      </c>
      <c r="H54" s="9"/>
      <c r="I54" s="88" t="s">
        <v>103</v>
      </c>
      <c r="J54" s="656">
        <v>171.8</v>
      </c>
    </row>
    <row r="55" spans="2:10" ht="39" hidden="1" x14ac:dyDescent="0.25">
      <c r="B55" s="657" t="s">
        <v>423</v>
      </c>
      <c r="C55" s="572"/>
      <c r="D55" s="577" t="s">
        <v>69</v>
      </c>
      <c r="E55" s="577" t="s">
        <v>103</v>
      </c>
      <c r="F55" s="34" t="s">
        <v>136</v>
      </c>
      <c r="G55" s="9"/>
      <c r="H55" s="9"/>
      <c r="I55" s="9" t="s">
        <v>103</v>
      </c>
      <c r="J55" s="655">
        <f>J57</f>
        <v>263</v>
      </c>
    </row>
    <row r="56" spans="2:10" ht="39" hidden="1" x14ac:dyDescent="0.25">
      <c r="B56" s="658" t="s">
        <v>138</v>
      </c>
      <c r="C56" s="577"/>
      <c r="D56" s="577" t="s">
        <v>69</v>
      </c>
      <c r="E56" s="577" t="s">
        <v>103</v>
      </c>
      <c r="F56" s="9" t="s">
        <v>137</v>
      </c>
      <c r="G56" s="9"/>
      <c r="H56" s="9"/>
      <c r="I56" s="9" t="s">
        <v>103</v>
      </c>
      <c r="J56" s="647"/>
    </row>
    <row r="57" spans="2:10" ht="13" hidden="1" x14ac:dyDescent="0.3">
      <c r="B57" s="645" t="s">
        <v>123</v>
      </c>
      <c r="C57" s="577"/>
      <c r="D57" s="577" t="s">
        <v>69</v>
      </c>
      <c r="E57" s="577" t="s">
        <v>103</v>
      </c>
      <c r="F57" s="9" t="s">
        <v>136</v>
      </c>
      <c r="G57" s="9" t="s">
        <v>120</v>
      </c>
      <c r="H57" s="9"/>
      <c r="I57" s="9" t="s">
        <v>103</v>
      </c>
      <c r="J57" s="647">
        <v>263</v>
      </c>
    </row>
    <row r="58" spans="2:10" ht="65" hidden="1" x14ac:dyDescent="0.25">
      <c r="B58" s="659" t="s">
        <v>422</v>
      </c>
      <c r="C58" s="577"/>
      <c r="D58" s="577" t="s">
        <v>69</v>
      </c>
      <c r="E58" s="577" t="s">
        <v>103</v>
      </c>
      <c r="F58" s="34" t="s">
        <v>132</v>
      </c>
      <c r="G58" s="9"/>
      <c r="H58" s="9"/>
      <c r="I58" s="9" t="s">
        <v>103</v>
      </c>
      <c r="J58" s="640">
        <f>J59</f>
        <v>130.1</v>
      </c>
    </row>
    <row r="59" spans="2:10" ht="13" hidden="1" x14ac:dyDescent="0.3">
      <c r="B59" s="645" t="s">
        <v>123</v>
      </c>
      <c r="C59" s="577"/>
      <c r="D59" s="577" t="s">
        <v>69</v>
      </c>
      <c r="E59" s="577" t="s">
        <v>103</v>
      </c>
      <c r="F59" s="9" t="s">
        <v>132</v>
      </c>
      <c r="G59" s="9" t="s">
        <v>120</v>
      </c>
      <c r="H59" s="9"/>
      <c r="I59" s="9" t="s">
        <v>103</v>
      </c>
      <c r="J59" s="647">
        <v>130.1</v>
      </c>
    </row>
    <row r="60" spans="2:10" ht="52" hidden="1" x14ac:dyDescent="0.25">
      <c r="B60" s="660" t="s">
        <v>134</v>
      </c>
      <c r="C60" s="572"/>
      <c r="D60" s="572" t="s">
        <v>69</v>
      </c>
      <c r="E60" s="572" t="s">
        <v>103</v>
      </c>
      <c r="F60" s="9" t="s">
        <v>133</v>
      </c>
      <c r="G60" s="9"/>
      <c r="H60" s="9"/>
      <c r="I60" s="88" t="s">
        <v>103</v>
      </c>
      <c r="J60" s="647"/>
    </row>
    <row r="61" spans="2:10" ht="52" hidden="1" x14ac:dyDescent="0.25">
      <c r="B61" s="661" t="s">
        <v>421</v>
      </c>
      <c r="C61" s="572"/>
      <c r="D61" s="572" t="s">
        <v>69</v>
      </c>
      <c r="E61" s="572" t="s">
        <v>103</v>
      </c>
      <c r="F61" s="34" t="s">
        <v>420</v>
      </c>
      <c r="G61" s="9"/>
      <c r="H61" s="9"/>
      <c r="I61" s="88" t="s">
        <v>103</v>
      </c>
      <c r="J61" s="640">
        <f>J62+J63</f>
        <v>546.70000000000005</v>
      </c>
    </row>
    <row r="62" spans="2:10" ht="13" hidden="1" x14ac:dyDescent="0.3">
      <c r="B62" s="662" t="s">
        <v>410</v>
      </c>
      <c r="C62" s="572"/>
      <c r="D62" s="572" t="s">
        <v>69</v>
      </c>
      <c r="E62" s="572" t="s">
        <v>103</v>
      </c>
      <c r="F62" s="9" t="s">
        <v>420</v>
      </c>
      <c r="G62" s="9" t="s">
        <v>5</v>
      </c>
      <c r="H62" s="9"/>
      <c r="I62" s="88" t="s">
        <v>103</v>
      </c>
      <c r="J62" s="647">
        <f>546.7-45.2</f>
        <v>501.50000000000006</v>
      </c>
    </row>
    <row r="63" spans="2:10" ht="13" hidden="1" x14ac:dyDescent="0.3">
      <c r="B63" s="645" t="s">
        <v>16</v>
      </c>
      <c r="C63" s="572"/>
      <c r="D63" s="572"/>
      <c r="E63" s="572"/>
      <c r="F63" s="9"/>
      <c r="G63" s="9" t="s">
        <v>1</v>
      </c>
      <c r="H63" s="9"/>
      <c r="I63" s="88"/>
      <c r="J63" s="647">
        <v>45.2</v>
      </c>
    </row>
    <row r="64" spans="2:10" ht="26" hidden="1" x14ac:dyDescent="0.25">
      <c r="B64" s="648" t="s">
        <v>122</v>
      </c>
      <c r="C64" s="577"/>
      <c r="D64" s="649" t="s">
        <v>69</v>
      </c>
      <c r="E64" s="663" t="s">
        <v>119</v>
      </c>
      <c r="F64" s="94" t="s">
        <v>71</v>
      </c>
      <c r="G64" s="94" t="s">
        <v>71</v>
      </c>
      <c r="H64" s="94"/>
      <c r="I64" s="34" t="s">
        <v>119</v>
      </c>
      <c r="J64" s="655">
        <f>J65</f>
        <v>99.305000000000007</v>
      </c>
    </row>
    <row r="65" spans="1:10" ht="39" hidden="1" x14ac:dyDescent="0.25">
      <c r="B65" s="648" t="s">
        <v>126</v>
      </c>
      <c r="C65" s="577"/>
      <c r="D65" s="649" t="s">
        <v>69</v>
      </c>
      <c r="E65" s="649" t="s">
        <v>119</v>
      </c>
      <c r="F65" s="34" t="s">
        <v>125</v>
      </c>
      <c r="G65" s="79"/>
      <c r="H65" s="79"/>
      <c r="I65" s="94" t="s">
        <v>119</v>
      </c>
      <c r="J65" s="655">
        <f>J66</f>
        <v>99.305000000000007</v>
      </c>
    </row>
    <row r="66" spans="1:10" ht="39" hidden="1" x14ac:dyDescent="0.25">
      <c r="B66" s="657" t="s">
        <v>131</v>
      </c>
      <c r="C66" s="577"/>
      <c r="D66" s="572" t="s">
        <v>69</v>
      </c>
      <c r="E66" s="572" t="s">
        <v>119</v>
      </c>
      <c r="F66" s="9" t="s">
        <v>121</v>
      </c>
      <c r="G66" s="9"/>
      <c r="H66" s="9"/>
      <c r="I66" s="88" t="s">
        <v>119</v>
      </c>
      <c r="J66" s="647">
        <f>J67</f>
        <v>99.305000000000007</v>
      </c>
    </row>
    <row r="67" spans="1:10" ht="13" hidden="1" x14ac:dyDescent="0.3">
      <c r="B67" s="645" t="s">
        <v>123</v>
      </c>
      <c r="C67" s="577"/>
      <c r="D67" s="572" t="s">
        <v>69</v>
      </c>
      <c r="E67" s="572" t="s">
        <v>119</v>
      </c>
      <c r="F67" s="9" t="s">
        <v>121</v>
      </c>
      <c r="G67" s="9" t="s">
        <v>120</v>
      </c>
      <c r="H67" s="9"/>
      <c r="I67" s="88" t="s">
        <v>119</v>
      </c>
      <c r="J67" s="647">
        <v>99.305000000000007</v>
      </c>
    </row>
    <row r="68" spans="1:10" ht="14" hidden="1" x14ac:dyDescent="0.25">
      <c r="B68" s="664" t="s">
        <v>419</v>
      </c>
      <c r="C68" s="665"/>
      <c r="D68" s="666" t="s">
        <v>69</v>
      </c>
      <c r="E68" s="667" t="s">
        <v>416</v>
      </c>
      <c r="F68" s="9"/>
      <c r="G68" s="9"/>
      <c r="H68" s="9"/>
      <c r="I68" s="202" t="s">
        <v>416</v>
      </c>
      <c r="J68" s="647"/>
    </row>
    <row r="69" spans="1:10" ht="39" hidden="1" x14ac:dyDescent="0.25">
      <c r="B69" s="648" t="s">
        <v>25</v>
      </c>
      <c r="C69" s="577"/>
      <c r="D69" s="649" t="s">
        <v>69</v>
      </c>
      <c r="E69" s="663" t="s">
        <v>416</v>
      </c>
      <c r="F69" s="34" t="s">
        <v>24</v>
      </c>
      <c r="G69" s="9"/>
      <c r="H69" s="9"/>
      <c r="I69" s="34" t="s">
        <v>416</v>
      </c>
      <c r="J69" s="647"/>
    </row>
    <row r="70" spans="1:10" ht="26" hidden="1" x14ac:dyDescent="0.25">
      <c r="B70" s="668" t="s">
        <v>418</v>
      </c>
      <c r="C70" s="665"/>
      <c r="D70" s="572" t="s">
        <v>69</v>
      </c>
      <c r="E70" s="577" t="s">
        <v>416</v>
      </c>
      <c r="F70" s="9" t="s">
        <v>417</v>
      </c>
      <c r="G70" s="9"/>
      <c r="H70" s="9"/>
      <c r="I70" s="9" t="s">
        <v>416</v>
      </c>
      <c r="J70" s="647"/>
    </row>
    <row r="71" spans="1:10" ht="13" hidden="1" x14ac:dyDescent="0.25">
      <c r="B71" s="648" t="s">
        <v>68</v>
      </c>
      <c r="C71" s="577"/>
      <c r="D71" s="649" t="s">
        <v>69</v>
      </c>
      <c r="E71" s="663" t="s">
        <v>66</v>
      </c>
      <c r="F71" s="94" t="s">
        <v>71</v>
      </c>
      <c r="G71" s="94" t="s">
        <v>71</v>
      </c>
      <c r="H71" s="94"/>
      <c r="I71" s="34" t="s">
        <v>66</v>
      </c>
      <c r="J71" s="650">
        <f>J72</f>
        <v>2000</v>
      </c>
    </row>
    <row r="72" spans="1:10" ht="39" hidden="1" x14ac:dyDescent="0.3">
      <c r="A72" s="634"/>
      <c r="B72" s="648" t="s">
        <v>25</v>
      </c>
      <c r="C72" s="577"/>
      <c r="D72" s="649" t="s">
        <v>69</v>
      </c>
      <c r="E72" s="663" t="s">
        <v>66</v>
      </c>
      <c r="F72" s="94">
        <v>9900000</v>
      </c>
      <c r="G72" s="94"/>
      <c r="H72" s="94"/>
      <c r="I72" s="34" t="s">
        <v>66</v>
      </c>
      <c r="J72" s="653">
        <f>J73</f>
        <v>2000</v>
      </c>
    </row>
    <row r="73" spans="1:10" ht="26" hidden="1" x14ac:dyDescent="0.25">
      <c r="B73" s="651" t="s">
        <v>72</v>
      </c>
      <c r="C73" s="577"/>
      <c r="D73" s="572" t="s">
        <v>69</v>
      </c>
      <c r="E73" s="577" t="s">
        <v>66</v>
      </c>
      <c r="F73" s="9" t="s">
        <v>415</v>
      </c>
      <c r="G73" s="88" t="s">
        <v>71</v>
      </c>
      <c r="H73" s="88"/>
      <c r="I73" s="9" t="s">
        <v>66</v>
      </c>
      <c r="J73" s="653">
        <f>J74</f>
        <v>2000</v>
      </c>
    </row>
    <row r="74" spans="1:10" ht="13" hidden="1" x14ac:dyDescent="0.3">
      <c r="B74" s="645" t="s">
        <v>70</v>
      </c>
      <c r="C74" s="577"/>
      <c r="D74" s="572" t="s">
        <v>69</v>
      </c>
      <c r="E74" s="577" t="s">
        <v>66</v>
      </c>
      <c r="F74" s="9" t="s">
        <v>415</v>
      </c>
      <c r="G74" s="88">
        <v>870</v>
      </c>
      <c r="H74" s="88"/>
      <c r="I74" s="9" t="s">
        <v>66</v>
      </c>
      <c r="J74" s="653">
        <v>2000</v>
      </c>
    </row>
    <row r="75" spans="1:10" ht="13" hidden="1" x14ac:dyDescent="0.25">
      <c r="B75" s="648" t="s">
        <v>93</v>
      </c>
      <c r="C75" s="572"/>
      <c r="D75" s="649" t="s">
        <v>69</v>
      </c>
      <c r="E75" s="663" t="s">
        <v>90</v>
      </c>
      <c r="F75" s="34"/>
      <c r="G75" s="94"/>
      <c r="H75" s="94"/>
      <c r="I75" s="34" t="s">
        <v>90</v>
      </c>
      <c r="J75" s="640">
        <f>J76</f>
        <v>108</v>
      </c>
    </row>
    <row r="76" spans="1:10" ht="26" hidden="1" x14ac:dyDescent="0.25">
      <c r="B76" s="648" t="s">
        <v>102</v>
      </c>
      <c r="C76" s="663"/>
      <c r="D76" s="663" t="s">
        <v>69</v>
      </c>
      <c r="E76" s="663" t="s">
        <v>90</v>
      </c>
      <c r="F76" s="34" t="s">
        <v>414</v>
      </c>
      <c r="G76" s="34"/>
      <c r="H76" s="34"/>
      <c r="I76" s="34" t="s">
        <v>90</v>
      </c>
      <c r="J76" s="655">
        <f>J77</f>
        <v>108</v>
      </c>
    </row>
    <row r="77" spans="1:10" ht="13" hidden="1" x14ac:dyDescent="0.25">
      <c r="B77" s="669" t="s">
        <v>413</v>
      </c>
      <c r="C77" s="663"/>
      <c r="D77" s="577" t="s">
        <v>69</v>
      </c>
      <c r="E77" s="577" t="s">
        <v>90</v>
      </c>
      <c r="F77" s="9" t="s">
        <v>96</v>
      </c>
      <c r="G77" s="34"/>
      <c r="H77" s="34"/>
      <c r="I77" s="9" t="s">
        <v>90</v>
      </c>
      <c r="J77" s="656">
        <f>J78+J79</f>
        <v>108</v>
      </c>
    </row>
    <row r="78" spans="1:10" ht="13" hidden="1" x14ac:dyDescent="0.3">
      <c r="B78" s="645" t="s">
        <v>16</v>
      </c>
      <c r="C78" s="663"/>
      <c r="D78" s="577" t="s">
        <v>69</v>
      </c>
      <c r="E78" s="577" t="s">
        <v>90</v>
      </c>
      <c r="F78" s="9" t="s">
        <v>96</v>
      </c>
      <c r="G78" s="9" t="s">
        <v>1</v>
      </c>
      <c r="H78" s="9"/>
      <c r="I78" s="9" t="s">
        <v>90</v>
      </c>
      <c r="J78" s="656">
        <v>105</v>
      </c>
    </row>
    <row r="79" spans="1:10" ht="13" hidden="1" x14ac:dyDescent="0.3">
      <c r="B79" s="645" t="s">
        <v>94</v>
      </c>
      <c r="C79" s="663"/>
      <c r="D79" s="577" t="s">
        <v>69</v>
      </c>
      <c r="E79" s="577" t="s">
        <v>90</v>
      </c>
      <c r="F79" s="9" t="s">
        <v>96</v>
      </c>
      <c r="G79" s="9" t="s">
        <v>91</v>
      </c>
      <c r="H79" s="9"/>
      <c r="I79" s="9" t="s">
        <v>90</v>
      </c>
      <c r="J79" s="656">
        <v>3</v>
      </c>
    </row>
    <row r="80" spans="1:10" ht="14" hidden="1" x14ac:dyDescent="0.25">
      <c r="B80" s="670" t="s">
        <v>412</v>
      </c>
      <c r="C80" s="671"/>
      <c r="D80" s="671" t="s">
        <v>409</v>
      </c>
      <c r="E80" s="671"/>
      <c r="F80" s="202"/>
      <c r="G80" s="202"/>
      <c r="H80" s="202"/>
      <c r="I80" s="202"/>
      <c r="J80" s="672">
        <f>J81</f>
        <v>605.88300000000004</v>
      </c>
    </row>
    <row r="81" spans="2:10" ht="13" hidden="1" x14ac:dyDescent="0.25">
      <c r="B81" s="648" t="s">
        <v>6</v>
      </c>
      <c r="C81" s="663"/>
      <c r="D81" s="663" t="s">
        <v>409</v>
      </c>
      <c r="E81" s="663" t="s">
        <v>0</v>
      </c>
      <c r="F81" s="34"/>
      <c r="G81" s="34"/>
      <c r="H81" s="34"/>
      <c r="I81" s="34" t="s">
        <v>0</v>
      </c>
      <c r="J81" s="656">
        <f>J82</f>
        <v>605.88300000000004</v>
      </c>
    </row>
    <row r="82" spans="2:10" ht="26" hidden="1" x14ac:dyDescent="0.25">
      <c r="B82" s="657" t="s">
        <v>411</v>
      </c>
      <c r="C82" s="577"/>
      <c r="D82" s="577" t="s">
        <v>409</v>
      </c>
      <c r="E82" s="577" t="s">
        <v>0</v>
      </c>
      <c r="F82" s="10" t="s">
        <v>408</v>
      </c>
      <c r="G82" s="9"/>
      <c r="H82" s="9"/>
      <c r="I82" s="9" t="s">
        <v>0</v>
      </c>
      <c r="J82" s="656">
        <f>J83+J84</f>
        <v>605.88300000000004</v>
      </c>
    </row>
    <row r="83" spans="2:10" ht="13" hidden="1" x14ac:dyDescent="0.3">
      <c r="B83" s="662" t="s">
        <v>410</v>
      </c>
      <c r="C83" s="577"/>
      <c r="D83" s="577" t="s">
        <v>409</v>
      </c>
      <c r="E83" s="577" t="s">
        <v>0</v>
      </c>
      <c r="F83" s="10" t="s">
        <v>408</v>
      </c>
      <c r="G83" s="9" t="s">
        <v>5</v>
      </c>
      <c r="H83" s="9"/>
      <c r="I83" s="9" t="s">
        <v>0</v>
      </c>
      <c r="J83" s="656">
        <v>555.32000000000005</v>
      </c>
    </row>
    <row r="84" spans="2:10" ht="13" hidden="1" x14ac:dyDescent="0.3">
      <c r="B84" s="645" t="s">
        <v>16</v>
      </c>
      <c r="C84" s="577"/>
      <c r="D84" s="577" t="s">
        <v>409</v>
      </c>
      <c r="E84" s="577" t="s">
        <v>0</v>
      </c>
      <c r="F84" s="10" t="s">
        <v>408</v>
      </c>
      <c r="G84" s="9" t="s">
        <v>1</v>
      </c>
      <c r="H84" s="9"/>
      <c r="I84" s="9" t="s">
        <v>0</v>
      </c>
      <c r="J84" s="656">
        <v>50.563000000000002</v>
      </c>
    </row>
    <row r="85" spans="2:10" ht="28" hidden="1" x14ac:dyDescent="0.25">
      <c r="B85" s="635" t="s">
        <v>407</v>
      </c>
      <c r="C85" s="566"/>
      <c r="D85" s="566" t="s">
        <v>168</v>
      </c>
      <c r="E85" s="566"/>
      <c r="F85" s="193"/>
      <c r="G85" s="193"/>
      <c r="H85" s="193"/>
      <c r="I85" s="193"/>
      <c r="J85" s="673">
        <f>J86</f>
        <v>1397</v>
      </c>
    </row>
    <row r="86" spans="2:10" ht="26" hidden="1" x14ac:dyDescent="0.25">
      <c r="B86" s="648" t="s">
        <v>221</v>
      </c>
      <c r="C86" s="577"/>
      <c r="D86" s="663" t="s">
        <v>168</v>
      </c>
      <c r="E86" s="663" t="s">
        <v>166</v>
      </c>
      <c r="F86" s="9"/>
      <c r="G86" s="9"/>
      <c r="H86" s="9"/>
      <c r="I86" s="34" t="s">
        <v>166</v>
      </c>
      <c r="J86" s="653">
        <f>J87</f>
        <v>1397</v>
      </c>
    </row>
    <row r="87" spans="2:10" ht="39" hidden="1" x14ac:dyDescent="0.25">
      <c r="B87" s="648" t="s">
        <v>406</v>
      </c>
      <c r="C87" s="663"/>
      <c r="D87" s="663" t="s">
        <v>168</v>
      </c>
      <c r="E87" s="663" t="s">
        <v>166</v>
      </c>
      <c r="F87" s="34" t="s">
        <v>405</v>
      </c>
      <c r="G87" s="131"/>
      <c r="H87" s="131"/>
      <c r="I87" s="34" t="s">
        <v>166</v>
      </c>
      <c r="J87" s="51">
        <f>J88+J93</f>
        <v>1397</v>
      </c>
    </row>
    <row r="88" spans="2:10" ht="65" hidden="1" x14ac:dyDescent="0.25">
      <c r="B88" s="674" t="s">
        <v>239</v>
      </c>
      <c r="C88" s="577"/>
      <c r="D88" s="577" t="s">
        <v>168</v>
      </c>
      <c r="E88" s="577" t="s">
        <v>166</v>
      </c>
      <c r="F88" s="34" t="s">
        <v>404</v>
      </c>
      <c r="G88" s="88"/>
      <c r="H88" s="88"/>
      <c r="I88" s="9" t="s">
        <v>166</v>
      </c>
      <c r="J88" s="656">
        <f>J89+J91</f>
        <v>711</v>
      </c>
    </row>
    <row r="89" spans="2:10" ht="65" hidden="1" x14ac:dyDescent="0.25">
      <c r="B89" s="651" t="s">
        <v>403</v>
      </c>
      <c r="C89" s="577"/>
      <c r="D89" s="577" t="s">
        <v>168</v>
      </c>
      <c r="E89" s="577" t="s">
        <v>166</v>
      </c>
      <c r="F89" s="34" t="s">
        <v>400</v>
      </c>
      <c r="G89" s="88"/>
      <c r="H89" s="88"/>
      <c r="I89" s="9" t="s">
        <v>166</v>
      </c>
      <c r="J89" s="656">
        <f>J90</f>
        <v>426</v>
      </c>
    </row>
    <row r="90" spans="2:10" ht="13" hidden="1" x14ac:dyDescent="0.3">
      <c r="B90" s="645" t="s">
        <v>16</v>
      </c>
      <c r="C90" s="577"/>
      <c r="D90" s="577" t="s">
        <v>168</v>
      </c>
      <c r="E90" s="577" t="s">
        <v>166</v>
      </c>
      <c r="F90" s="9" t="s">
        <v>400</v>
      </c>
      <c r="G90" s="88">
        <v>240</v>
      </c>
      <c r="H90" s="88"/>
      <c r="I90" s="9" t="s">
        <v>166</v>
      </c>
      <c r="J90" s="656">
        <v>426</v>
      </c>
    </row>
    <row r="91" spans="2:10" ht="52" hidden="1" x14ac:dyDescent="0.25">
      <c r="B91" s="651" t="s">
        <v>402</v>
      </c>
      <c r="C91" s="577"/>
      <c r="D91" s="577" t="s">
        <v>168</v>
      </c>
      <c r="E91" s="577" t="s">
        <v>166</v>
      </c>
      <c r="F91" s="34" t="s">
        <v>401</v>
      </c>
      <c r="G91" s="88"/>
      <c r="H91" s="88"/>
      <c r="I91" s="9" t="s">
        <v>166</v>
      </c>
      <c r="J91" s="656">
        <f>J92</f>
        <v>285</v>
      </c>
    </row>
    <row r="92" spans="2:10" ht="13" hidden="1" x14ac:dyDescent="0.3">
      <c r="B92" s="645" t="s">
        <v>16</v>
      </c>
      <c r="C92" s="577"/>
      <c r="D92" s="577" t="s">
        <v>168</v>
      </c>
      <c r="E92" s="577" t="s">
        <v>166</v>
      </c>
      <c r="F92" s="9" t="s">
        <v>400</v>
      </c>
      <c r="G92" s="88">
        <v>240</v>
      </c>
      <c r="H92" s="88"/>
      <c r="I92" s="9" t="s">
        <v>166</v>
      </c>
      <c r="J92" s="656">
        <v>285</v>
      </c>
    </row>
    <row r="93" spans="2:10" ht="65" hidden="1" x14ac:dyDescent="0.25">
      <c r="B93" s="674" t="s">
        <v>228</v>
      </c>
      <c r="C93" s="663"/>
      <c r="D93" s="577" t="s">
        <v>168</v>
      </c>
      <c r="E93" s="577" t="s">
        <v>166</v>
      </c>
      <c r="F93" s="34" t="s">
        <v>399</v>
      </c>
      <c r="G93" s="34"/>
      <c r="H93" s="34"/>
      <c r="I93" s="9" t="s">
        <v>166</v>
      </c>
      <c r="J93" s="655">
        <f>J94</f>
        <v>686</v>
      </c>
    </row>
    <row r="94" spans="2:10" ht="65" hidden="1" x14ac:dyDescent="0.25">
      <c r="B94" s="651" t="s">
        <v>398</v>
      </c>
      <c r="C94" s="663"/>
      <c r="D94" s="577" t="s">
        <v>168</v>
      </c>
      <c r="E94" s="577" t="s">
        <v>166</v>
      </c>
      <c r="F94" s="9" t="s">
        <v>397</v>
      </c>
      <c r="G94" s="34"/>
      <c r="H94" s="34"/>
      <c r="I94" s="9" t="s">
        <v>166</v>
      </c>
      <c r="J94" s="656">
        <f>J96</f>
        <v>686</v>
      </c>
    </row>
    <row r="95" spans="2:10" ht="26" hidden="1" x14ac:dyDescent="0.25">
      <c r="B95" s="658" t="s">
        <v>223</v>
      </c>
      <c r="C95" s="675"/>
      <c r="D95" s="676" t="s">
        <v>168</v>
      </c>
      <c r="E95" s="676" t="s">
        <v>166</v>
      </c>
      <c r="F95" s="31" t="s">
        <v>222</v>
      </c>
      <c r="G95" s="161"/>
      <c r="H95" s="161"/>
      <c r="I95" s="31" t="s">
        <v>166</v>
      </c>
      <c r="J95" s="677"/>
    </row>
    <row r="96" spans="2:10" ht="13" hidden="1" x14ac:dyDescent="0.3">
      <c r="B96" s="645" t="s">
        <v>16</v>
      </c>
      <c r="C96" s="675"/>
      <c r="D96" s="577" t="s">
        <v>168</v>
      </c>
      <c r="E96" s="577" t="s">
        <v>166</v>
      </c>
      <c r="F96" s="9" t="s">
        <v>397</v>
      </c>
      <c r="G96" s="33" t="s">
        <v>1</v>
      </c>
      <c r="H96" s="33"/>
      <c r="I96" s="9" t="s">
        <v>166</v>
      </c>
      <c r="J96" s="656">
        <v>686</v>
      </c>
    </row>
    <row r="97" spans="1:10" ht="39" hidden="1" x14ac:dyDescent="0.25">
      <c r="B97" s="648" t="s">
        <v>171</v>
      </c>
      <c r="C97" s="577"/>
      <c r="D97" s="663" t="s">
        <v>168</v>
      </c>
      <c r="E97" s="663" t="s">
        <v>166</v>
      </c>
      <c r="F97" s="34" t="s">
        <v>170</v>
      </c>
      <c r="G97" s="131"/>
      <c r="H97" s="131"/>
      <c r="I97" s="34" t="s">
        <v>166</v>
      </c>
      <c r="J97" s="131"/>
    </row>
    <row r="98" spans="1:10" ht="39" hidden="1" x14ac:dyDescent="0.25">
      <c r="B98" s="651" t="s">
        <v>169</v>
      </c>
      <c r="C98" s="577"/>
      <c r="D98" s="577" t="s">
        <v>168</v>
      </c>
      <c r="E98" s="577" t="s">
        <v>166</v>
      </c>
      <c r="F98" s="9" t="s">
        <v>167</v>
      </c>
      <c r="G98" s="88"/>
      <c r="H98" s="88"/>
      <c r="I98" s="9" t="s">
        <v>166</v>
      </c>
      <c r="J98" s="656"/>
    </row>
    <row r="99" spans="1:10" ht="14" hidden="1" x14ac:dyDescent="0.3">
      <c r="A99" s="634"/>
      <c r="B99" s="635" t="s">
        <v>396</v>
      </c>
      <c r="C99" s="566"/>
      <c r="D99" s="566" t="s">
        <v>52</v>
      </c>
      <c r="E99" s="566" t="s">
        <v>106</v>
      </c>
      <c r="F99" s="193" t="s">
        <v>106</v>
      </c>
      <c r="G99" s="193" t="s">
        <v>106</v>
      </c>
      <c r="H99" s="193"/>
      <c r="I99" s="193" t="s">
        <v>106</v>
      </c>
      <c r="J99" s="678">
        <f>J100+J109</f>
        <v>18097.09</v>
      </c>
    </row>
    <row r="100" spans="1:10" ht="13" hidden="1" x14ac:dyDescent="0.3">
      <c r="A100" s="634"/>
      <c r="B100" s="679" t="s">
        <v>60</v>
      </c>
      <c r="C100" s="641"/>
      <c r="D100" s="641" t="s">
        <v>52</v>
      </c>
      <c r="E100" s="641" t="s">
        <v>58</v>
      </c>
      <c r="F100" s="89"/>
      <c r="G100" s="89"/>
      <c r="H100" s="89"/>
      <c r="I100" s="89" t="s">
        <v>58</v>
      </c>
      <c r="J100" s="650">
        <f>J101</f>
        <v>17447.29</v>
      </c>
    </row>
    <row r="101" spans="1:10" ht="39" hidden="1" x14ac:dyDescent="0.3">
      <c r="A101" s="634"/>
      <c r="B101" s="648" t="s">
        <v>395</v>
      </c>
      <c r="C101" s="641"/>
      <c r="D101" s="641" t="s">
        <v>52</v>
      </c>
      <c r="E101" s="641" t="s">
        <v>58</v>
      </c>
      <c r="F101" s="89" t="s">
        <v>394</v>
      </c>
      <c r="G101" s="131"/>
      <c r="H101" s="131"/>
      <c r="I101" s="89" t="s">
        <v>58</v>
      </c>
      <c r="J101" s="51">
        <f>J102+J106</f>
        <v>17447.29</v>
      </c>
    </row>
    <row r="102" spans="1:10" ht="65" hidden="1" x14ac:dyDescent="0.3">
      <c r="A102" s="634"/>
      <c r="B102" s="674" t="s">
        <v>393</v>
      </c>
      <c r="C102" s="643"/>
      <c r="D102" s="643" t="s">
        <v>52</v>
      </c>
      <c r="E102" s="643" t="s">
        <v>58</v>
      </c>
      <c r="F102" s="89" t="s">
        <v>392</v>
      </c>
      <c r="G102" s="89"/>
      <c r="H102" s="89"/>
      <c r="I102" s="33" t="s">
        <v>58</v>
      </c>
      <c r="J102" s="650">
        <f>J103</f>
        <v>16806.29</v>
      </c>
    </row>
    <row r="103" spans="1:10" ht="65" hidden="1" x14ac:dyDescent="0.3">
      <c r="A103" s="634"/>
      <c r="B103" s="654" t="s">
        <v>391</v>
      </c>
      <c r="C103" s="643"/>
      <c r="D103" s="643" t="s">
        <v>52</v>
      </c>
      <c r="E103" s="643" t="s">
        <v>58</v>
      </c>
      <c r="F103" s="33" t="s">
        <v>390</v>
      </c>
      <c r="G103" s="33"/>
      <c r="H103" s="33"/>
      <c r="I103" s="33" t="s">
        <v>58</v>
      </c>
      <c r="J103" s="653">
        <f>J104</f>
        <v>16806.29</v>
      </c>
    </row>
    <row r="104" spans="1:10" ht="13" hidden="1" x14ac:dyDescent="0.3">
      <c r="A104" s="634"/>
      <c r="B104" s="645" t="s">
        <v>16</v>
      </c>
      <c r="C104" s="643"/>
      <c r="D104" s="643" t="s">
        <v>52</v>
      </c>
      <c r="E104" s="643" t="s">
        <v>58</v>
      </c>
      <c r="F104" s="33" t="s">
        <v>390</v>
      </c>
      <c r="G104" s="33" t="s">
        <v>1</v>
      </c>
      <c r="H104" s="33"/>
      <c r="I104" s="33" t="s">
        <v>58</v>
      </c>
      <c r="J104" s="653">
        <f>7156.753+13430-3780.463</f>
        <v>16806.29</v>
      </c>
    </row>
    <row r="105" spans="1:10" ht="52" hidden="1" x14ac:dyDescent="0.3">
      <c r="A105" s="634"/>
      <c r="B105" s="654" t="s">
        <v>211</v>
      </c>
      <c r="C105" s="641"/>
      <c r="D105" s="643" t="s">
        <v>52</v>
      </c>
      <c r="E105" s="643" t="s">
        <v>58</v>
      </c>
      <c r="F105" s="33" t="s">
        <v>210</v>
      </c>
      <c r="G105" s="89"/>
      <c r="H105" s="89"/>
      <c r="I105" s="33" t="s">
        <v>58</v>
      </c>
      <c r="J105" s="656"/>
    </row>
    <row r="106" spans="1:10" ht="65" hidden="1" x14ac:dyDescent="0.3">
      <c r="A106" s="634"/>
      <c r="B106" s="674" t="s">
        <v>389</v>
      </c>
      <c r="C106" s="641"/>
      <c r="D106" s="643" t="s">
        <v>52</v>
      </c>
      <c r="E106" s="643" t="s">
        <v>58</v>
      </c>
      <c r="F106" s="89" t="s">
        <v>388</v>
      </c>
      <c r="G106" s="88"/>
      <c r="H106" s="88"/>
      <c r="I106" s="33" t="s">
        <v>58</v>
      </c>
      <c r="J106" s="655">
        <f>J107</f>
        <v>641</v>
      </c>
    </row>
    <row r="107" spans="1:10" ht="65" hidden="1" x14ac:dyDescent="0.3">
      <c r="A107" s="634"/>
      <c r="B107" s="651" t="s">
        <v>387</v>
      </c>
      <c r="C107" s="641"/>
      <c r="D107" s="643" t="s">
        <v>52</v>
      </c>
      <c r="E107" s="643" t="s">
        <v>58</v>
      </c>
      <c r="F107" s="33" t="s">
        <v>386</v>
      </c>
      <c r="G107" s="88"/>
      <c r="H107" s="88"/>
      <c r="I107" s="33" t="s">
        <v>58</v>
      </c>
      <c r="J107" s="656">
        <f>J108</f>
        <v>641</v>
      </c>
    </row>
    <row r="108" spans="1:10" ht="13" hidden="1" x14ac:dyDescent="0.3">
      <c r="A108" s="634"/>
      <c r="B108" s="645" t="s">
        <v>16</v>
      </c>
      <c r="C108" s="641"/>
      <c r="D108" s="643" t="s">
        <v>52</v>
      </c>
      <c r="E108" s="643" t="s">
        <v>58</v>
      </c>
      <c r="F108" s="33" t="s">
        <v>386</v>
      </c>
      <c r="G108" s="88">
        <v>240</v>
      </c>
      <c r="H108" s="88"/>
      <c r="I108" s="33" t="s">
        <v>58</v>
      </c>
      <c r="J108" s="656">
        <v>641</v>
      </c>
    </row>
    <row r="109" spans="1:10" ht="13" hidden="1" x14ac:dyDescent="0.3">
      <c r="A109" s="634"/>
      <c r="B109" s="638" t="s">
        <v>51</v>
      </c>
      <c r="C109" s="641"/>
      <c r="D109" s="663" t="s">
        <v>52</v>
      </c>
      <c r="E109" s="663" t="s">
        <v>49</v>
      </c>
      <c r="F109" s="33"/>
      <c r="G109" s="88"/>
      <c r="H109" s="88"/>
      <c r="I109" s="34" t="s">
        <v>49</v>
      </c>
      <c r="J109" s="680">
        <f>J110+J114</f>
        <v>649.79999999999995</v>
      </c>
    </row>
    <row r="110" spans="1:10" ht="52" hidden="1" x14ac:dyDescent="0.3">
      <c r="A110" s="634"/>
      <c r="B110" s="648" t="s">
        <v>385</v>
      </c>
      <c r="C110" s="577"/>
      <c r="D110" s="663" t="s">
        <v>52</v>
      </c>
      <c r="E110" s="663" t="s">
        <v>49</v>
      </c>
      <c r="F110" s="34" t="s">
        <v>384</v>
      </c>
      <c r="G110" s="131"/>
      <c r="H110" s="131"/>
      <c r="I110" s="34" t="s">
        <v>49</v>
      </c>
      <c r="J110" s="51">
        <f>J112</f>
        <v>300</v>
      </c>
    </row>
    <row r="111" spans="1:10" ht="52" hidden="1" x14ac:dyDescent="0.3">
      <c r="A111" s="634"/>
      <c r="B111" s="642" t="s">
        <v>291</v>
      </c>
      <c r="C111" s="681"/>
      <c r="D111" s="643" t="s">
        <v>52</v>
      </c>
      <c r="E111" s="643" t="s">
        <v>49</v>
      </c>
      <c r="F111" s="33" t="s">
        <v>290</v>
      </c>
      <c r="G111" s="9"/>
      <c r="H111" s="9"/>
      <c r="I111" s="33" t="s">
        <v>49</v>
      </c>
      <c r="J111" s="655"/>
    </row>
    <row r="112" spans="1:10" ht="70" hidden="1" x14ac:dyDescent="0.3">
      <c r="A112" s="634"/>
      <c r="B112" s="682" t="s">
        <v>383</v>
      </c>
      <c r="C112" s="577"/>
      <c r="D112" s="643" t="s">
        <v>52</v>
      </c>
      <c r="E112" s="643" t="s">
        <v>49</v>
      </c>
      <c r="F112" s="33" t="s">
        <v>382</v>
      </c>
      <c r="G112" s="9"/>
      <c r="H112" s="9"/>
      <c r="I112" s="33" t="s">
        <v>49</v>
      </c>
      <c r="J112" s="655">
        <f>J113</f>
        <v>300</v>
      </c>
    </row>
    <row r="113" spans="1:10" ht="13" hidden="1" x14ac:dyDescent="0.3">
      <c r="A113" s="634"/>
      <c r="B113" s="645" t="s">
        <v>16</v>
      </c>
      <c r="C113" s="577"/>
      <c r="D113" s="643" t="s">
        <v>52</v>
      </c>
      <c r="E113" s="643" t="s">
        <v>49</v>
      </c>
      <c r="F113" s="33" t="s">
        <v>382</v>
      </c>
      <c r="G113" s="9" t="s">
        <v>1</v>
      </c>
      <c r="H113" s="9"/>
      <c r="I113" s="33" t="s">
        <v>49</v>
      </c>
      <c r="J113" s="656">
        <v>300</v>
      </c>
    </row>
    <row r="114" spans="1:10" ht="39" hidden="1" x14ac:dyDescent="0.3">
      <c r="A114" s="634"/>
      <c r="B114" s="648" t="s">
        <v>25</v>
      </c>
      <c r="C114" s="577"/>
      <c r="D114" s="663" t="s">
        <v>52</v>
      </c>
      <c r="E114" s="663" t="s">
        <v>49</v>
      </c>
      <c r="F114" s="34" t="s">
        <v>24</v>
      </c>
      <c r="G114" s="34"/>
      <c r="H114" s="34"/>
      <c r="I114" s="34" t="s">
        <v>49</v>
      </c>
      <c r="J114" s="655">
        <f>J115+J117+J119</f>
        <v>349.8</v>
      </c>
    </row>
    <row r="115" spans="1:10" ht="13" hidden="1" x14ac:dyDescent="0.3">
      <c r="A115" s="634"/>
      <c r="B115" s="651" t="s">
        <v>57</v>
      </c>
      <c r="C115" s="577"/>
      <c r="D115" s="577" t="s">
        <v>52</v>
      </c>
      <c r="E115" s="577" t="s">
        <v>49</v>
      </c>
      <c r="F115" s="34" t="s">
        <v>56</v>
      </c>
      <c r="G115" s="34"/>
      <c r="H115" s="34"/>
      <c r="I115" s="9" t="s">
        <v>49</v>
      </c>
      <c r="J115" s="655">
        <f>J116</f>
        <v>195</v>
      </c>
    </row>
    <row r="116" spans="1:10" ht="13" hidden="1" x14ac:dyDescent="0.3">
      <c r="A116" s="634"/>
      <c r="B116" s="645" t="s">
        <v>16</v>
      </c>
      <c r="C116" s="577"/>
      <c r="D116" s="577" t="s">
        <v>52</v>
      </c>
      <c r="E116" s="577" t="s">
        <v>49</v>
      </c>
      <c r="F116" s="9" t="s">
        <v>56</v>
      </c>
      <c r="G116" s="9" t="s">
        <v>1</v>
      </c>
      <c r="H116" s="9"/>
      <c r="I116" s="9" t="s">
        <v>49</v>
      </c>
      <c r="J116" s="656">
        <v>195</v>
      </c>
    </row>
    <row r="117" spans="1:10" ht="13" hidden="1" x14ac:dyDescent="0.3">
      <c r="A117" s="634"/>
      <c r="B117" s="651" t="s">
        <v>55</v>
      </c>
      <c r="C117" s="577"/>
      <c r="D117" s="577" t="s">
        <v>52</v>
      </c>
      <c r="E117" s="577" t="s">
        <v>49</v>
      </c>
      <c r="F117" s="34" t="s">
        <v>381</v>
      </c>
      <c r="G117" s="9"/>
      <c r="H117" s="9"/>
      <c r="I117" s="9" t="s">
        <v>49</v>
      </c>
      <c r="J117" s="655">
        <f>J118</f>
        <v>64.8</v>
      </c>
    </row>
    <row r="118" spans="1:10" ht="13" hidden="1" x14ac:dyDescent="0.3">
      <c r="A118" s="634"/>
      <c r="B118" s="645" t="s">
        <v>16</v>
      </c>
      <c r="C118" s="577"/>
      <c r="D118" s="577" t="s">
        <v>52</v>
      </c>
      <c r="E118" s="577" t="s">
        <v>49</v>
      </c>
      <c r="F118" s="9" t="s">
        <v>381</v>
      </c>
      <c r="G118" s="9" t="s">
        <v>1</v>
      </c>
      <c r="H118" s="9"/>
      <c r="I118" s="9" t="s">
        <v>49</v>
      </c>
      <c r="J118" s="656">
        <v>64.8</v>
      </c>
    </row>
    <row r="119" spans="1:10" ht="13" hidden="1" x14ac:dyDescent="0.3">
      <c r="A119" s="634"/>
      <c r="B119" s="651" t="s">
        <v>380</v>
      </c>
      <c r="C119" s="577"/>
      <c r="D119" s="577" t="s">
        <v>52</v>
      </c>
      <c r="E119" s="577" t="s">
        <v>49</v>
      </c>
      <c r="F119" s="34" t="s">
        <v>379</v>
      </c>
      <c r="G119" s="9"/>
      <c r="H119" s="9"/>
      <c r="I119" s="9" t="s">
        <v>49</v>
      </c>
      <c r="J119" s="655">
        <f>J120</f>
        <v>90</v>
      </c>
    </row>
    <row r="120" spans="1:10" ht="13" hidden="1" x14ac:dyDescent="0.3">
      <c r="A120" s="634"/>
      <c r="B120" s="645" t="s">
        <v>16</v>
      </c>
      <c r="C120" s="577"/>
      <c r="D120" s="577" t="s">
        <v>52</v>
      </c>
      <c r="E120" s="577" t="s">
        <v>49</v>
      </c>
      <c r="F120" s="9" t="s">
        <v>379</v>
      </c>
      <c r="G120" s="9" t="s">
        <v>1</v>
      </c>
      <c r="H120" s="9"/>
      <c r="I120" s="9" t="s">
        <v>49</v>
      </c>
      <c r="J120" s="656">
        <v>90</v>
      </c>
    </row>
    <row r="121" spans="1:10" ht="14" hidden="1" x14ac:dyDescent="0.3">
      <c r="A121" s="634"/>
      <c r="B121" s="670" t="s">
        <v>378</v>
      </c>
      <c r="C121" s="671"/>
      <c r="D121" s="671" t="s">
        <v>15</v>
      </c>
      <c r="E121" s="683"/>
      <c r="F121" s="200"/>
      <c r="G121" s="200"/>
      <c r="H121" s="200"/>
      <c r="I121" s="200"/>
      <c r="J121" s="684">
        <f>J122+J133+J146+J155</f>
        <v>22021.318999999996</v>
      </c>
    </row>
    <row r="122" spans="1:10" ht="13" hidden="1" x14ac:dyDescent="0.25">
      <c r="B122" s="648" t="s">
        <v>11</v>
      </c>
      <c r="C122" s="663"/>
      <c r="D122" s="663" t="s">
        <v>15</v>
      </c>
      <c r="E122" s="663" t="s">
        <v>9</v>
      </c>
      <c r="F122" s="9"/>
      <c r="G122" s="9"/>
      <c r="H122" s="9"/>
      <c r="I122" s="34" t="s">
        <v>9</v>
      </c>
      <c r="J122" s="653">
        <f>J123+J128</f>
        <v>9048</v>
      </c>
    </row>
    <row r="123" spans="1:10" ht="52" hidden="1" x14ac:dyDescent="0.25">
      <c r="B123" s="685" t="s">
        <v>285</v>
      </c>
      <c r="C123" s="663"/>
      <c r="D123" s="649" t="s">
        <v>15</v>
      </c>
      <c r="E123" s="663" t="s">
        <v>9</v>
      </c>
      <c r="F123" s="34" t="s">
        <v>284</v>
      </c>
      <c r="G123" s="131"/>
      <c r="H123" s="131"/>
      <c r="I123" s="34" t="s">
        <v>9</v>
      </c>
      <c r="J123" s="131"/>
    </row>
    <row r="124" spans="1:10" ht="52" hidden="1" x14ac:dyDescent="0.3">
      <c r="B124" s="686" t="s">
        <v>283</v>
      </c>
      <c r="C124" s="577"/>
      <c r="D124" s="572" t="s">
        <v>15</v>
      </c>
      <c r="E124" s="577" t="s">
        <v>9</v>
      </c>
      <c r="F124" s="9" t="s">
        <v>282</v>
      </c>
      <c r="G124" s="9"/>
      <c r="H124" s="9"/>
      <c r="I124" s="9" t="s">
        <v>9</v>
      </c>
      <c r="J124" s="640"/>
    </row>
    <row r="125" spans="1:10" ht="65" hidden="1" x14ac:dyDescent="0.3">
      <c r="B125" s="687" t="s">
        <v>281</v>
      </c>
      <c r="C125" s="577"/>
      <c r="D125" s="572" t="s">
        <v>15</v>
      </c>
      <c r="E125" s="577" t="s">
        <v>9</v>
      </c>
      <c r="F125" s="9" t="s">
        <v>280</v>
      </c>
      <c r="G125" s="9"/>
      <c r="H125" s="9"/>
      <c r="I125" s="9" t="s">
        <v>9</v>
      </c>
      <c r="J125" s="640"/>
    </row>
    <row r="126" spans="1:10" ht="65" hidden="1" x14ac:dyDescent="0.3">
      <c r="B126" s="686" t="s">
        <v>279</v>
      </c>
      <c r="C126" s="577"/>
      <c r="D126" s="572" t="s">
        <v>15</v>
      </c>
      <c r="E126" s="577" t="s">
        <v>9</v>
      </c>
      <c r="F126" s="9" t="s">
        <v>278</v>
      </c>
      <c r="G126" s="9"/>
      <c r="H126" s="9"/>
      <c r="I126" s="9" t="s">
        <v>9</v>
      </c>
      <c r="J126" s="655"/>
    </row>
    <row r="127" spans="1:10" ht="52" hidden="1" x14ac:dyDescent="0.3">
      <c r="B127" s="687" t="s">
        <v>277</v>
      </c>
      <c r="C127" s="577"/>
      <c r="D127" s="572" t="s">
        <v>15</v>
      </c>
      <c r="E127" s="577" t="s">
        <v>9</v>
      </c>
      <c r="F127" s="9" t="s">
        <v>276</v>
      </c>
      <c r="G127" s="9"/>
      <c r="H127" s="9"/>
      <c r="I127" s="9" t="s">
        <v>9</v>
      </c>
      <c r="J127" s="655"/>
    </row>
    <row r="128" spans="1:10" ht="39" hidden="1" x14ac:dyDescent="0.25">
      <c r="B128" s="648" t="s">
        <v>25</v>
      </c>
      <c r="C128" s="577"/>
      <c r="D128" s="663" t="s">
        <v>15</v>
      </c>
      <c r="E128" s="663" t="s">
        <v>9</v>
      </c>
      <c r="F128" s="34" t="s">
        <v>24</v>
      </c>
      <c r="G128" s="48"/>
      <c r="H128" s="48"/>
      <c r="I128" s="34" t="s">
        <v>9</v>
      </c>
      <c r="J128" s="47">
        <f>J129+J131</f>
        <v>9048</v>
      </c>
    </row>
    <row r="129" spans="1:10" ht="26" hidden="1" x14ac:dyDescent="0.25">
      <c r="B129" s="688" t="s">
        <v>377</v>
      </c>
      <c r="C129" s="577"/>
      <c r="D129" s="577" t="s">
        <v>15</v>
      </c>
      <c r="E129" s="577" t="s">
        <v>9</v>
      </c>
      <c r="F129" s="9" t="s">
        <v>376</v>
      </c>
      <c r="G129" s="48"/>
      <c r="H129" s="48"/>
      <c r="I129" s="9" t="s">
        <v>9</v>
      </c>
      <c r="J129" s="47">
        <f>J130</f>
        <v>420</v>
      </c>
    </row>
    <row r="130" spans="1:10" ht="13" hidden="1" x14ac:dyDescent="0.3">
      <c r="B130" s="645" t="s">
        <v>16</v>
      </c>
      <c r="C130" s="577"/>
      <c r="D130" s="577" t="s">
        <v>15</v>
      </c>
      <c r="E130" s="577" t="s">
        <v>9</v>
      </c>
      <c r="F130" s="9" t="s">
        <v>376</v>
      </c>
      <c r="G130" s="9" t="s">
        <v>1</v>
      </c>
      <c r="H130" s="9"/>
      <c r="I130" s="9" t="s">
        <v>9</v>
      </c>
      <c r="J130" s="57">
        <v>420</v>
      </c>
    </row>
    <row r="131" spans="1:10" ht="13" hidden="1" x14ac:dyDescent="0.25">
      <c r="B131" s="688" t="s">
        <v>375</v>
      </c>
      <c r="C131" s="577"/>
      <c r="D131" s="577" t="s">
        <v>15</v>
      </c>
      <c r="E131" s="577" t="s">
        <v>9</v>
      </c>
      <c r="F131" s="9" t="s">
        <v>373</v>
      </c>
      <c r="G131" s="48"/>
      <c r="H131" s="48"/>
      <c r="I131" s="9" t="s">
        <v>9</v>
      </c>
      <c r="J131" s="57">
        <f>J132</f>
        <v>8628</v>
      </c>
    </row>
    <row r="132" spans="1:10" ht="26" hidden="1" x14ac:dyDescent="0.3">
      <c r="B132" s="689" t="s">
        <v>374</v>
      </c>
      <c r="C132" s="577"/>
      <c r="D132" s="577" t="s">
        <v>15</v>
      </c>
      <c r="E132" s="577" t="s">
        <v>9</v>
      </c>
      <c r="F132" s="9" t="s">
        <v>373</v>
      </c>
      <c r="G132" s="9" t="s">
        <v>372</v>
      </c>
      <c r="H132" s="9"/>
      <c r="I132" s="9" t="s">
        <v>9</v>
      </c>
      <c r="J132" s="690">
        <v>8628</v>
      </c>
    </row>
    <row r="133" spans="1:10" ht="13" hidden="1" x14ac:dyDescent="0.25">
      <c r="B133" s="648" t="s">
        <v>39</v>
      </c>
      <c r="C133" s="663"/>
      <c r="D133" s="663" t="s">
        <v>15</v>
      </c>
      <c r="E133" s="663" t="s">
        <v>13</v>
      </c>
      <c r="F133" s="9"/>
      <c r="G133" s="9"/>
      <c r="H133" s="9"/>
      <c r="I133" s="34" t="s">
        <v>13</v>
      </c>
      <c r="J133" s="650">
        <f>J134+J141</f>
        <v>1214.55</v>
      </c>
    </row>
    <row r="134" spans="1:10" ht="39" hidden="1" x14ac:dyDescent="0.25">
      <c r="B134" s="691" t="s">
        <v>371</v>
      </c>
      <c r="C134" s="663"/>
      <c r="D134" s="649" t="s">
        <v>15</v>
      </c>
      <c r="E134" s="663" t="s">
        <v>13</v>
      </c>
      <c r="F134" s="34" t="s">
        <v>370</v>
      </c>
      <c r="G134" s="131"/>
      <c r="H134" s="131"/>
      <c r="I134" s="34" t="s">
        <v>13</v>
      </c>
      <c r="J134" s="205">
        <f>J135</f>
        <v>1129.55</v>
      </c>
    </row>
    <row r="135" spans="1:10" ht="65" hidden="1" x14ac:dyDescent="0.25">
      <c r="B135" s="688" t="s">
        <v>369</v>
      </c>
      <c r="C135" s="577"/>
      <c r="D135" s="572" t="s">
        <v>15</v>
      </c>
      <c r="E135" s="577" t="s">
        <v>13</v>
      </c>
      <c r="F135" s="9" t="s">
        <v>367</v>
      </c>
      <c r="G135" s="9"/>
      <c r="H135" s="9"/>
      <c r="I135" s="9" t="s">
        <v>13</v>
      </c>
      <c r="J135" s="692">
        <f>J136</f>
        <v>1129.55</v>
      </c>
    </row>
    <row r="136" spans="1:10" ht="26" hidden="1" x14ac:dyDescent="0.25">
      <c r="B136" s="688" t="s">
        <v>368</v>
      </c>
      <c r="C136" s="577"/>
      <c r="D136" s="572" t="s">
        <v>15</v>
      </c>
      <c r="E136" s="577" t="s">
        <v>13</v>
      </c>
      <c r="F136" s="9" t="s">
        <v>367</v>
      </c>
      <c r="G136" s="9" t="s">
        <v>366</v>
      </c>
      <c r="H136" s="9"/>
      <c r="I136" s="9" t="s">
        <v>13</v>
      </c>
      <c r="J136" s="652">
        <v>1129.55</v>
      </c>
    </row>
    <row r="137" spans="1:10" ht="52" hidden="1" x14ac:dyDescent="0.25">
      <c r="B137" s="688" t="s">
        <v>192</v>
      </c>
      <c r="C137" s="577"/>
      <c r="D137" s="572" t="s">
        <v>15</v>
      </c>
      <c r="E137" s="577" t="s">
        <v>13</v>
      </c>
      <c r="F137" s="9" t="s">
        <v>365</v>
      </c>
      <c r="G137" s="9"/>
      <c r="H137" s="9"/>
      <c r="I137" s="9" t="s">
        <v>13</v>
      </c>
      <c r="J137" s="655"/>
    </row>
    <row r="138" spans="1:10" ht="39" hidden="1" x14ac:dyDescent="0.25">
      <c r="B138" s="691" t="s">
        <v>165</v>
      </c>
      <c r="C138" s="663"/>
      <c r="D138" s="649" t="s">
        <v>15</v>
      </c>
      <c r="E138" s="663" t="s">
        <v>13</v>
      </c>
      <c r="F138" s="34" t="s">
        <v>164</v>
      </c>
      <c r="G138" s="131"/>
      <c r="H138" s="131"/>
      <c r="I138" s="34" t="s">
        <v>13</v>
      </c>
      <c r="J138" s="131"/>
    </row>
    <row r="139" spans="1:10" ht="65" hidden="1" x14ac:dyDescent="0.25">
      <c r="B139" s="651" t="s">
        <v>163</v>
      </c>
      <c r="C139" s="577"/>
      <c r="D139" s="572" t="s">
        <v>15</v>
      </c>
      <c r="E139" s="577" t="s">
        <v>13</v>
      </c>
      <c r="F139" s="9" t="s">
        <v>162</v>
      </c>
      <c r="G139" s="9"/>
      <c r="H139" s="9"/>
      <c r="I139" s="9" t="s">
        <v>13</v>
      </c>
      <c r="J139" s="655"/>
    </row>
    <row r="140" spans="1:10" ht="52" hidden="1" x14ac:dyDescent="0.25">
      <c r="B140" s="688" t="s">
        <v>161</v>
      </c>
      <c r="C140" s="663"/>
      <c r="D140" s="572" t="s">
        <v>15</v>
      </c>
      <c r="E140" s="577" t="s">
        <v>13</v>
      </c>
      <c r="F140" s="9" t="s">
        <v>160</v>
      </c>
      <c r="G140" s="9"/>
      <c r="H140" s="9"/>
      <c r="I140" s="9" t="s">
        <v>13</v>
      </c>
      <c r="J140" s="655"/>
    </row>
    <row r="141" spans="1:10" ht="39" hidden="1" x14ac:dyDescent="0.25">
      <c r="A141" s="564"/>
      <c r="B141" s="648" t="s">
        <v>25</v>
      </c>
      <c r="C141" s="577"/>
      <c r="D141" s="663" t="s">
        <v>15</v>
      </c>
      <c r="E141" s="663" t="s">
        <v>13</v>
      </c>
      <c r="F141" s="34" t="s">
        <v>24</v>
      </c>
      <c r="G141" s="48"/>
      <c r="H141" s="48"/>
      <c r="I141" s="34" t="s">
        <v>13</v>
      </c>
      <c r="J141" s="51">
        <f>J142</f>
        <v>85</v>
      </c>
    </row>
    <row r="142" spans="1:10" ht="39" hidden="1" x14ac:dyDescent="0.25">
      <c r="A142" s="564"/>
      <c r="B142" s="651" t="s">
        <v>23</v>
      </c>
      <c r="C142" s="577"/>
      <c r="D142" s="577" t="s">
        <v>15</v>
      </c>
      <c r="E142" s="577" t="s">
        <v>13</v>
      </c>
      <c r="F142" s="9" t="s">
        <v>14</v>
      </c>
      <c r="G142" s="48"/>
      <c r="H142" s="48"/>
      <c r="I142" s="9" t="s">
        <v>13</v>
      </c>
      <c r="J142" s="47">
        <f>J145</f>
        <v>85</v>
      </c>
    </row>
    <row r="143" spans="1:10" ht="26" hidden="1" x14ac:dyDescent="0.25">
      <c r="A143" s="564"/>
      <c r="B143" s="658" t="s">
        <v>22</v>
      </c>
      <c r="C143" s="676"/>
      <c r="D143" s="676" t="s">
        <v>15</v>
      </c>
      <c r="E143" s="676" t="s">
        <v>13</v>
      </c>
      <c r="F143" s="31" t="s">
        <v>21</v>
      </c>
      <c r="G143" s="3379" t="s">
        <v>20</v>
      </c>
      <c r="H143" s="3380"/>
      <c r="I143" s="3380"/>
      <c r="J143" s="3381"/>
    </row>
    <row r="144" spans="1:10" ht="26" hidden="1" x14ac:dyDescent="0.25">
      <c r="A144" s="564"/>
      <c r="B144" s="658" t="s">
        <v>19</v>
      </c>
      <c r="C144" s="676"/>
      <c r="D144" s="676" t="s">
        <v>15</v>
      </c>
      <c r="E144" s="676" t="s">
        <v>13</v>
      </c>
      <c r="F144" s="31" t="s">
        <v>18</v>
      </c>
      <c r="G144" s="3373" t="s">
        <v>17</v>
      </c>
      <c r="H144" s="3374"/>
      <c r="I144" s="3374"/>
      <c r="J144" s="3375"/>
    </row>
    <row r="145" spans="1:10" ht="13" hidden="1" x14ac:dyDescent="0.3">
      <c r="A145" s="564"/>
      <c r="B145" s="645" t="s">
        <v>16</v>
      </c>
      <c r="C145" s="676"/>
      <c r="D145" s="577" t="s">
        <v>15</v>
      </c>
      <c r="E145" s="577" t="s">
        <v>13</v>
      </c>
      <c r="F145" s="9" t="s">
        <v>14</v>
      </c>
      <c r="G145" s="33" t="s">
        <v>1</v>
      </c>
      <c r="H145" s="33"/>
      <c r="I145" s="9" t="s">
        <v>13</v>
      </c>
      <c r="J145" s="28">
        <v>85</v>
      </c>
    </row>
    <row r="146" spans="1:10" ht="13" hidden="1" x14ac:dyDescent="0.25">
      <c r="B146" s="648" t="s">
        <v>34</v>
      </c>
      <c r="C146" s="577"/>
      <c r="D146" s="663" t="s">
        <v>15</v>
      </c>
      <c r="E146" s="663" t="s">
        <v>32</v>
      </c>
      <c r="F146" s="9"/>
      <c r="G146" s="9"/>
      <c r="H146" s="9"/>
      <c r="I146" s="34" t="s">
        <v>32</v>
      </c>
      <c r="J146" s="693">
        <f>J147+J150</f>
        <v>11758.768999999998</v>
      </c>
    </row>
    <row r="147" spans="1:10" ht="52" hidden="1" x14ac:dyDescent="0.25">
      <c r="B147" s="694" t="s">
        <v>364</v>
      </c>
      <c r="C147" s="663"/>
      <c r="D147" s="649" t="s">
        <v>15</v>
      </c>
      <c r="E147" s="663" t="s">
        <v>32</v>
      </c>
      <c r="F147" s="34" t="s">
        <v>363</v>
      </c>
      <c r="G147" s="131"/>
      <c r="H147" s="131"/>
      <c r="I147" s="34" t="s">
        <v>32</v>
      </c>
      <c r="J147" s="51">
        <f>J148</f>
        <v>2275.0059999999999</v>
      </c>
    </row>
    <row r="148" spans="1:10" ht="65" hidden="1" x14ac:dyDescent="0.25">
      <c r="B148" s="688" t="s">
        <v>362</v>
      </c>
      <c r="C148" s="577"/>
      <c r="D148" s="572" t="s">
        <v>15</v>
      </c>
      <c r="E148" s="577" t="s">
        <v>32</v>
      </c>
      <c r="F148" s="9" t="s">
        <v>361</v>
      </c>
      <c r="G148" s="9"/>
      <c r="H148" s="9"/>
      <c r="I148" s="9" t="s">
        <v>32</v>
      </c>
      <c r="J148" s="650">
        <f>J149</f>
        <v>2275.0059999999999</v>
      </c>
    </row>
    <row r="149" spans="1:10" ht="13" hidden="1" x14ac:dyDescent="0.3">
      <c r="B149" s="645" t="s">
        <v>16</v>
      </c>
      <c r="C149" s="577"/>
      <c r="D149" s="572" t="s">
        <v>15</v>
      </c>
      <c r="E149" s="577" t="s">
        <v>32</v>
      </c>
      <c r="F149" s="9" t="s">
        <v>361</v>
      </c>
      <c r="G149" s="9" t="s">
        <v>1</v>
      </c>
      <c r="H149" s="9"/>
      <c r="I149" s="9" t="s">
        <v>32</v>
      </c>
      <c r="J149" s="650">
        <v>2275.0059999999999</v>
      </c>
    </row>
    <row r="150" spans="1:10" ht="39" hidden="1" x14ac:dyDescent="0.25">
      <c r="B150" s="691" t="s">
        <v>360</v>
      </c>
      <c r="C150" s="577"/>
      <c r="D150" s="663" t="s">
        <v>15</v>
      </c>
      <c r="E150" s="663" t="s">
        <v>32</v>
      </c>
      <c r="F150" s="34" t="s">
        <v>359</v>
      </c>
      <c r="G150" s="131"/>
      <c r="H150" s="131"/>
      <c r="I150" s="34" t="s">
        <v>32</v>
      </c>
      <c r="J150" s="51">
        <f>J151+J153</f>
        <v>9483.762999999999</v>
      </c>
    </row>
    <row r="151" spans="1:10" ht="65" hidden="1" x14ac:dyDescent="0.25">
      <c r="B151" s="651" t="s">
        <v>358</v>
      </c>
      <c r="C151" s="577"/>
      <c r="D151" s="663" t="s">
        <v>15</v>
      </c>
      <c r="E151" s="663" t="s">
        <v>32</v>
      </c>
      <c r="F151" s="9" t="s">
        <v>357</v>
      </c>
      <c r="G151" s="9"/>
      <c r="H151" s="9"/>
      <c r="I151" s="34" t="s">
        <v>32</v>
      </c>
      <c r="J151" s="650">
        <f>J152</f>
        <v>5353.7750000000005</v>
      </c>
    </row>
    <row r="152" spans="1:10" ht="13" hidden="1" x14ac:dyDescent="0.3">
      <c r="B152" s="645" t="s">
        <v>16</v>
      </c>
      <c r="C152" s="577"/>
      <c r="D152" s="577" t="s">
        <v>15</v>
      </c>
      <c r="E152" s="577" t="s">
        <v>32</v>
      </c>
      <c r="F152" s="9" t="s">
        <v>357</v>
      </c>
      <c r="G152" s="9" t="s">
        <v>1</v>
      </c>
      <c r="H152" s="9"/>
      <c r="I152" s="9" t="s">
        <v>32</v>
      </c>
      <c r="J152" s="653">
        <f>5356.1-4835.3+2500.3+2332.675</f>
        <v>5353.7750000000005</v>
      </c>
    </row>
    <row r="153" spans="1:10" ht="65" hidden="1" x14ac:dyDescent="0.25">
      <c r="B153" s="651" t="s">
        <v>356</v>
      </c>
      <c r="C153" s="577"/>
      <c r="D153" s="663" t="s">
        <v>15</v>
      </c>
      <c r="E153" s="663" t="s">
        <v>32</v>
      </c>
      <c r="F153" s="9" t="s">
        <v>355</v>
      </c>
      <c r="G153" s="9"/>
      <c r="H153" s="9"/>
      <c r="I153" s="34" t="s">
        <v>32</v>
      </c>
      <c r="J153" s="650">
        <f>J154</f>
        <v>4129.9879999999994</v>
      </c>
    </row>
    <row r="154" spans="1:10" ht="13" hidden="1" x14ac:dyDescent="0.3">
      <c r="B154" s="645" t="s">
        <v>16</v>
      </c>
      <c r="C154" s="577"/>
      <c r="D154" s="577" t="s">
        <v>15</v>
      </c>
      <c r="E154" s="577" t="s">
        <v>32</v>
      </c>
      <c r="F154" s="9" t="s">
        <v>355</v>
      </c>
      <c r="G154" s="9" t="s">
        <v>1</v>
      </c>
      <c r="H154" s="9"/>
      <c r="I154" s="9" t="s">
        <v>32</v>
      </c>
      <c r="J154" s="650">
        <f>2142.2+1447.788+540</f>
        <v>4129.9879999999994</v>
      </c>
    </row>
    <row r="155" spans="1:10" ht="13" hidden="1" x14ac:dyDescent="0.25">
      <c r="B155" s="648" t="s">
        <v>354</v>
      </c>
      <c r="C155" s="577"/>
      <c r="D155" s="663" t="s">
        <v>15</v>
      </c>
      <c r="E155" s="663" t="s">
        <v>349</v>
      </c>
      <c r="F155" s="9"/>
      <c r="G155" s="9"/>
      <c r="H155" s="9"/>
      <c r="I155" s="34" t="s">
        <v>349</v>
      </c>
      <c r="J155" s="655">
        <f>J156</f>
        <v>0</v>
      </c>
    </row>
    <row r="156" spans="1:10" ht="39" hidden="1" x14ac:dyDescent="0.25">
      <c r="A156" s="564"/>
      <c r="B156" s="648" t="s">
        <v>25</v>
      </c>
      <c r="C156" s="577"/>
      <c r="D156" s="663" t="s">
        <v>15</v>
      </c>
      <c r="E156" s="663" t="s">
        <v>349</v>
      </c>
      <c r="F156" s="9"/>
      <c r="G156" s="9"/>
      <c r="H156" s="9"/>
      <c r="I156" s="34" t="s">
        <v>349</v>
      </c>
      <c r="J156" s="655">
        <f>J157</f>
        <v>0</v>
      </c>
    </row>
    <row r="157" spans="1:10" ht="26" hidden="1" x14ac:dyDescent="0.25">
      <c r="A157" s="564"/>
      <c r="B157" s="648" t="s">
        <v>353</v>
      </c>
      <c r="C157" s="577"/>
      <c r="D157" s="663" t="s">
        <v>15</v>
      </c>
      <c r="E157" s="663" t="s">
        <v>349</v>
      </c>
      <c r="F157" s="9" t="s">
        <v>352</v>
      </c>
      <c r="G157" s="48"/>
      <c r="H157" s="48"/>
      <c r="I157" s="34" t="s">
        <v>349</v>
      </c>
      <c r="J157" s="695">
        <f>J158</f>
        <v>0</v>
      </c>
    </row>
    <row r="158" spans="1:10" ht="26" hidden="1" x14ac:dyDescent="0.25">
      <c r="A158" s="564"/>
      <c r="B158" s="669" t="s">
        <v>351</v>
      </c>
      <c r="C158" s="577"/>
      <c r="D158" s="663" t="s">
        <v>15</v>
      </c>
      <c r="E158" s="663" t="s">
        <v>349</v>
      </c>
      <c r="F158" s="9" t="s">
        <v>350</v>
      </c>
      <c r="G158" s="48"/>
      <c r="H158" s="48"/>
      <c r="I158" s="34" t="s">
        <v>349</v>
      </c>
      <c r="J158" s="695">
        <f>J159</f>
        <v>0</v>
      </c>
    </row>
    <row r="159" spans="1:10" ht="13" hidden="1" x14ac:dyDescent="0.25">
      <c r="A159" s="564"/>
      <c r="B159" s="669"/>
      <c r="C159" s="577"/>
      <c r="D159" s="663" t="s">
        <v>15</v>
      </c>
      <c r="E159" s="663" t="s">
        <v>349</v>
      </c>
      <c r="F159" s="9" t="s">
        <v>350</v>
      </c>
      <c r="G159" s="48"/>
      <c r="H159" s="48"/>
      <c r="I159" s="34" t="s">
        <v>349</v>
      </c>
      <c r="J159" s="695"/>
    </row>
    <row r="160" spans="1:10" ht="14" hidden="1" x14ac:dyDescent="0.25">
      <c r="B160" s="696" t="s">
        <v>348</v>
      </c>
      <c r="C160" s="671"/>
      <c r="D160" s="671" t="s">
        <v>265</v>
      </c>
      <c r="E160" s="697"/>
      <c r="F160" s="201"/>
      <c r="G160" s="200"/>
      <c r="H160" s="484"/>
      <c r="I160" s="199"/>
      <c r="J160" s="698">
        <f>J161</f>
        <v>160</v>
      </c>
    </row>
    <row r="161" spans="2:10" ht="13" hidden="1" x14ac:dyDescent="0.25">
      <c r="B161" s="648" t="s">
        <v>264</v>
      </c>
      <c r="C161" s="663"/>
      <c r="D161" s="663" t="s">
        <v>265</v>
      </c>
      <c r="E161" s="663" t="s">
        <v>262</v>
      </c>
      <c r="F161" s="1"/>
      <c r="G161" s="9"/>
      <c r="H161" s="9"/>
      <c r="I161" s="34" t="s">
        <v>262</v>
      </c>
      <c r="J161" s="647">
        <f>J162</f>
        <v>160</v>
      </c>
    </row>
    <row r="162" spans="2:10" ht="39" hidden="1" x14ac:dyDescent="0.25">
      <c r="B162" s="648" t="s">
        <v>253</v>
      </c>
      <c r="C162" s="663"/>
      <c r="D162" s="663" t="s">
        <v>265</v>
      </c>
      <c r="E162" s="663" t="s">
        <v>262</v>
      </c>
      <c r="F162" s="34" t="s">
        <v>252</v>
      </c>
      <c r="G162" s="131"/>
      <c r="H162" s="131"/>
      <c r="I162" s="34" t="s">
        <v>262</v>
      </c>
      <c r="J162" s="51">
        <f>J163</f>
        <v>160</v>
      </c>
    </row>
    <row r="163" spans="2:10" ht="65" hidden="1" x14ac:dyDescent="0.25">
      <c r="B163" s="674" t="s">
        <v>347</v>
      </c>
      <c r="C163" s="663"/>
      <c r="D163" s="663" t="s">
        <v>265</v>
      </c>
      <c r="E163" s="663" t="s">
        <v>262</v>
      </c>
      <c r="F163" s="34" t="s">
        <v>346</v>
      </c>
      <c r="G163" s="9"/>
      <c r="H163" s="9"/>
      <c r="I163" s="34" t="s">
        <v>262</v>
      </c>
      <c r="J163" s="647">
        <f>J166</f>
        <v>160</v>
      </c>
    </row>
    <row r="164" spans="2:10" ht="52" hidden="1" x14ac:dyDescent="0.25">
      <c r="B164" s="654" t="s">
        <v>270</v>
      </c>
      <c r="C164" s="663"/>
      <c r="D164" s="663" t="s">
        <v>265</v>
      </c>
      <c r="E164" s="663" t="s">
        <v>262</v>
      </c>
      <c r="F164" s="9" t="s">
        <v>269</v>
      </c>
      <c r="G164" s="9"/>
      <c r="H164" s="9"/>
      <c r="I164" s="34" t="s">
        <v>262</v>
      </c>
      <c r="J164" s="647"/>
    </row>
    <row r="165" spans="2:10" ht="13" hidden="1" x14ac:dyDescent="0.3">
      <c r="B165" s="645" t="s">
        <v>16</v>
      </c>
      <c r="C165" s="663"/>
      <c r="D165" s="663" t="s">
        <v>265</v>
      </c>
      <c r="E165" s="663" t="s">
        <v>262</v>
      </c>
      <c r="F165" s="9" t="s">
        <v>269</v>
      </c>
      <c r="G165" s="9" t="s">
        <v>1</v>
      </c>
      <c r="H165" s="9"/>
      <c r="I165" s="34" t="s">
        <v>262</v>
      </c>
      <c r="J165" s="647"/>
    </row>
    <row r="166" spans="2:10" ht="52" hidden="1" x14ac:dyDescent="0.25">
      <c r="B166" s="651" t="s">
        <v>345</v>
      </c>
      <c r="C166" s="663"/>
      <c r="D166" s="663" t="s">
        <v>265</v>
      </c>
      <c r="E166" s="663" t="s">
        <v>262</v>
      </c>
      <c r="F166" s="9" t="s">
        <v>344</v>
      </c>
      <c r="G166" s="9"/>
      <c r="H166" s="9"/>
      <c r="I166" s="34" t="s">
        <v>262</v>
      </c>
      <c r="J166" s="647">
        <f>J167</f>
        <v>160</v>
      </c>
    </row>
    <row r="167" spans="2:10" ht="13" hidden="1" x14ac:dyDescent="0.3">
      <c r="B167" s="645" t="s">
        <v>16</v>
      </c>
      <c r="C167" s="663"/>
      <c r="D167" s="663" t="s">
        <v>265</v>
      </c>
      <c r="E167" s="663" t="s">
        <v>262</v>
      </c>
      <c r="F167" s="9" t="s">
        <v>344</v>
      </c>
      <c r="G167" s="9" t="s">
        <v>1</v>
      </c>
      <c r="H167" s="9"/>
      <c r="I167" s="34" t="s">
        <v>262</v>
      </c>
      <c r="J167" s="647">
        <v>160</v>
      </c>
    </row>
    <row r="168" spans="2:10" ht="14" hidden="1" x14ac:dyDescent="0.25">
      <c r="B168" s="635" t="s">
        <v>343</v>
      </c>
      <c r="C168" s="566"/>
      <c r="D168" s="566" t="s">
        <v>246</v>
      </c>
      <c r="E168" s="566"/>
      <c r="F168" s="193"/>
      <c r="G168" s="193"/>
      <c r="H168" s="193"/>
      <c r="I168" s="193"/>
      <c r="J168" s="698">
        <f>J169+J176</f>
        <v>7152.5</v>
      </c>
    </row>
    <row r="169" spans="2:10" ht="13" hidden="1" x14ac:dyDescent="0.25">
      <c r="B169" s="648" t="s">
        <v>87</v>
      </c>
      <c r="C169" s="663"/>
      <c r="D169" s="663" t="s">
        <v>246</v>
      </c>
      <c r="E169" s="663" t="s">
        <v>85</v>
      </c>
      <c r="F169" s="34"/>
      <c r="G169" s="34"/>
      <c r="H169" s="34"/>
      <c r="I169" s="34" t="s">
        <v>85</v>
      </c>
      <c r="J169" s="640">
        <f>J170</f>
        <v>5947</v>
      </c>
    </row>
    <row r="170" spans="2:10" ht="39" hidden="1" x14ac:dyDescent="0.25">
      <c r="B170" s="648" t="s">
        <v>253</v>
      </c>
      <c r="C170" s="663"/>
      <c r="D170" s="663" t="s">
        <v>246</v>
      </c>
      <c r="E170" s="663" t="s">
        <v>85</v>
      </c>
      <c r="F170" s="34" t="s">
        <v>252</v>
      </c>
      <c r="G170" s="131"/>
      <c r="H170" s="131"/>
      <c r="I170" s="34" t="s">
        <v>85</v>
      </c>
      <c r="J170" s="51">
        <f>J171</f>
        <v>5947</v>
      </c>
    </row>
    <row r="171" spans="2:10" ht="52" hidden="1" x14ac:dyDescent="0.25">
      <c r="B171" s="674" t="s">
        <v>342</v>
      </c>
      <c r="C171" s="577"/>
      <c r="D171" s="577" t="s">
        <v>246</v>
      </c>
      <c r="E171" s="577" t="s">
        <v>85</v>
      </c>
      <c r="F171" s="9" t="s">
        <v>341</v>
      </c>
      <c r="G171" s="9"/>
      <c r="H171" s="9"/>
      <c r="I171" s="9" t="s">
        <v>85</v>
      </c>
      <c r="J171" s="646">
        <f>J172</f>
        <v>5947</v>
      </c>
    </row>
    <row r="172" spans="2:10" ht="65" hidden="1" x14ac:dyDescent="0.25">
      <c r="B172" s="651" t="s">
        <v>340</v>
      </c>
      <c r="C172" s="577"/>
      <c r="D172" s="577" t="s">
        <v>246</v>
      </c>
      <c r="E172" s="577" t="s">
        <v>85</v>
      </c>
      <c r="F172" s="9" t="s">
        <v>339</v>
      </c>
      <c r="G172" s="9"/>
      <c r="H172" s="9"/>
      <c r="I172" s="9" t="s">
        <v>85</v>
      </c>
      <c r="J172" s="646">
        <f>J173+J174+J175</f>
        <v>5947</v>
      </c>
    </row>
    <row r="173" spans="2:10" ht="13" hidden="1" x14ac:dyDescent="0.3">
      <c r="B173" s="645" t="s">
        <v>256</v>
      </c>
      <c r="C173" s="577"/>
      <c r="D173" s="577" t="s">
        <v>246</v>
      </c>
      <c r="E173" s="577" t="s">
        <v>85</v>
      </c>
      <c r="F173" s="9" t="s">
        <v>339</v>
      </c>
      <c r="G173" s="9" t="s">
        <v>255</v>
      </c>
      <c r="H173" s="9"/>
      <c r="I173" s="9" t="s">
        <v>85</v>
      </c>
      <c r="J173" s="699">
        <v>4171.2870000000003</v>
      </c>
    </row>
    <row r="174" spans="2:10" ht="13" hidden="1" x14ac:dyDescent="0.3">
      <c r="B174" s="645" t="s">
        <v>16</v>
      </c>
      <c r="C174" s="577"/>
      <c r="D174" s="577" t="s">
        <v>246</v>
      </c>
      <c r="E174" s="577" t="s">
        <v>85</v>
      </c>
      <c r="F174" s="9" t="s">
        <v>339</v>
      </c>
      <c r="G174" s="9" t="s">
        <v>1</v>
      </c>
      <c r="H174" s="9"/>
      <c r="I174" s="9" t="s">
        <v>85</v>
      </c>
      <c r="J174" s="646">
        <f>1775.713-0.713</f>
        <v>1775</v>
      </c>
    </row>
    <row r="175" spans="2:10" ht="13" hidden="1" x14ac:dyDescent="0.3">
      <c r="B175" s="645" t="s">
        <v>94</v>
      </c>
      <c r="C175" s="577"/>
      <c r="D175" s="577" t="s">
        <v>246</v>
      </c>
      <c r="E175" s="577" t="s">
        <v>85</v>
      </c>
      <c r="F175" s="9" t="s">
        <v>339</v>
      </c>
      <c r="G175" s="9" t="s">
        <v>91</v>
      </c>
      <c r="H175" s="9"/>
      <c r="I175" s="9" t="s">
        <v>85</v>
      </c>
      <c r="J175" s="647">
        <v>0.71299999999999997</v>
      </c>
    </row>
    <row r="176" spans="2:10" ht="13" hidden="1" x14ac:dyDescent="0.25">
      <c r="B176" s="648" t="s">
        <v>244</v>
      </c>
      <c r="C176" s="663"/>
      <c r="D176" s="663" t="s">
        <v>246</v>
      </c>
      <c r="E176" s="663" t="s">
        <v>242</v>
      </c>
      <c r="F176" s="9"/>
      <c r="G176" s="9"/>
      <c r="H176" s="9"/>
      <c r="I176" s="34" t="s">
        <v>242</v>
      </c>
      <c r="J176" s="640">
        <f>J177</f>
        <v>1205.5</v>
      </c>
    </row>
    <row r="177" spans="1:10" ht="39" hidden="1" x14ac:dyDescent="0.25">
      <c r="B177" s="648" t="s">
        <v>253</v>
      </c>
      <c r="C177" s="663"/>
      <c r="D177" s="663" t="s">
        <v>246</v>
      </c>
      <c r="E177" s="663" t="s">
        <v>242</v>
      </c>
      <c r="F177" s="34" t="s">
        <v>252</v>
      </c>
      <c r="G177" s="131"/>
      <c r="H177" s="131"/>
      <c r="I177" s="34" t="s">
        <v>242</v>
      </c>
      <c r="J177" s="51">
        <f>J178</f>
        <v>1205.5</v>
      </c>
    </row>
    <row r="178" spans="1:10" ht="65" hidden="1" x14ac:dyDescent="0.25">
      <c r="B178" s="674" t="s">
        <v>338</v>
      </c>
      <c r="C178" s="577"/>
      <c r="D178" s="577" t="s">
        <v>246</v>
      </c>
      <c r="E178" s="577" t="s">
        <v>242</v>
      </c>
      <c r="F178" s="9" t="s">
        <v>337</v>
      </c>
      <c r="G178" s="9"/>
      <c r="H178" s="9"/>
      <c r="I178" s="9" t="s">
        <v>242</v>
      </c>
      <c r="J178" s="646">
        <f>J179</f>
        <v>1205.5</v>
      </c>
    </row>
    <row r="179" spans="1:10" ht="65" hidden="1" x14ac:dyDescent="0.25">
      <c r="B179" s="651" t="s">
        <v>336</v>
      </c>
      <c r="C179" s="577"/>
      <c r="D179" s="577" t="s">
        <v>246</v>
      </c>
      <c r="E179" s="577" t="s">
        <v>242</v>
      </c>
      <c r="F179" s="9" t="s">
        <v>335</v>
      </c>
      <c r="G179" s="9"/>
      <c r="H179" s="9"/>
      <c r="I179" s="9" t="s">
        <v>242</v>
      </c>
      <c r="J179" s="646">
        <f>J180</f>
        <v>1205.5</v>
      </c>
    </row>
    <row r="180" spans="1:10" ht="13" hidden="1" x14ac:dyDescent="0.3">
      <c r="B180" s="645" t="s">
        <v>16</v>
      </c>
      <c r="C180" s="577"/>
      <c r="D180" s="577" t="s">
        <v>246</v>
      </c>
      <c r="E180" s="577" t="s">
        <v>242</v>
      </c>
      <c r="F180" s="9" t="s">
        <v>335</v>
      </c>
      <c r="G180" s="9" t="s">
        <v>1</v>
      </c>
      <c r="H180" s="9"/>
      <c r="I180" s="9" t="s">
        <v>242</v>
      </c>
      <c r="J180" s="646">
        <v>1205.5</v>
      </c>
    </row>
    <row r="181" spans="1:10" ht="52" hidden="1" x14ac:dyDescent="0.3">
      <c r="A181" s="701"/>
      <c r="B181" s="700" t="s">
        <v>247</v>
      </c>
      <c r="C181" s="643"/>
      <c r="D181" s="643" t="s">
        <v>246</v>
      </c>
      <c r="E181" s="577" t="s">
        <v>242</v>
      </c>
      <c r="F181" s="33" t="s">
        <v>245</v>
      </c>
      <c r="G181" s="31"/>
      <c r="H181" s="31"/>
      <c r="I181" s="9" t="s">
        <v>242</v>
      </c>
      <c r="J181" s="647"/>
    </row>
    <row r="182" spans="1:10" ht="14" hidden="1" x14ac:dyDescent="0.25">
      <c r="B182" s="635" t="s">
        <v>334</v>
      </c>
      <c r="C182" s="566"/>
      <c r="D182" s="566" t="s">
        <v>44</v>
      </c>
      <c r="E182" s="566"/>
      <c r="F182" s="193"/>
      <c r="G182" s="193"/>
      <c r="H182" s="193"/>
      <c r="I182" s="193"/>
      <c r="J182" s="672">
        <f>J183+J186</f>
        <v>412.5</v>
      </c>
    </row>
    <row r="183" spans="1:10" ht="13" hidden="1" x14ac:dyDescent="0.25">
      <c r="B183" s="679" t="s">
        <v>79</v>
      </c>
      <c r="C183" s="641"/>
      <c r="D183" s="663" t="s">
        <v>44</v>
      </c>
      <c r="E183" s="663" t="s">
        <v>76</v>
      </c>
      <c r="F183" s="89"/>
      <c r="G183" s="89"/>
      <c r="H183" s="89"/>
      <c r="I183" s="34" t="s">
        <v>76</v>
      </c>
      <c r="J183" s="655">
        <f>J184</f>
        <v>240.5</v>
      </c>
    </row>
    <row r="184" spans="1:10" ht="13" hidden="1" x14ac:dyDescent="0.25">
      <c r="B184" s="654" t="s">
        <v>333</v>
      </c>
      <c r="C184" s="641"/>
      <c r="D184" s="577" t="s">
        <v>44</v>
      </c>
      <c r="E184" s="577" t="s">
        <v>76</v>
      </c>
      <c r="F184" s="77">
        <v>9900308</v>
      </c>
      <c r="G184" s="89"/>
      <c r="H184" s="89"/>
      <c r="I184" s="9" t="s">
        <v>76</v>
      </c>
      <c r="J184" s="656">
        <f>J185</f>
        <v>240.5</v>
      </c>
    </row>
    <row r="185" spans="1:10" ht="13" hidden="1" x14ac:dyDescent="0.3">
      <c r="B185" s="645" t="s">
        <v>46</v>
      </c>
      <c r="C185" s="641"/>
      <c r="D185" s="577" t="s">
        <v>44</v>
      </c>
      <c r="E185" s="577" t="s">
        <v>76</v>
      </c>
      <c r="F185" s="77">
        <v>9900308</v>
      </c>
      <c r="G185" s="33" t="s">
        <v>42</v>
      </c>
      <c r="H185" s="33"/>
      <c r="I185" s="9" t="s">
        <v>76</v>
      </c>
      <c r="J185" s="656">
        <v>240.5</v>
      </c>
    </row>
    <row r="186" spans="1:10" ht="13" hidden="1" x14ac:dyDescent="0.25">
      <c r="B186" s="685" t="s">
        <v>45</v>
      </c>
      <c r="C186" s="663"/>
      <c r="D186" s="663" t="s">
        <v>44</v>
      </c>
      <c r="E186" s="663" t="s">
        <v>41</v>
      </c>
      <c r="F186" s="34"/>
      <c r="G186" s="9"/>
      <c r="H186" s="9"/>
      <c r="I186" s="34" t="s">
        <v>41</v>
      </c>
      <c r="J186" s="655">
        <f>J187</f>
        <v>172</v>
      </c>
    </row>
    <row r="187" spans="1:10" ht="13" hidden="1" x14ac:dyDescent="0.25">
      <c r="B187" s="702" t="s">
        <v>332</v>
      </c>
      <c r="C187" s="702"/>
      <c r="D187" s="577" t="s">
        <v>44</v>
      </c>
      <c r="E187" s="577" t="s">
        <v>41</v>
      </c>
      <c r="F187" s="77">
        <v>9901073</v>
      </c>
      <c r="G187" s="9"/>
      <c r="H187" s="9"/>
      <c r="I187" s="9" t="s">
        <v>41</v>
      </c>
      <c r="J187" s="656">
        <f>J188</f>
        <v>172</v>
      </c>
    </row>
    <row r="188" spans="1:10" ht="13" hidden="1" x14ac:dyDescent="0.3">
      <c r="B188" s="645" t="s">
        <v>46</v>
      </c>
      <c r="C188" s="702"/>
      <c r="D188" s="577" t="s">
        <v>44</v>
      </c>
      <c r="E188" s="577" t="s">
        <v>41</v>
      </c>
      <c r="F188" s="77">
        <v>9901073</v>
      </c>
      <c r="G188" s="9" t="s">
        <v>42</v>
      </c>
      <c r="H188" s="9"/>
      <c r="I188" s="9" t="s">
        <v>41</v>
      </c>
      <c r="J188" s="656">
        <v>172</v>
      </c>
    </row>
    <row r="189" spans="1:10" ht="14" hidden="1" x14ac:dyDescent="0.25">
      <c r="B189" s="635" t="s">
        <v>331</v>
      </c>
      <c r="C189" s="566"/>
      <c r="D189" s="566" t="s">
        <v>295</v>
      </c>
      <c r="E189" s="566"/>
      <c r="F189" s="193"/>
      <c r="G189" s="193"/>
      <c r="H189" s="193"/>
      <c r="I189" s="193"/>
      <c r="J189" s="673">
        <f>J191</f>
        <v>3930</v>
      </c>
    </row>
    <row r="190" spans="1:10" ht="13" hidden="1" x14ac:dyDescent="0.25">
      <c r="B190" s="648" t="s">
        <v>64</v>
      </c>
      <c r="C190" s="577"/>
      <c r="D190" s="663" t="s">
        <v>295</v>
      </c>
      <c r="E190" s="663" t="s">
        <v>62</v>
      </c>
      <c r="F190" s="34"/>
      <c r="G190" s="34"/>
      <c r="H190" s="34"/>
      <c r="I190" s="34" t="s">
        <v>62</v>
      </c>
      <c r="J190" s="653">
        <f>J191</f>
        <v>3930</v>
      </c>
    </row>
    <row r="191" spans="1:10" ht="52" hidden="1" x14ac:dyDescent="0.25">
      <c r="B191" s="679" t="s">
        <v>330</v>
      </c>
      <c r="C191" s="577"/>
      <c r="D191" s="577" t="s">
        <v>295</v>
      </c>
      <c r="E191" s="577" t="s">
        <v>62</v>
      </c>
      <c r="F191" s="9" t="s">
        <v>329</v>
      </c>
      <c r="G191" s="175"/>
      <c r="H191" s="175"/>
      <c r="I191" s="9" t="s">
        <v>62</v>
      </c>
      <c r="J191" s="703">
        <f>J194+J198</f>
        <v>3930</v>
      </c>
    </row>
    <row r="192" spans="1:10" ht="52" hidden="1" x14ac:dyDescent="0.25">
      <c r="B192" s="674" t="s">
        <v>310</v>
      </c>
      <c r="C192" s="577"/>
      <c r="D192" s="577" t="s">
        <v>295</v>
      </c>
      <c r="E192" s="577" t="s">
        <v>62</v>
      </c>
      <c r="F192" s="9" t="s">
        <v>309</v>
      </c>
      <c r="G192" s="9"/>
      <c r="H192" s="9"/>
      <c r="I192" s="9" t="s">
        <v>62</v>
      </c>
      <c r="J192" s="653"/>
    </row>
    <row r="193" spans="1:13" ht="52" hidden="1" x14ac:dyDescent="0.25">
      <c r="B193" s="669" t="s">
        <v>308</v>
      </c>
      <c r="C193" s="577"/>
      <c r="D193" s="577" t="s">
        <v>295</v>
      </c>
      <c r="E193" s="577" t="s">
        <v>62</v>
      </c>
      <c r="F193" s="9" t="s">
        <v>307</v>
      </c>
      <c r="G193" s="9"/>
      <c r="H193" s="9"/>
      <c r="I193" s="9" t="s">
        <v>62</v>
      </c>
      <c r="J193" s="653"/>
    </row>
    <row r="194" spans="1:13" ht="65" hidden="1" x14ac:dyDescent="0.25">
      <c r="B194" s="674" t="s">
        <v>328</v>
      </c>
      <c r="C194" s="577"/>
      <c r="D194" s="577" t="s">
        <v>295</v>
      </c>
      <c r="E194" s="577" t="s">
        <v>62</v>
      </c>
      <c r="F194" s="34" t="s">
        <v>305</v>
      </c>
      <c r="G194" s="9"/>
      <c r="H194" s="9"/>
      <c r="I194" s="9" t="s">
        <v>62</v>
      </c>
      <c r="J194" s="644">
        <f>J195</f>
        <v>3600</v>
      </c>
    </row>
    <row r="195" spans="1:13" ht="52" hidden="1" x14ac:dyDescent="0.25">
      <c r="B195" s="651" t="s">
        <v>327</v>
      </c>
      <c r="C195" s="577"/>
      <c r="D195" s="577" t="s">
        <v>295</v>
      </c>
      <c r="E195" s="577" t="s">
        <v>62</v>
      </c>
      <c r="F195" s="9" t="s">
        <v>301</v>
      </c>
      <c r="G195" s="9"/>
      <c r="H195" s="9"/>
      <c r="I195" s="9" t="s">
        <v>62</v>
      </c>
      <c r="J195" s="653">
        <f>J196</f>
        <v>3600</v>
      </c>
    </row>
    <row r="196" spans="1:13" ht="13" hidden="1" x14ac:dyDescent="0.3">
      <c r="B196" s="662" t="s">
        <v>16</v>
      </c>
      <c r="C196" s="577"/>
      <c r="D196" s="577" t="s">
        <v>295</v>
      </c>
      <c r="E196" s="577" t="s">
        <v>62</v>
      </c>
      <c r="F196" s="9" t="s">
        <v>301</v>
      </c>
      <c r="G196" s="9" t="s">
        <v>1</v>
      </c>
      <c r="H196" s="9"/>
      <c r="I196" s="9" t="s">
        <v>62</v>
      </c>
      <c r="J196" s="653">
        <v>3600</v>
      </c>
    </row>
    <row r="197" spans="1:13" ht="52" hidden="1" x14ac:dyDescent="0.25">
      <c r="B197" s="669" t="s">
        <v>303</v>
      </c>
      <c r="C197" s="577"/>
      <c r="D197" s="577" t="s">
        <v>295</v>
      </c>
      <c r="E197" s="577" t="s">
        <v>62</v>
      </c>
      <c r="F197" s="9" t="s">
        <v>302</v>
      </c>
      <c r="G197" s="9"/>
      <c r="H197" s="9"/>
      <c r="I197" s="9" t="s">
        <v>62</v>
      </c>
      <c r="J197" s="656"/>
    </row>
    <row r="198" spans="1:13" ht="52" hidden="1" x14ac:dyDescent="0.25">
      <c r="B198" s="704" t="s">
        <v>326</v>
      </c>
      <c r="C198" s="577"/>
      <c r="D198" s="577" t="s">
        <v>295</v>
      </c>
      <c r="E198" s="577" t="s">
        <v>62</v>
      </c>
      <c r="F198" s="34" t="s">
        <v>325</v>
      </c>
      <c r="G198" s="9"/>
      <c r="H198" s="9"/>
      <c r="I198" s="9" t="s">
        <v>62</v>
      </c>
      <c r="J198" s="655">
        <f>J199</f>
        <v>330</v>
      </c>
    </row>
    <row r="199" spans="1:13" ht="65" hidden="1" x14ac:dyDescent="0.25">
      <c r="B199" s="669" t="s">
        <v>324</v>
      </c>
      <c r="C199" s="577"/>
      <c r="D199" s="577" t="s">
        <v>295</v>
      </c>
      <c r="E199" s="577" t="s">
        <v>62</v>
      </c>
      <c r="F199" s="9" t="s">
        <v>323</v>
      </c>
      <c r="G199" s="9"/>
      <c r="H199" s="9"/>
      <c r="I199" s="9" t="s">
        <v>62</v>
      </c>
      <c r="J199" s="656">
        <f>J200</f>
        <v>330</v>
      </c>
    </row>
    <row r="200" spans="1:13" ht="13" hidden="1" x14ac:dyDescent="0.3">
      <c r="B200" s="662" t="s">
        <v>16</v>
      </c>
      <c r="C200" s="577"/>
      <c r="D200" s="577" t="s">
        <v>295</v>
      </c>
      <c r="E200" s="577" t="s">
        <v>62</v>
      </c>
      <c r="F200" s="9" t="s">
        <v>323</v>
      </c>
      <c r="G200" s="9" t="s">
        <v>1</v>
      </c>
      <c r="H200" s="9"/>
      <c r="I200" s="9" t="s">
        <v>62</v>
      </c>
      <c r="J200" s="656">
        <v>330</v>
      </c>
    </row>
    <row r="201" spans="1:13" hidden="1" x14ac:dyDescent="0.25">
      <c r="I201" s="4"/>
      <c r="J201" s="263"/>
    </row>
    <row r="202" spans="1:13" hidden="1" x14ac:dyDescent="0.25">
      <c r="I202" s="4"/>
      <c r="J202" s="263"/>
    </row>
    <row r="203" spans="1:13" ht="15.5" x14ac:dyDescent="0.35">
      <c r="I203" s="3447" t="s">
        <v>437</v>
      </c>
      <c r="J203" s="3447"/>
      <c r="K203" s="3447"/>
      <c r="L203" s="3447"/>
      <c r="M203" s="3447"/>
    </row>
    <row r="204" spans="1:13" ht="31.5" x14ac:dyDescent="0.3">
      <c r="A204" s="3444" t="s">
        <v>818</v>
      </c>
      <c r="B204" s="3445"/>
      <c r="C204" s="949"/>
      <c r="D204" s="949"/>
      <c r="E204" s="949"/>
      <c r="F204" s="950" t="s">
        <v>870</v>
      </c>
      <c r="G204" s="950" t="s">
        <v>871</v>
      </c>
      <c r="H204" s="950" t="s">
        <v>872</v>
      </c>
      <c r="I204" s="951" t="s">
        <v>873</v>
      </c>
      <c r="J204" s="951" t="s">
        <v>874</v>
      </c>
      <c r="M204" s="705" t="s">
        <v>819</v>
      </c>
    </row>
    <row r="205" spans="1:13" ht="27" customHeight="1" x14ac:dyDescent="0.3">
      <c r="A205" s="3420" t="s">
        <v>884</v>
      </c>
      <c r="B205" s="3421"/>
      <c r="C205" s="3421"/>
      <c r="D205" s="3421"/>
      <c r="E205" s="3421"/>
      <c r="F205" s="3421"/>
      <c r="G205" s="3421"/>
      <c r="H205" s="3421"/>
      <c r="I205" s="3421"/>
      <c r="J205" s="3421"/>
      <c r="K205" s="3421"/>
      <c r="L205" s="3421"/>
      <c r="M205" s="3422"/>
    </row>
    <row r="206" spans="1:13" ht="27" customHeight="1" x14ac:dyDescent="0.3">
      <c r="A206" s="3426" t="s">
        <v>875</v>
      </c>
      <c r="B206" s="3427"/>
      <c r="C206" s="952"/>
      <c r="D206" s="952"/>
      <c r="E206" s="952"/>
      <c r="F206" s="3430" t="s">
        <v>876</v>
      </c>
      <c r="G206" s="3432" t="s">
        <v>877</v>
      </c>
      <c r="H206" s="3441">
        <v>2019</v>
      </c>
      <c r="I206" s="3448" t="s">
        <v>879</v>
      </c>
      <c r="J206" s="953"/>
      <c r="K206" s="963"/>
      <c r="L206" s="963"/>
      <c r="M206" s="3450">
        <v>500</v>
      </c>
    </row>
    <row r="207" spans="1:13" ht="27" customHeight="1" x14ac:dyDescent="0.3">
      <c r="A207" s="3428"/>
      <c r="B207" s="3429"/>
      <c r="C207" s="954"/>
      <c r="D207" s="954"/>
      <c r="E207" s="954"/>
      <c r="F207" s="3431"/>
      <c r="G207" s="3433"/>
      <c r="H207" s="3442"/>
      <c r="I207" s="3449"/>
      <c r="J207" s="957">
        <v>500</v>
      </c>
      <c r="K207" s="963"/>
      <c r="L207" s="963"/>
      <c r="M207" s="3451"/>
    </row>
    <row r="208" spans="1:13" ht="13" x14ac:dyDescent="0.3">
      <c r="A208" s="3426" t="s">
        <v>885</v>
      </c>
      <c r="B208" s="3427"/>
      <c r="C208" s="952"/>
      <c r="D208" s="952"/>
      <c r="E208" s="952"/>
      <c r="F208" s="3430" t="s">
        <v>886</v>
      </c>
      <c r="G208" s="3432" t="s">
        <v>877</v>
      </c>
      <c r="H208" s="3432">
        <v>2019</v>
      </c>
      <c r="I208" s="3432" t="s">
        <v>878</v>
      </c>
      <c r="J208" s="1443">
        <v>1700</v>
      </c>
      <c r="K208" s="1444"/>
      <c r="L208" s="1444"/>
      <c r="M208" s="3452">
        <v>3000.703</v>
      </c>
    </row>
    <row r="209" spans="1:13" ht="40.5" customHeight="1" x14ac:dyDescent="0.25">
      <c r="A209" s="3428"/>
      <c r="B209" s="3429"/>
      <c r="C209" s="954"/>
      <c r="D209" s="954"/>
      <c r="E209" s="954"/>
      <c r="F209" s="3431"/>
      <c r="G209" s="3433"/>
      <c r="H209" s="3433"/>
      <c r="I209" s="3433"/>
      <c r="J209" s="957"/>
      <c r="K209" s="1444"/>
      <c r="L209" s="1444"/>
      <c r="M209" s="3453"/>
    </row>
    <row r="210" spans="1:13" ht="37.5" hidden="1" customHeight="1" x14ac:dyDescent="0.25">
      <c r="A210" s="3436" t="s">
        <v>963</v>
      </c>
      <c r="B210" s="3437"/>
      <c r="C210" s="3437"/>
      <c r="D210" s="3437"/>
      <c r="E210" s="3437"/>
      <c r="F210" s="3437"/>
      <c r="G210" s="3437"/>
      <c r="H210" s="3437"/>
      <c r="I210" s="3437"/>
      <c r="J210" s="3437"/>
      <c r="K210" s="3437"/>
      <c r="L210" s="3437"/>
      <c r="M210" s="3438"/>
    </row>
    <row r="211" spans="1:13" ht="40.5" hidden="1" customHeight="1" x14ac:dyDescent="0.25">
      <c r="A211" s="3439" t="s">
        <v>961</v>
      </c>
      <c r="B211" s="3440"/>
      <c r="C211" s="954"/>
      <c r="D211" s="954"/>
      <c r="E211" s="954"/>
      <c r="F211" s="1445"/>
      <c r="G211" s="119" t="s">
        <v>960</v>
      </c>
      <c r="H211" s="1446">
        <v>2019</v>
      </c>
      <c r="I211" s="119" t="s">
        <v>962</v>
      </c>
      <c r="J211" s="957"/>
      <c r="K211" s="1447"/>
      <c r="L211" s="1447"/>
      <c r="M211" s="1540"/>
    </row>
    <row r="212" spans="1:13" ht="13" hidden="1" x14ac:dyDescent="0.3">
      <c r="A212" s="3417" t="s">
        <v>820</v>
      </c>
      <c r="B212" s="3418"/>
      <c r="C212" s="3418"/>
      <c r="D212" s="3418"/>
      <c r="E212" s="3418"/>
      <c r="F212" s="3418"/>
      <c r="G212" s="3418"/>
      <c r="H212" s="3418"/>
      <c r="I212" s="3419"/>
      <c r="J212" s="958">
        <v>3497.6120000000001</v>
      </c>
      <c r="K212" s="1448"/>
      <c r="L212" s="1448"/>
      <c r="M212" s="965"/>
    </row>
    <row r="213" spans="1:13" ht="26.25" hidden="1" customHeight="1" x14ac:dyDescent="0.3">
      <c r="A213" s="3423" t="s">
        <v>25</v>
      </c>
      <c r="B213" s="3424"/>
      <c r="C213" s="3424"/>
      <c r="D213" s="3424"/>
      <c r="E213" s="3424"/>
      <c r="F213" s="3424"/>
      <c r="G213" s="3424"/>
      <c r="H213" s="3424"/>
      <c r="I213" s="3424"/>
      <c r="J213" s="3424"/>
      <c r="K213" s="3424"/>
      <c r="L213" s="3424"/>
      <c r="M213" s="3425"/>
    </row>
    <row r="214" spans="1:13" ht="39" hidden="1" x14ac:dyDescent="0.3">
      <c r="A214" s="3426" t="s">
        <v>880</v>
      </c>
      <c r="B214" s="3427"/>
      <c r="C214" s="959"/>
      <c r="D214" s="959"/>
      <c r="E214" s="959"/>
      <c r="F214" s="3434" t="s">
        <v>881</v>
      </c>
      <c r="G214" s="3434">
        <v>1200</v>
      </c>
      <c r="H214" s="960" t="s">
        <v>882</v>
      </c>
      <c r="I214" s="961" t="s">
        <v>883</v>
      </c>
      <c r="J214" s="962">
        <v>0</v>
      </c>
      <c r="K214" s="1448"/>
      <c r="L214" s="1448"/>
      <c r="M214" s="964">
        <v>0</v>
      </c>
    </row>
    <row r="215" spans="1:13" ht="13" hidden="1" x14ac:dyDescent="0.3">
      <c r="A215" s="3428"/>
      <c r="B215" s="3429"/>
      <c r="C215" s="954"/>
      <c r="D215" s="954"/>
      <c r="E215" s="954"/>
      <c r="F215" s="3435"/>
      <c r="G215" s="3435"/>
      <c r="H215" s="955">
        <v>2018</v>
      </c>
      <c r="I215" s="956" t="s">
        <v>879</v>
      </c>
      <c r="J215" s="962">
        <v>1900</v>
      </c>
      <c r="K215" s="1448"/>
      <c r="L215" s="1448"/>
      <c r="M215" s="964">
        <v>0</v>
      </c>
    </row>
    <row r="216" spans="1:13" ht="26.5" customHeight="1" x14ac:dyDescent="0.3">
      <c r="A216" s="3420" t="s">
        <v>906</v>
      </c>
      <c r="B216" s="3421"/>
      <c r="C216" s="3421"/>
      <c r="D216" s="3421"/>
      <c r="E216" s="3421"/>
      <c r="F216" s="3421"/>
      <c r="G216" s="3421"/>
      <c r="H216" s="3421"/>
      <c r="I216" s="3421"/>
      <c r="J216" s="3421"/>
      <c r="K216" s="3421"/>
      <c r="L216" s="3421"/>
      <c r="M216" s="3422"/>
    </row>
    <row r="217" spans="1:13" ht="50.5" customHeight="1" x14ac:dyDescent="0.3">
      <c r="A217" s="3439" t="s">
        <v>1071</v>
      </c>
      <c r="B217" s="3440"/>
      <c r="C217" s="954"/>
      <c r="D217" s="954"/>
      <c r="E217" s="954"/>
      <c r="F217" s="2172"/>
      <c r="G217" s="2172"/>
      <c r="H217" s="955"/>
      <c r="I217" s="956" t="s">
        <v>878</v>
      </c>
      <c r="J217" s="962"/>
      <c r="K217" s="1448"/>
      <c r="L217" s="1448"/>
      <c r="M217" s="2173">
        <v>1000</v>
      </c>
    </row>
    <row r="218" spans="1:13" ht="14" x14ac:dyDescent="0.3">
      <c r="A218" s="3417" t="s">
        <v>820</v>
      </c>
      <c r="B218" s="3418"/>
      <c r="C218" s="3418"/>
      <c r="D218" s="3418"/>
      <c r="E218" s="3418"/>
      <c r="F218" s="3418"/>
      <c r="G218" s="3418"/>
      <c r="H218" s="3418"/>
      <c r="I218" s="3419"/>
      <c r="J218" s="966">
        <f>J208+J209+J214+J215</f>
        <v>3600</v>
      </c>
      <c r="K218" s="1449"/>
      <c r="L218" s="1449"/>
      <c r="M218" s="1541">
        <f>M206+M208+M211+M217</f>
        <v>4500.7029999999995</v>
      </c>
    </row>
    <row r="219" spans="1:13" x14ac:dyDescent="0.25">
      <c r="I219" s="4"/>
      <c r="J219" s="263"/>
    </row>
  </sheetData>
  <mergeCells count="35">
    <mergeCell ref="A216:M216"/>
    <mergeCell ref="A217:B217"/>
    <mergeCell ref="B23:M23"/>
    <mergeCell ref="B25:M25"/>
    <mergeCell ref="A204:B204"/>
    <mergeCell ref="B28:I28"/>
    <mergeCell ref="G143:J143"/>
    <mergeCell ref="G144:J144"/>
    <mergeCell ref="I203:M203"/>
    <mergeCell ref="I206:I207"/>
    <mergeCell ref="M206:M207"/>
    <mergeCell ref="H208:H209"/>
    <mergeCell ref="I208:I209"/>
    <mergeCell ref="M208:M209"/>
    <mergeCell ref="B18:M18"/>
    <mergeCell ref="B17:M17"/>
    <mergeCell ref="B19:M19"/>
    <mergeCell ref="B20:M20"/>
    <mergeCell ref="H21:M21"/>
    <mergeCell ref="A218:I218"/>
    <mergeCell ref="A205:M205"/>
    <mergeCell ref="A213:M213"/>
    <mergeCell ref="A206:B207"/>
    <mergeCell ref="F206:F207"/>
    <mergeCell ref="G206:G207"/>
    <mergeCell ref="A212:I212"/>
    <mergeCell ref="A214:B215"/>
    <mergeCell ref="F214:F215"/>
    <mergeCell ref="G214:G215"/>
    <mergeCell ref="A208:B209"/>
    <mergeCell ref="F208:F209"/>
    <mergeCell ref="G208:G209"/>
    <mergeCell ref="A210:M210"/>
    <mergeCell ref="A211:B211"/>
    <mergeCell ref="H206:H207"/>
  </mergeCells>
  <pageMargins left="0.59055118110236227" right="0.59055118110236227" top="0.31496062992125984" bottom="0.31496062992125984" header="0.31496062992125984" footer="0.31496062992125984"/>
  <pageSetup firstPageNumber="55" orientation="landscape" useFirstPageNumber="1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50"/>
  <sheetViews>
    <sheetView topLeftCell="A37" workbookViewId="0">
      <selection activeCell="A40" sqref="A40:G41"/>
    </sheetView>
  </sheetViews>
  <sheetFormatPr defaultColWidth="9.1796875" defaultRowHeight="13" x14ac:dyDescent="0.3"/>
  <cols>
    <col min="1" max="1" width="34.54296875" style="645" customWidth="1"/>
    <col min="2" max="2" width="24.7265625" style="645" customWidth="1"/>
    <col min="3" max="3" width="19.26953125" style="2175" customWidth="1"/>
    <col min="4" max="5" width="14.1796875" style="645" customWidth="1"/>
    <col min="6" max="6" width="17.54296875" style="645" customWidth="1"/>
    <col min="7" max="7" width="17.81640625" style="645" customWidth="1"/>
    <col min="8" max="8" width="14.54296875" style="645" bestFit="1" customWidth="1"/>
    <col min="9" max="9" width="12.453125" style="645" bestFit="1" customWidth="1"/>
    <col min="10" max="10" width="14.54296875" style="645" bestFit="1" customWidth="1"/>
    <col min="11" max="256" width="9.1796875" style="645"/>
    <col min="257" max="257" width="34.54296875" style="645" customWidth="1"/>
    <col min="258" max="258" width="24.7265625" style="645" customWidth="1"/>
    <col min="259" max="259" width="19.26953125" style="645" customWidth="1"/>
    <col min="260" max="261" width="14.1796875" style="645" customWidth="1"/>
    <col min="262" max="262" width="17.54296875" style="645" customWidth="1"/>
    <col min="263" max="263" width="17.81640625" style="645" customWidth="1"/>
    <col min="264" max="264" width="14.54296875" style="645" bestFit="1" customWidth="1"/>
    <col min="265" max="265" width="12.453125" style="645" bestFit="1" customWidth="1"/>
    <col min="266" max="266" width="14.54296875" style="645" bestFit="1" customWidth="1"/>
    <col min="267" max="512" width="9.1796875" style="645"/>
    <col min="513" max="513" width="34.54296875" style="645" customWidth="1"/>
    <col min="514" max="514" width="24.7265625" style="645" customWidth="1"/>
    <col min="515" max="515" width="19.26953125" style="645" customWidth="1"/>
    <col min="516" max="517" width="14.1796875" style="645" customWidth="1"/>
    <col min="518" max="518" width="17.54296875" style="645" customWidth="1"/>
    <col min="519" max="519" width="17.81640625" style="645" customWidth="1"/>
    <col min="520" max="520" width="14.54296875" style="645" bestFit="1" customWidth="1"/>
    <col min="521" max="521" width="12.453125" style="645" bestFit="1" customWidth="1"/>
    <col min="522" max="522" width="14.54296875" style="645" bestFit="1" customWidth="1"/>
    <col min="523" max="768" width="9.1796875" style="645"/>
    <col min="769" max="769" width="34.54296875" style="645" customWidth="1"/>
    <col min="770" max="770" width="24.7265625" style="645" customWidth="1"/>
    <col min="771" max="771" width="19.26953125" style="645" customWidth="1"/>
    <col min="772" max="773" width="14.1796875" style="645" customWidth="1"/>
    <col min="774" max="774" width="17.54296875" style="645" customWidth="1"/>
    <col min="775" max="775" width="17.81640625" style="645" customWidth="1"/>
    <col min="776" max="776" width="14.54296875" style="645" bestFit="1" customWidth="1"/>
    <col min="777" max="777" width="12.453125" style="645" bestFit="1" customWidth="1"/>
    <col min="778" max="778" width="14.54296875" style="645" bestFit="1" customWidth="1"/>
    <col min="779" max="1024" width="9.1796875" style="645"/>
    <col min="1025" max="1025" width="34.54296875" style="645" customWidth="1"/>
    <col min="1026" max="1026" width="24.7265625" style="645" customWidth="1"/>
    <col min="1027" max="1027" width="19.26953125" style="645" customWidth="1"/>
    <col min="1028" max="1029" width="14.1796875" style="645" customWidth="1"/>
    <col min="1030" max="1030" width="17.54296875" style="645" customWidth="1"/>
    <col min="1031" max="1031" width="17.81640625" style="645" customWidth="1"/>
    <col min="1032" max="1032" width="14.54296875" style="645" bestFit="1" customWidth="1"/>
    <col min="1033" max="1033" width="12.453125" style="645" bestFit="1" customWidth="1"/>
    <col min="1034" max="1034" width="14.54296875" style="645" bestFit="1" customWidth="1"/>
    <col min="1035" max="1280" width="9.1796875" style="645"/>
    <col min="1281" max="1281" width="34.54296875" style="645" customWidth="1"/>
    <col min="1282" max="1282" width="24.7265625" style="645" customWidth="1"/>
    <col min="1283" max="1283" width="19.26953125" style="645" customWidth="1"/>
    <col min="1284" max="1285" width="14.1796875" style="645" customWidth="1"/>
    <col min="1286" max="1286" width="17.54296875" style="645" customWidth="1"/>
    <col min="1287" max="1287" width="17.81640625" style="645" customWidth="1"/>
    <col min="1288" max="1288" width="14.54296875" style="645" bestFit="1" customWidth="1"/>
    <col min="1289" max="1289" width="12.453125" style="645" bestFit="1" customWidth="1"/>
    <col min="1290" max="1290" width="14.54296875" style="645" bestFit="1" customWidth="1"/>
    <col min="1291" max="1536" width="9.1796875" style="645"/>
    <col min="1537" max="1537" width="34.54296875" style="645" customWidth="1"/>
    <col min="1538" max="1538" width="24.7265625" style="645" customWidth="1"/>
    <col min="1539" max="1539" width="19.26953125" style="645" customWidth="1"/>
    <col min="1540" max="1541" width="14.1796875" style="645" customWidth="1"/>
    <col min="1542" max="1542" width="17.54296875" style="645" customWidth="1"/>
    <col min="1543" max="1543" width="17.81640625" style="645" customWidth="1"/>
    <col min="1544" max="1544" width="14.54296875" style="645" bestFit="1" customWidth="1"/>
    <col min="1545" max="1545" width="12.453125" style="645" bestFit="1" customWidth="1"/>
    <col min="1546" max="1546" width="14.54296875" style="645" bestFit="1" customWidth="1"/>
    <col min="1547" max="1792" width="9.1796875" style="645"/>
    <col min="1793" max="1793" width="34.54296875" style="645" customWidth="1"/>
    <col min="1794" max="1794" width="24.7265625" style="645" customWidth="1"/>
    <col min="1795" max="1795" width="19.26953125" style="645" customWidth="1"/>
    <col min="1796" max="1797" width="14.1796875" style="645" customWidth="1"/>
    <col min="1798" max="1798" width="17.54296875" style="645" customWidth="1"/>
    <col min="1799" max="1799" width="17.81640625" style="645" customWidth="1"/>
    <col min="1800" max="1800" width="14.54296875" style="645" bestFit="1" customWidth="1"/>
    <col min="1801" max="1801" width="12.453125" style="645" bestFit="1" customWidth="1"/>
    <col min="1802" max="1802" width="14.54296875" style="645" bestFit="1" customWidth="1"/>
    <col min="1803" max="2048" width="9.1796875" style="645"/>
    <col min="2049" max="2049" width="34.54296875" style="645" customWidth="1"/>
    <col min="2050" max="2050" width="24.7265625" style="645" customWidth="1"/>
    <col min="2051" max="2051" width="19.26953125" style="645" customWidth="1"/>
    <col min="2052" max="2053" width="14.1796875" style="645" customWidth="1"/>
    <col min="2054" max="2054" width="17.54296875" style="645" customWidth="1"/>
    <col min="2055" max="2055" width="17.81640625" style="645" customWidth="1"/>
    <col min="2056" max="2056" width="14.54296875" style="645" bestFit="1" customWidth="1"/>
    <col min="2057" max="2057" width="12.453125" style="645" bestFit="1" customWidth="1"/>
    <col min="2058" max="2058" width="14.54296875" style="645" bestFit="1" customWidth="1"/>
    <col min="2059" max="2304" width="9.1796875" style="645"/>
    <col min="2305" max="2305" width="34.54296875" style="645" customWidth="1"/>
    <col min="2306" max="2306" width="24.7265625" style="645" customWidth="1"/>
    <col min="2307" max="2307" width="19.26953125" style="645" customWidth="1"/>
    <col min="2308" max="2309" width="14.1796875" style="645" customWidth="1"/>
    <col min="2310" max="2310" width="17.54296875" style="645" customWidth="1"/>
    <col min="2311" max="2311" width="17.81640625" style="645" customWidth="1"/>
    <col min="2312" max="2312" width="14.54296875" style="645" bestFit="1" customWidth="1"/>
    <col min="2313" max="2313" width="12.453125" style="645" bestFit="1" customWidth="1"/>
    <col min="2314" max="2314" width="14.54296875" style="645" bestFit="1" customWidth="1"/>
    <col min="2315" max="2560" width="9.1796875" style="645"/>
    <col min="2561" max="2561" width="34.54296875" style="645" customWidth="1"/>
    <col min="2562" max="2562" width="24.7265625" style="645" customWidth="1"/>
    <col min="2563" max="2563" width="19.26953125" style="645" customWidth="1"/>
    <col min="2564" max="2565" width="14.1796875" style="645" customWidth="1"/>
    <col min="2566" max="2566" width="17.54296875" style="645" customWidth="1"/>
    <col min="2567" max="2567" width="17.81640625" style="645" customWidth="1"/>
    <col min="2568" max="2568" width="14.54296875" style="645" bestFit="1" customWidth="1"/>
    <col min="2569" max="2569" width="12.453125" style="645" bestFit="1" customWidth="1"/>
    <col min="2570" max="2570" width="14.54296875" style="645" bestFit="1" customWidth="1"/>
    <col min="2571" max="2816" width="9.1796875" style="645"/>
    <col min="2817" max="2817" width="34.54296875" style="645" customWidth="1"/>
    <col min="2818" max="2818" width="24.7265625" style="645" customWidth="1"/>
    <col min="2819" max="2819" width="19.26953125" style="645" customWidth="1"/>
    <col min="2820" max="2821" width="14.1796875" style="645" customWidth="1"/>
    <col min="2822" max="2822" width="17.54296875" style="645" customWidth="1"/>
    <col min="2823" max="2823" width="17.81640625" style="645" customWidth="1"/>
    <col min="2824" max="2824" width="14.54296875" style="645" bestFit="1" customWidth="1"/>
    <col min="2825" max="2825" width="12.453125" style="645" bestFit="1" customWidth="1"/>
    <col min="2826" max="2826" width="14.54296875" style="645" bestFit="1" customWidth="1"/>
    <col min="2827" max="3072" width="9.1796875" style="645"/>
    <col min="3073" max="3073" width="34.54296875" style="645" customWidth="1"/>
    <col min="3074" max="3074" width="24.7265625" style="645" customWidth="1"/>
    <col min="3075" max="3075" width="19.26953125" style="645" customWidth="1"/>
    <col min="3076" max="3077" width="14.1796875" style="645" customWidth="1"/>
    <col min="3078" max="3078" width="17.54296875" style="645" customWidth="1"/>
    <col min="3079" max="3079" width="17.81640625" style="645" customWidth="1"/>
    <col min="3080" max="3080" width="14.54296875" style="645" bestFit="1" customWidth="1"/>
    <col min="3081" max="3081" width="12.453125" style="645" bestFit="1" customWidth="1"/>
    <col min="3082" max="3082" width="14.54296875" style="645" bestFit="1" customWidth="1"/>
    <col min="3083" max="3328" width="9.1796875" style="645"/>
    <col min="3329" max="3329" width="34.54296875" style="645" customWidth="1"/>
    <col min="3330" max="3330" width="24.7265625" style="645" customWidth="1"/>
    <col min="3331" max="3331" width="19.26953125" style="645" customWidth="1"/>
    <col min="3332" max="3333" width="14.1796875" style="645" customWidth="1"/>
    <col min="3334" max="3334" width="17.54296875" style="645" customWidth="1"/>
    <col min="3335" max="3335" width="17.81640625" style="645" customWidth="1"/>
    <col min="3336" max="3336" width="14.54296875" style="645" bestFit="1" customWidth="1"/>
    <col min="3337" max="3337" width="12.453125" style="645" bestFit="1" customWidth="1"/>
    <col min="3338" max="3338" width="14.54296875" style="645" bestFit="1" customWidth="1"/>
    <col min="3339" max="3584" width="9.1796875" style="645"/>
    <col min="3585" max="3585" width="34.54296875" style="645" customWidth="1"/>
    <col min="3586" max="3586" width="24.7265625" style="645" customWidth="1"/>
    <col min="3587" max="3587" width="19.26953125" style="645" customWidth="1"/>
    <col min="3588" max="3589" width="14.1796875" style="645" customWidth="1"/>
    <col min="3590" max="3590" width="17.54296875" style="645" customWidth="1"/>
    <col min="3591" max="3591" width="17.81640625" style="645" customWidth="1"/>
    <col min="3592" max="3592" width="14.54296875" style="645" bestFit="1" customWidth="1"/>
    <col min="3593" max="3593" width="12.453125" style="645" bestFit="1" customWidth="1"/>
    <col min="3594" max="3594" width="14.54296875" style="645" bestFit="1" customWidth="1"/>
    <col min="3595" max="3840" width="9.1796875" style="645"/>
    <col min="3841" max="3841" width="34.54296875" style="645" customWidth="1"/>
    <col min="3842" max="3842" width="24.7265625" style="645" customWidth="1"/>
    <col min="3843" max="3843" width="19.26953125" style="645" customWidth="1"/>
    <col min="3844" max="3845" width="14.1796875" style="645" customWidth="1"/>
    <col min="3846" max="3846" width="17.54296875" style="645" customWidth="1"/>
    <col min="3847" max="3847" width="17.81640625" style="645" customWidth="1"/>
    <col min="3848" max="3848" width="14.54296875" style="645" bestFit="1" customWidth="1"/>
    <col min="3849" max="3849" width="12.453125" style="645" bestFit="1" customWidth="1"/>
    <col min="3850" max="3850" width="14.54296875" style="645" bestFit="1" customWidth="1"/>
    <col min="3851" max="4096" width="9.1796875" style="645"/>
    <col min="4097" max="4097" width="34.54296875" style="645" customWidth="1"/>
    <col min="4098" max="4098" width="24.7265625" style="645" customWidth="1"/>
    <col min="4099" max="4099" width="19.26953125" style="645" customWidth="1"/>
    <col min="4100" max="4101" width="14.1796875" style="645" customWidth="1"/>
    <col min="4102" max="4102" width="17.54296875" style="645" customWidth="1"/>
    <col min="4103" max="4103" width="17.81640625" style="645" customWidth="1"/>
    <col min="4104" max="4104" width="14.54296875" style="645" bestFit="1" customWidth="1"/>
    <col min="4105" max="4105" width="12.453125" style="645" bestFit="1" customWidth="1"/>
    <col min="4106" max="4106" width="14.54296875" style="645" bestFit="1" customWidth="1"/>
    <col min="4107" max="4352" width="9.1796875" style="645"/>
    <col min="4353" max="4353" width="34.54296875" style="645" customWidth="1"/>
    <col min="4354" max="4354" width="24.7265625" style="645" customWidth="1"/>
    <col min="4355" max="4355" width="19.26953125" style="645" customWidth="1"/>
    <col min="4356" max="4357" width="14.1796875" style="645" customWidth="1"/>
    <col min="4358" max="4358" width="17.54296875" style="645" customWidth="1"/>
    <col min="4359" max="4359" width="17.81640625" style="645" customWidth="1"/>
    <col min="4360" max="4360" width="14.54296875" style="645" bestFit="1" customWidth="1"/>
    <col min="4361" max="4361" width="12.453125" style="645" bestFit="1" customWidth="1"/>
    <col min="4362" max="4362" width="14.54296875" style="645" bestFit="1" customWidth="1"/>
    <col min="4363" max="4608" width="9.1796875" style="645"/>
    <col min="4609" max="4609" width="34.54296875" style="645" customWidth="1"/>
    <col min="4610" max="4610" width="24.7265625" style="645" customWidth="1"/>
    <col min="4611" max="4611" width="19.26953125" style="645" customWidth="1"/>
    <col min="4612" max="4613" width="14.1796875" style="645" customWidth="1"/>
    <col min="4614" max="4614" width="17.54296875" style="645" customWidth="1"/>
    <col min="4615" max="4615" width="17.81640625" style="645" customWidth="1"/>
    <col min="4616" max="4616" width="14.54296875" style="645" bestFit="1" customWidth="1"/>
    <col min="4617" max="4617" width="12.453125" style="645" bestFit="1" customWidth="1"/>
    <col min="4618" max="4618" width="14.54296875" style="645" bestFit="1" customWidth="1"/>
    <col min="4619" max="4864" width="9.1796875" style="645"/>
    <col min="4865" max="4865" width="34.54296875" style="645" customWidth="1"/>
    <col min="4866" max="4866" width="24.7265625" style="645" customWidth="1"/>
    <col min="4867" max="4867" width="19.26953125" style="645" customWidth="1"/>
    <col min="4868" max="4869" width="14.1796875" style="645" customWidth="1"/>
    <col min="4870" max="4870" width="17.54296875" style="645" customWidth="1"/>
    <col min="4871" max="4871" width="17.81640625" style="645" customWidth="1"/>
    <col min="4872" max="4872" width="14.54296875" style="645" bestFit="1" customWidth="1"/>
    <col min="4873" max="4873" width="12.453125" style="645" bestFit="1" customWidth="1"/>
    <col min="4874" max="4874" width="14.54296875" style="645" bestFit="1" customWidth="1"/>
    <col min="4875" max="5120" width="9.1796875" style="645"/>
    <col min="5121" max="5121" width="34.54296875" style="645" customWidth="1"/>
    <col min="5122" max="5122" width="24.7265625" style="645" customWidth="1"/>
    <col min="5123" max="5123" width="19.26953125" style="645" customWidth="1"/>
    <col min="5124" max="5125" width="14.1796875" style="645" customWidth="1"/>
    <col min="5126" max="5126" width="17.54296875" style="645" customWidth="1"/>
    <col min="5127" max="5127" width="17.81640625" style="645" customWidth="1"/>
    <col min="5128" max="5128" width="14.54296875" style="645" bestFit="1" customWidth="1"/>
    <col min="5129" max="5129" width="12.453125" style="645" bestFit="1" customWidth="1"/>
    <col min="5130" max="5130" width="14.54296875" style="645" bestFit="1" customWidth="1"/>
    <col min="5131" max="5376" width="9.1796875" style="645"/>
    <col min="5377" max="5377" width="34.54296875" style="645" customWidth="1"/>
    <col min="5378" max="5378" width="24.7265625" style="645" customWidth="1"/>
    <col min="5379" max="5379" width="19.26953125" style="645" customWidth="1"/>
    <col min="5380" max="5381" width="14.1796875" style="645" customWidth="1"/>
    <col min="5382" max="5382" width="17.54296875" style="645" customWidth="1"/>
    <col min="5383" max="5383" width="17.81640625" style="645" customWidth="1"/>
    <col min="5384" max="5384" width="14.54296875" style="645" bestFit="1" customWidth="1"/>
    <col min="5385" max="5385" width="12.453125" style="645" bestFit="1" customWidth="1"/>
    <col min="5386" max="5386" width="14.54296875" style="645" bestFit="1" customWidth="1"/>
    <col min="5387" max="5632" width="9.1796875" style="645"/>
    <col min="5633" max="5633" width="34.54296875" style="645" customWidth="1"/>
    <col min="5634" max="5634" width="24.7265625" style="645" customWidth="1"/>
    <col min="5635" max="5635" width="19.26953125" style="645" customWidth="1"/>
    <col min="5636" max="5637" width="14.1796875" style="645" customWidth="1"/>
    <col min="5638" max="5638" width="17.54296875" style="645" customWidth="1"/>
    <col min="5639" max="5639" width="17.81640625" style="645" customWidth="1"/>
    <col min="5640" max="5640" width="14.54296875" style="645" bestFit="1" customWidth="1"/>
    <col min="5641" max="5641" width="12.453125" style="645" bestFit="1" customWidth="1"/>
    <col min="5642" max="5642" width="14.54296875" style="645" bestFit="1" customWidth="1"/>
    <col min="5643" max="5888" width="9.1796875" style="645"/>
    <col min="5889" max="5889" width="34.54296875" style="645" customWidth="1"/>
    <col min="5890" max="5890" width="24.7265625" style="645" customWidth="1"/>
    <col min="5891" max="5891" width="19.26953125" style="645" customWidth="1"/>
    <col min="5892" max="5893" width="14.1796875" style="645" customWidth="1"/>
    <col min="5894" max="5894" width="17.54296875" style="645" customWidth="1"/>
    <col min="5895" max="5895" width="17.81640625" style="645" customWidth="1"/>
    <col min="5896" max="5896" width="14.54296875" style="645" bestFit="1" customWidth="1"/>
    <col min="5897" max="5897" width="12.453125" style="645" bestFit="1" customWidth="1"/>
    <col min="5898" max="5898" width="14.54296875" style="645" bestFit="1" customWidth="1"/>
    <col min="5899" max="6144" width="9.1796875" style="645"/>
    <col min="6145" max="6145" width="34.54296875" style="645" customWidth="1"/>
    <col min="6146" max="6146" width="24.7265625" style="645" customWidth="1"/>
    <col min="6147" max="6147" width="19.26953125" style="645" customWidth="1"/>
    <col min="6148" max="6149" width="14.1796875" style="645" customWidth="1"/>
    <col min="6150" max="6150" width="17.54296875" style="645" customWidth="1"/>
    <col min="6151" max="6151" width="17.81640625" style="645" customWidth="1"/>
    <col min="6152" max="6152" width="14.54296875" style="645" bestFit="1" customWidth="1"/>
    <col min="6153" max="6153" width="12.453125" style="645" bestFit="1" customWidth="1"/>
    <col min="6154" max="6154" width="14.54296875" style="645" bestFit="1" customWidth="1"/>
    <col min="6155" max="6400" width="9.1796875" style="645"/>
    <col min="6401" max="6401" width="34.54296875" style="645" customWidth="1"/>
    <col min="6402" max="6402" width="24.7265625" style="645" customWidth="1"/>
    <col min="6403" max="6403" width="19.26953125" style="645" customWidth="1"/>
    <col min="6404" max="6405" width="14.1796875" style="645" customWidth="1"/>
    <col min="6406" max="6406" width="17.54296875" style="645" customWidth="1"/>
    <col min="6407" max="6407" width="17.81640625" style="645" customWidth="1"/>
    <col min="6408" max="6408" width="14.54296875" style="645" bestFit="1" customWidth="1"/>
    <col min="6409" max="6409" width="12.453125" style="645" bestFit="1" customWidth="1"/>
    <col min="6410" max="6410" width="14.54296875" style="645" bestFit="1" customWidth="1"/>
    <col min="6411" max="6656" width="9.1796875" style="645"/>
    <col min="6657" max="6657" width="34.54296875" style="645" customWidth="1"/>
    <col min="6658" max="6658" width="24.7265625" style="645" customWidth="1"/>
    <col min="6659" max="6659" width="19.26953125" style="645" customWidth="1"/>
    <col min="6660" max="6661" width="14.1796875" style="645" customWidth="1"/>
    <col min="6662" max="6662" width="17.54296875" style="645" customWidth="1"/>
    <col min="6663" max="6663" width="17.81640625" style="645" customWidth="1"/>
    <col min="6664" max="6664" width="14.54296875" style="645" bestFit="1" customWidth="1"/>
    <col min="6665" max="6665" width="12.453125" style="645" bestFit="1" customWidth="1"/>
    <col min="6666" max="6666" width="14.54296875" style="645" bestFit="1" customWidth="1"/>
    <col min="6667" max="6912" width="9.1796875" style="645"/>
    <col min="6913" max="6913" width="34.54296875" style="645" customWidth="1"/>
    <col min="6914" max="6914" width="24.7265625" style="645" customWidth="1"/>
    <col min="6915" max="6915" width="19.26953125" style="645" customWidth="1"/>
    <col min="6916" max="6917" width="14.1796875" style="645" customWidth="1"/>
    <col min="6918" max="6918" width="17.54296875" style="645" customWidth="1"/>
    <col min="6919" max="6919" width="17.81640625" style="645" customWidth="1"/>
    <col min="6920" max="6920" width="14.54296875" style="645" bestFit="1" customWidth="1"/>
    <col min="6921" max="6921" width="12.453125" style="645" bestFit="1" customWidth="1"/>
    <col min="6922" max="6922" width="14.54296875" style="645" bestFit="1" customWidth="1"/>
    <col min="6923" max="7168" width="9.1796875" style="645"/>
    <col min="7169" max="7169" width="34.54296875" style="645" customWidth="1"/>
    <col min="7170" max="7170" width="24.7265625" style="645" customWidth="1"/>
    <col min="7171" max="7171" width="19.26953125" style="645" customWidth="1"/>
    <col min="7172" max="7173" width="14.1796875" style="645" customWidth="1"/>
    <col min="7174" max="7174" width="17.54296875" style="645" customWidth="1"/>
    <col min="7175" max="7175" width="17.81640625" style="645" customWidth="1"/>
    <col min="7176" max="7176" width="14.54296875" style="645" bestFit="1" customWidth="1"/>
    <col min="7177" max="7177" width="12.453125" style="645" bestFit="1" customWidth="1"/>
    <col min="7178" max="7178" width="14.54296875" style="645" bestFit="1" customWidth="1"/>
    <col min="7179" max="7424" width="9.1796875" style="645"/>
    <col min="7425" max="7425" width="34.54296875" style="645" customWidth="1"/>
    <col min="7426" max="7426" width="24.7265625" style="645" customWidth="1"/>
    <col min="7427" max="7427" width="19.26953125" style="645" customWidth="1"/>
    <col min="7428" max="7429" width="14.1796875" style="645" customWidth="1"/>
    <col min="7430" max="7430" width="17.54296875" style="645" customWidth="1"/>
    <col min="7431" max="7431" width="17.81640625" style="645" customWidth="1"/>
    <col min="7432" max="7432" width="14.54296875" style="645" bestFit="1" customWidth="1"/>
    <col min="7433" max="7433" width="12.453125" style="645" bestFit="1" customWidth="1"/>
    <col min="7434" max="7434" width="14.54296875" style="645" bestFit="1" customWidth="1"/>
    <col min="7435" max="7680" width="9.1796875" style="645"/>
    <col min="7681" max="7681" width="34.54296875" style="645" customWidth="1"/>
    <col min="7682" max="7682" width="24.7265625" style="645" customWidth="1"/>
    <col min="7683" max="7683" width="19.26953125" style="645" customWidth="1"/>
    <col min="7684" max="7685" width="14.1796875" style="645" customWidth="1"/>
    <col min="7686" max="7686" width="17.54296875" style="645" customWidth="1"/>
    <col min="7687" max="7687" width="17.81640625" style="645" customWidth="1"/>
    <col min="7688" max="7688" width="14.54296875" style="645" bestFit="1" customWidth="1"/>
    <col min="7689" max="7689" width="12.453125" style="645" bestFit="1" customWidth="1"/>
    <col min="7690" max="7690" width="14.54296875" style="645" bestFit="1" customWidth="1"/>
    <col min="7691" max="7936" width="9.1796875" style="645"/>
    <col min="7937" max="7937" width="34.54296875" style="645" customWidth="1"/>
    <col min="7938" max="7938" width="24.7265625" style="645" customWidth="1"/>
    <col min="7939" max="7939" width="19.26953125" style="645" customWidth="1"/>
    <col min="7940" max="7941" width="14.1796875" style="645" customWidth="1"/>
    <col min="7942" max="7942" width="17.54296875" style="645" customWidth="1"/>
    <col min="7943" max="7943" width="17.81640625" style="645" customWidth="1"/>
    <col min="7944" max="7944" width="14.54296875" style="645" bestFit="1" customWidth="1"/>
    <col min="7945" max="7945" width="12.453125" style="645" bestFit="1" customWidth="1"/>
    <col min="7946" max="7946" width="14.54296875" style="645" bestFit="1" customWidth="1"/>
    <col min="7947" max="8192" width="9.1796875" style="645"/>
    <col min="8193" max="8193" width="34.54296875" style="645" customWidth="1"/>
    <col min="8194" max="8194" width="24.7265625" style="645" customWidth="1"/>
    <col min="8195" max="8195" width="19.26953125" style="645" customWidth="1"/>
    <col min="8196" max="8197" width="14.1796875" style="645" customWidth="1"/>
    <col min="8198" max="8198" width="17.54296875" style="645" customWidth="1"/>
    <col min="8199" max="8199" width="17.81640625" style="645" customWidth="1"/>
    <col min="8200" max="8200" width="14.54296875" style="645" bestFit="1" customWidth="1"/>
    <col min="8201" max="8201" width="12.453125" style="645" bestFit="1" customWidth="1"/>
    <col min="8202" max="8202" width="14.54296875" style="645" bestFit="1" customWidth="1"/>
    <col min="8203" max="8448" width="9.1796875" style="645"/>
    <col min="8449" max="8449" width="34.54296875" style="645" customWidth="1"/>
    <col min="8450" max="8450" width="24.7265625" style="645" customWidth="1"/>
    <col min="8451" max="8451" width="19.26953125" style="645" customWidth="1"/>
    <col min="8452" max="8453" width="14.1796875" style="645" customWidth="1"/>
    <col min="8454" max="8454" width="17.54296875" style="645" customWidth="1"/>
    <col min="8455" max="8455" width="17.81640625" style="645" customWidth="1"/>
    <col min="8456" max="8456" width="14.54296875" style="645" bestFit="1" customWidth="1"/>
    <col min="8457" max="8457" width="12.453125" style="645" bestFit="1" customWidth="1"/>
    <col min="8458" max="8458" width="14.54296875" style="645" bestFit="1" customWidth="1"/>
    <col min="8459" max="8704" width="9.1796875" style="645"/>
    <col min="8705" max="8705" width="34.54296875" style="645" customWidth="1"/>
    <col min="8706" max="8706" width="24.7265625" style="645" customWidth="1"/>
    <col min="8707" max="8707" width="19.26953125" style="645" customWidth="1"/>
    <col min="8708" max="8709" width="14.1796875" style="645" customWidth="1"/>
    <col min="8710" max="8710" width="17.54296875" style="645" customWidth="1"/>
    <col min="8711" max="8711" width="17.81640625" style="645" customWidth="1"/>
    <col min="8712" max="8712" width="14.54296875" style="645" bestFit="1" customWidth="1"/>
    <col min="8713" max="8713" width="12.453125" style="645" bestFit="1" customWidth="1"/>
    <col min="8714" max="8714" width="14.54296875" style="645" bestFit="1" customWidth="1"/>
    <col min="8715" max="8960" width="9.1796875" style="645"/>
    <col min="8961" max="8961" width="34.54296875" style="645" customWidth="1"/>
    <col min="8962" max="8962" width="24.7265625" style="645" customWidth="1"/>
    <col min="8963" max="8963" width="19.26953125" style="645" customWidth="1"/>
    <col min="8964" max="8965" width="14.1796875" style="645" customWidth="1"/>
    <col min="8966" max="8966" width="17.54296875" style="645" customWidth="1"/>
    <col min="8967" max="8967" width="17.81640625" style="645" customWidth="1"/>
    <col min="8968" max="8968" width="14.54296875" style="645" bestFit="1" customWidth="1"/>
    <col min="8969" max="8969" width="12.453125" style="645" bestFit="1" customWidth="1"/>
    <col min="8970" max="8970" width="14.54296875" style="645" bestFit="1" customWidth="1"/>
    <col min="8971" max="9216" width="9.1796875" style="645"/>
    <col min="9217" max="9217" width="34.54296875" style="645" customWidth="1"/>
    <col min="9218" max="9218" width="24.7265625" style="645" customWidth="1"/>
    <col min="9219" max="9219" width="19.26953125" style="645" customWidth="1"/>
    <col min="9220" max="9221" width="14.1796875" style="645" customWidth="1"/>
    <col min="9222" max="9222" width="17.54296875" style="645" customWidth="1"/>
    <col min="9223" max="9223" width="17.81640625" style="645" customWidth="1"/>
    <col min="9224" max="9224" width="14.54296875" style="645" bestFit="1" customWidth="1"/>
    <col min="9225" max="9225" width="12.453125" style="645" bestFit="1" customWidth="1"/>
    <col min="9226" max="9226" width="14.54296875" style="645" bestFit="1" customWidth="1"/>
    <col min="9227" max="9472" width="9.1796875" style="645"/>
    <col min="9473" max="9473" width="34.54296875" style="645" customWidth="1"/>
    <col min="9474" max="9474" width="24.7265625" style="645" customWidth="1"/>
    <col min="9475" max="9475" width="19.26953125" style="645" customWidth="1"/>
    <col min="9476" max="9477" width="14.1796875" style="645" customWidth="1"/>
    <col min="9478" max="9478" width="17.54296875" style="645" customWidth="1"/>
    <col min="9479" max="9479" width="17.81640625" style="645" customWidth="1"/>
    <col min="9480" max="9480" width="14.54296875" style="645" bestFit="1" customWidth="1"/>
    <col min="9481" max="9481" width="12.453125" style="645" bestFit="1" customWidth="1"/>
    <col min="9482" max="9482" width="14.54296875" style="645" bestFit="1" customWidth="1"/>
    <col min="9483" max="9728" width="9.1796875" style="645"/>
    <col min="9729" max="9729" width="34.54296875" style="645" customWidth="1"/>
    <col min="9730" max="9730" width="24.7265625" style="645" customWidth="1"/>
    <col min="9731" max="9731" width="19.26953125" style="645" customWidth="1"/>
    <col min="9732" max="9733" width="14.1796875" style="645" customWidth="1"/>
    <col min="9734" max="9734" width="17.54296875" style="645" customWidth="1"/>
    <col min="9735" max="9735" width="17.81640625" style="645" customWidth="1"/>
    <col min="9736" max="9736" width="14.54296875" style="645" bestFit="1" customWidth="1"/>
    <col min="9737" max="9737" width="12.453125" style="645" bestFit="1" customWidth="1"/>
    <col min="9738" max="9738" width="14.54296875" style="645" bestFit="1" customWidth="1"/>
    <col min="9739" max="9984" width="9.1796875" style="645"/>
    <col min="9985" max="9985" width="34.54296875" style="645" customWidth="1"/>
    <col min="9986" max="9986" width="24.7265625" style="645" customWidth="1"/>
    <col min="9987" max="9987" width="19.26953125" style="645" customWidth="1"/>
    <col min="9988" max="9989" width="14.1796875" style="645" customWidth="1"/>
    <col min="9990" max="9990" width="17.54296875" style="645" customWidth="1"/>
    <col min="9991" max="9991" width="17.81640625" style="645" customWidth="1"/>
    <col min="9992" max="9992" width="14.54296875" style="645" bestFit="1" customWidth="1"/>
    <col min="9993" max="9993" width="12.453125" style="645" bestFit="1" customWidth="1"/>
    <col min="9994" max="9994" width="14.54296875" style="645" bestFit="1" customWidth="1"/>
    <col min="9995" max="10240" width="9.1796875" style="645"/>
    <col min="10241" max="10241" width="34.54296875" style="645" customWidth="1"/>
    <col min="10242" max="10242" width="24.7265625" style="645" customWidth="1"/>
    <col min="10243" max="10243" width="19.26953125" style="645" customWidth="1"/>
    <col min="10244" max="10245" width="14.1796875" style="645" customWidth="1"/>
    <col min="10246" max="10246" width="17.54296875" style="645" customWidth="1"/>
    <col min="10247" max="10247" width="17.81640625" style="645" customWidth="1"/>
    <col min="10248" max="10248" width="14.54296875" style="645" bestFit="1" customWidth="1"/>
    <col min="10249" max="10249" width="12.453125" style="645" bestFit="1" customWidth="1"/>
    <col min="10250" max="10250" width="14.54296875" style="645" bestFit="1" customWidth="1"/>
    <col min="10251" max="10496" width="9.1796875" style="645"/>
    <col min="10497" max="10497" width="34.54296875" style="645" customWidth="1"/>
    <col min="10498" max="10498" width="24.7265625" style="645" customWidth="1"/>
    <col min="10499" max="10499" width="19.26953125" style="645" customWidth="1"/>
    <col min="10500" max="10501" width="14.1796875" style="645" customWidth="1"/>
    <col min="10502" max="10502" width="17.54296875" style="645" customWidth="1"/>
    <col min="10503" max="10503" width="17.81640625" style="645" customWidth="1"/>
    <col min="10504" max="10504" width="14.54296875" style="645" bestFit="1" customWidth="1"/>
    <col min="10505" max="10505" width="12.453125" style="645" bestFit="1" customWidth="1"/>
    <col min="10506" max="10506" width="14.54296875" style="645" bestFit="1" customWidth="1"/>
    <col min="10507" max="10752" width="9.1796875" style="645"/>
    <col min="10753" max="10753" width="34.54296875" style="645" customWidth="1"/>
    <col min="10754" max="10754" width="24.7265625" style="645" customWidth="1"/>
    <col min="10755" max="10755" width="19.26953125" style="645" customWidth="1"/>
    <col min="10756" max="10757" width="14.1796875" style="645" customWidth="1"/>
    <col min="10758" max="10758" width="17.54296875" style="645" customWidth="1"/>
    <col min="10759" max="10759" width="17.81640625" style="645" customWidth="1"/>
    <col min="10760" max="10760" width="14.54296875" style="645" bestFit="1" customWidth="1"/>
    <col min="10761" max="10761" width="12.453125" style="645" bestFit="1" customWidth="1"/>
    <col min="10762" max="10762" width="14.54296875" style="645" bestFit="1" customWidth="1"/>
    <col min="10763" max="11008" width="9.1796875" style="645"/>
    <col min="11009" max="11009" width="34.54296875" style="645" customWidth="1"/>
    <col min="11010" max="11010" width="24.7265625" style="645" customWidth="1"/>
    <col min="11011" max="11011" width="19.26953125" style="645" customWidth="1"/>
    <col min="11012" max="11013" width="14.1796875" style="645" customWidth="1"/>
    <col min="11014" max="11014" width="17.54296875" style="645" customWidth="1"/>
    <col min="11015" max="11015" width="17.81640625" style="645" customWidth="1"/>
    <col min="11016" max="11016" width="14.54296875" style="645" bestFit="1" customWidth="1"/>
    <col min="11017" max="11017" width="12.453125" style="645" bestFit="1" customWidth="1"/>
    <col min="11018" max="11018" width="14.54296875" style="645" bestFit="1" customWidth="1"/>
    <col min="11019" max="11264" width="9.1796875" style="645"/>
    <col min="11265" max="11265" width="34.54296875" style="645" customWidth="1"/>
    <col min="11266" max="11266" width="24.7265625" style="645" customWidth="1"/>
    <col min="11267" max="11267" width="19.26953125" style="645" customWidth="1"/>
    <col min="11268" max="11269" width="14.1796875" style="645" customWidth="1"/>
    <col min="11270" max="11270" width="17.54296875" style="645" customWidth="1"/>
    <col min="11271" max="11271" width="17.81640625" style="645" customWidth="1"/>
    <col min="11272" max="11272" width="14.54296875" style="645" bestFit="1" customWidth="1"/>
    <col min="11273" max="11273" width="12.453125" style="645" bestFit="1" customWidth="1"/>
    <col min="11274" max="11274" width="14.54296875" style="645" bestFit="1" customWidth="1"/>
    <col min="11275" max="11520" width="9.1796875" style="645"/>
    <col min="11521" max="11521" width="34.54296875" style="645" customWidth="1"/>
    <col min="11522" max="11522" width="24.7265625" style="645" customWidth="1"/>
    <col min="11523" max="11523" width="19.26953125" style="645" customWidth="1"/>
    <col min="11524" max="11525" width="14.1796875" style="645" customWidth="1"/>
    <col min="11526" max="11526" width="17.54296875" style="645" customWidth="1"/>
    <col min="11527" max="11527" width="17.81640625" style="645" customWidth="1"/>
    <col min="11528" max="11528" width="14.54296875" style="645" bestFit="1" customWidth="1"/>
    <col min="11529" max="11529" width="12.453125" style="645" bestFit="1" customWidth="1"/>
    <col min="11530" max="11530" width="14.54296875" style="645" bestFit="1" customWidth="1"/>
    <col min="11531" max="11776" width="9.1796875" style="645"/>
    <col min="11777" max="11777" width="34.54296875" style="645" customWidth="1"/>
    <col min="11778" max="11778" width="24.7265625" style="645" customWidth="1"/>
    <col min="11779" max="11779" width="19.26953125" style="645" customWidth="1"/>
    <col min="11780" max="11781" width="14.1796875" style="645" customWidth="1"/>
    <col min="11782" max="11782" width="17.54296875" style="645" customWidth="1"/>
    <col min="11783" max="11783" width="17.81640625" style="645" customWidth="1"/>
    <col min="11784" max="11784" width="14.54296875" style="645" bestFit="1" customWidth="1"/>
    <col min="11785" max="11785" width="12.453125" style="645" bestFit="1" customWidth="1"/>
    <col min="11786" max="11786" width="14.54296875" style="645" bestFit="1" customWidth="1"/>
    <col min="11787" max="12032" width="9.1796875" style="645"/>
    <col min="12033" max="12033" width="34.54296875" style="645" customWidth="1"/>
    <col min="12034" max="12034" width="24.7265625" style="645" customWidth="1"/>
    <col min="12035" max="12035" width="19.26953125" style="645" customWidth="1"/>
    <col min="12036" max="12037" width="14.1796875" style="645" customWidth="1"/>
    <col min="12038" max="12038" width="17.54296875" style="645" customWidth="1"/>
    <col min="12039" max="12039" width="17.81640625" style="645" customWidth="1"/>
    <col min="12040" max="12040" width="14.54296875" style="645" bestFit="1" customWidth="1"/>
    <col min="12041" max="12041" width="12.453125" style="645" bestFit="1" customWidth="1"/>
    <col min="12042" max="12042" width="14.54296875" style="645" bestFit="1" customWidth="1"/>
    <col min="12043" max="12288" width="9.1796875" style="645"/>
    <col min="12289" max="12289" width="34.54296875" style="645" customWidth="1"/>
    <col min="12290" max="12290" width="24.7265625" style="645" customWidth="1"/>
    <col min="12291" max="12291" width="19.26953125" style="645" customWidth="1"/>
    <col min="12292" max="12293" width="14.1796875" style="645" customWidth="1"/>
    <col min="12294" max="12294" width="17.54296875" style="645" customWidth="1"/>
    <col min="12295" max="12295" width="17.81640625" style="645" customWidth="1"/>
    <col min="12296" max="12296" width="14.54296875" style="645" bestFit="1" customWidth="1"/>
    <col min="12297" max="12297" width="12.453125" style="645" bestFit="1" customWidth="1"/>
    <col min="12298" max="12298" width="14.54296875" style="645" bestFit="1" customWidth="1"/>
    <col min="12299" max="12544" width="9.1796875" style="645"/>
    <col min="12545" max="12545" width="34.54296875" style="645" customWidth="1"/>
    <col min="12546" max="12546" width="24.7265625" style="645" customWidth="1"/>
    <col min="12547" max="12547" width="19.26953125" style="645" customWidth="1"/>
    <col min="12548" max="12549" width="14.1796875" style="645" customWidth="1"/>
    <col min="12550" max="12550" width="17.54296875" style="645" customWidth="1"/>
    <col min="12551" max="12551" width="17.81640625" style="645" customWidth="1"/>
    <col min="12552" max="12552" width="14.54296875" style="645" bestFit="1" customWidth="1"/>
    <col min="12553" max="12553" width="12.453125" style="645" bestFit="1" customWidth="1"/>
    <col min="12554" max="12554" width="14.54296875" style="645" bestFit="1" customWidth="1"/>
    <col min="12555" max="12800" width="9.1796875" style="645"/>
    <col min="12801" max="12801" width="34.54296875" style="645" customWidth="1"/>
    <col min="12802" max="12802" width="24.7265625" style="645" customWidth="1"/>
    <col min="12803" max="12803" width="19.26953125" style="645" customWidth="1"/>
    <col min="12804" max="12805" width="14.1796875" style="645" customWidth="1"/>
    <col min="12806" max="12806" width="17.54296875" style="645" customWidth="1"/>
    <col min="12807" max="12807" width="17.81640625" style="645" customWidth="1"/>
    <col min="12808" max="12808" width="14.54296875" style="645" bestFit="1" customWidth="1"/>
    <col min="12809" max="12809" width="12.453125" style="645" bestFit="1" customWidth="1"/>
    <col min="12810" max="12810" width="14.54296875" style="645" bestFit="1" customWidth="1"/>
    <col min="12811" max="13056" width="9.1796875" style="645"/>
    <col min="13057" max="13057" width="34.54296875" style="645" customWidth="1"/>
    <col min="13058" max="13058" width="24.7265625" style="645" customWidth="1"/>
    <col min="13059" max="13059" width="19.26953125" style="645" customWidth="1"/>
    <col min="13060" max="13061" width="14.1796875" style="645" customWidth="1"/>
    <col min="13062" max="13062" width="17.54296875" style="645" customWidth="1"/>
    <col min="13063" max="13063" width="17.81640625" style="645" customWidth="1"/>
    <col min="13064" max="13064" width="14.54296875" style="645" bestFit="1" customWidth="1"/>
    <col min="13065" max="13065" width="12.453125" style="645" bestFit="1" customWidth="1"/>
    <col min="13066" max="13066" width="14.54296875" style="645" bestFit="1" customWidth="1"/>
    <col min="13067" max="13312" width="9.1796875" style="645"/>
    <col min="13313" max="13313" width="34.54296875" style="645" customWidth="1"/>
    <col min="13314" max="13314" width="24.7265625" style="645" customWidth="1"/>
    <col min="13315" max="13315" width="19.26953125" style="645" customWidth="1"/>
    <col min="13316" max="13317" width="14.1796875" style="645" customWidth="1"/>
    <col min="13318" max="13318" width="17.54296875" style="645" customWidth="1"/>
    <col min="13319" max="13319" width="17.81640625" style="645" customWidth="1"/>
    <col min="13320" max="13320" width="14.54296875" style="645" bestFit="1" customWidth="1"/>
    <col min="13321" max="13321" width="12.453125" style="645" bestFit="1" customWidth="1"/>
    <col min="13322" max="13322" width="14.54296875" style="645" bestFit="1" customWidth="1"/>
    <col min="13323" max="13568" width="9.1796875" style="645"/>
    <col min="13569" max="13569" width="34.54296875" style="645" customWidth="1"/>
    <col min="13570" max="13570" width="24.7265625" style="645" customWidth="1"/>
    <col min="13571" max="13571" width="19.26953125" style="645" customWidth="1"/>
    <col min="13572" max="13573" width="14.1796875" style="645" customWidth="1"/>
    <col min="13574" max="13574" width="17.54296875" style="645" customWidth="1"/>
    <col min="13575" max="13575" width="17.81640625" style="645" customWidth="1"/>
    <col min="13576" max="13576" width="14.54296875" style="645" bestFit="1" customWidth="1"/>
    <col min="13577" max="13577" width="12.453125" style="645" bestFit="1" customWidth="1"/>
    <col min="13578" max="13578" width="14.54296875" style="645" bestFit="1" customWidth="1"/>
    <col min="13579" max="13824" width="9.1796875" style="645"/>
    <col min="13825" max="13825" width="34.54296875" style="645" customWidth="1"/>
    <col min="13826" max="13826" width="24.7265625" style="645" customWidth="1"/>
    <col min="13827" max="13827" width="19.26953125" style="645" customWidth="1"/>
    <col min="13828" max="13829" width="14.1796875" style="645" customWidth="1"/>
    <col min="13830" max="13830" width="17.54296875" style="645" customWidth="1"/>
    <col min="13831" max="13831" width="17.81640625" style="645" customWidth="1"/>
    <col min="13832" max="13832" width="14.54296875" style="645" bestFit="1" customWidth="1"/>
    <col min="13833" max="13833" width="12.453125" style="645" bestFit="1" customWidth="1"/>
    <col min="13834" max="13834" width="14.54296875" style="645" bestFit="1" customWidth="1"/>
    <col min="13835" max="14080" width="9.1796875" style="645"/>
    <col min="14081" max="14081" width="34.54296875" style="645" customWidth="1"/>
    <col min="14082" max="14082" width="24.7265625" style="645" customWidth="1"/>
    <col min="14083" max="14083" width="19.26953125" style="645" customWidth="1"/>
    <col min="14084" max="14085" width="14.1796875" style="645" customWidth="1"/>
    <col min="14086" max="14086" width="17.54296875" style="645" customWidth="1"/>
    <col min="14087" max="14087" width="17.81640625" style="645" customWidth="1"/>
    <col min="14088" max="14088" width="14.54296875" style="645" bestFit="1" customWidth="1"/>
    <col min="14089" max="14089" width="12.453125" style="645" bestFit="1" customWidth="1"/>
    <col min="14090" max="14090" width="14.54296875" style="645" bestFit="1" customWidth="1"/>
    <col min="14091" max="14336" width="9.1796875" style="645"/>
    <col min="14337" max="14337" width="34.54296875" style="645" customWidth="1"/>
    <col min="14338" max="14338" width="24.7265625" style="645" customWidth="1"/>
    <col min="14339" max="14339" width="19.26953125" style="645" customWidth="1"/>
    <col min="14340" max="14341" width="14.1796875" style="645" customWidth="1"/>
    <col min="14342" max="14342" width="17.54296875" style="645" customWidth="1"/>
    <col min="14343" max="14343" width="17.81640625" style="645" customWidth="1"/>
    <col min="14344" max="14344" width="14.54296875" style="645" bestFit="1" customWidth="1"/>
    <col min="14345" max="14345" width="12.453125" style="645" bestFit="1" customWidth="1"/>
    <col min="14346" max="14346" width="14.54296875" style="645" bestFit="1" customWidth="1"/>
    <col min="14347" max="14592" width="9.1796875" style="645"/>
    <col min="14593" max="14593" width="34.54296875" style="645" customWidth="1"/>
    <col min="14594" max="14594" width="24.7265625" style="645" customWidth="1"/>
    <col min="14595" max="14595" width="19.26953125" style="645" customWidth="1"/>
    <col min="14596" max="14597" width="14.1796875" style="645" customWidth="1"/>
    <col min="14598" max="14598" width="17.54296875" style="645" customWidth="1"/>
    <col min="14599" max="14599" width="17.81640625" style="645" customWidth="1"/>
    <col min="14600" max="14600" width="14.54296875" style="645" bestFit="1" customWidth="1"/>
    <col min="14601" max="14601" width="12.453125" style="645" bestFit="1" customWidth="1"/>
    <col min="14602" max="14602" width="14.54296875" style="645" bestFit="1" customWidth="1"/>
    <col min="14603" max="14848" width="9.1796875" style="645"/>
    <col min="14849" max="14849" width="34.54296875" style="645" customWidth="1"/>
    <col min="14850" max="14850" width="24.7265625" style="645" customWidth="1"/>
    <col min="14851" max="14851" width="19.26953125" style="645" customWidth="1"/>
    <col min="14852" max="14853" width="14.1796875" style="645" customWidth="1"/>
    <col min="14854" max="14854" width="17.54296875" style="645" customWidth="1"/>
    <col min="14855" max="14855" width="17.81640625" style="645" customWidth="1"/>
    <col min="14856" max="14856" width="14.54296875" style="645" bestFit="1" customWidth="1"/>
    <col min="14857" max="14857" width="12.453125" style="645" bestFit="1" customWidth="1"/>
    <col min="14858" max="14858" width="14.54296875" style="645" bestFit="1" customWidth="1"/>
    <col min="14859" max="15104" width="9.1796875" style="645"/>
    <col min="15105" max="15105" width="34.54296875" style="645" customWidth="1"/>
    <col min="15106" max="15106" width="24.7265625" style="645" customWidth="1"/>
    <col min="15107" max="15107" width="19.26953125" style="645" customWidth="1"/>
    <col min="15108" max="15109" width="14.1796875" style="645" customWidth="1"/>
    <col min="15110" max="15110" width="17.54296875" style="645" customWidth="1"/>
    <col min="15111" max="15111" width="17.81640625" style="645" customWidth="1"/>
    <col min="15112" max="15112" width="14.54296875" style="645" bestFit="1" customWidth="1"/>
    <col min="15113" max="15113" width="12.453125" style="645" bestFit="1" customWidth="1"/>
    <col min="15114" max="15114" width="14.54296875" style="645" bestFit="1" customWidth="1"/>
    <col min="15115" max="15360" width="9.1796875" style="645"/>
    <col min="15361" max="15361" width="34.54296875" style="645" customWidth="1"/>
    <col min="15362" max="15362" width="24.7265625" style="645" customWidth="1"/>
    <col min="15363" max="15363" width="19.26953125" style="645" customWidth="1"/>
    <col min="15364" max="15365" width="14.1796875" style="645" customWidth="1"/>
    <col min="15366" max="15366" width="17.54296875" style="645" customWidth="1"/>
    <col min="15367" max="15367" width="17.81640625" style="645" customWidth="1"/>
    <col min="15368" max="15368" width="14.54296875" style="645" bestFit="1" customWidth="1"/>
    <col min="15369" max="15369" width="12.453125" style="645" bestFit="1" customWidth="1"/>
    <col min="15370" max="15370" width="14.54296875" style="645" bestFit="1" customWidth="1"/>
    <col min="15371" max="15616" width="9.1796875" style="645"/>
    <col min="15617" max="15617" width="34.54296875" style="645" customWidth="1"/>
    <col min="15618" max="15618" width="24.7265625" style="645" customWidth="1"/>
    <col min="15619" max="15619" width="19.26953125" style="645" customWidth="1"/>
    <col min="15620" max="15621" width="14.1796875" style="645" customWidth="1"/>
    <col min="15622" max="15622" width="17.54296875" style="645" customWidth="1"/>
    <col min="15623" max="15623" width="17.81640625" style="645" customWidth="1"/>
    <col min="15624" max="15624" width="14.54296875" style="645" bestFit="1" customWidth="1"/>
    <col min="15625" max="15625" width="12.453125" style="645" bestFit="1" customWidth="1"/>
    <col min="15626" max="15626" width="14.54296875" style="645" bestFit="1" customWidth="1"/>
    <col min="15627" max="15872" width="9.1796875" style="645"/>
    <col min="15873" max="15873" width="34.54296875" style="645" customWidth="1"/>
    <col min="15874" max="15874" width="24.7265625" style="645" customWidth="1"/>
    <col min="15875" max="15875" width="19.26953125" style="645" customWidth="1"/>
    <col min="15876" max="15877" width="14.1796875" style="645" customWidth="1"/>
    <col min="15878" max="15878" width="17.54296875" style="645" customWidth="1"/>
    <col min="15879" max="15879" width="17.81640625" style="645" customWidth="1"/>
    <col min="15880" max="15880" width="14.54296875" style="645" bestFit="1" customWidth="1"/>
    <col min="15881" max="15881" width="12.453125" style="645" bestFit="1" customWidth="1"/>
    <col min="15882" max="15882" width="14.54296875" style="645" bestFit="1" customWidth="1"/>
    <col min="15883" max="16128" width="9.1796875" style="645"/>
    <col min="16129" max="16129" width="34.54296875" style="645" customWidth="1"/>
    <col min="16130" max="16130" width="24.7265625" style="645" customWidth="1"/>
    <col min="16131" max="16131" width="19.26953125" style="645" customWidth="1"/>
    <col min="16132" max="16133" width="14.1796875" style="645" customWidth="1"/>
    <col min="16134" max="16134" width="17.54296875" style="645" customWidth="1"/>
    <col min="16135" max="16135" width="17.81640625" style="645" customWidth="1"/>
    <col min="16136" max="16136" width="14.54296875" style="645" bestFit="1" customWidth="1"/>
    <col min="16137" max="16137" width="12.453125" style="645" bestFit="1" customWidth="1"/>
    <col min="16138" max="16138" width="14.54296875" style="645" bestFit="1" customWidth="1"/>
    <col min="16139" max="16384" width="9.1796875" style="645"/>
  </cols>
  <sheetData>
    <row r="1" spans="1:18" x14ac:dyDescent="0.3">
      <c r="E1" s="3400" t="s">
        <v>822</v>
      </c>
      <c r="F1" s="3400"/>
      <c r="G1" s="3400"/>
    </row>
    <row r="2" spans="1:18" x14ac:dyDescent="0.3">
      <c r="E2" s="3400" t="s">
        <v>450</v>
      </c>
      <c r="F2" s="3400"/>
      <c r="G2" s="3400"/>
    </row>
    <row r="3" spans="1:18" x14ac:dyDescent="0.3">
      <c r="E3" s="3400" t="s">
        <v>449</v>
      </c>
      <c r="F3" s="3400"/>
      <c r="G3" s="3400"/>
    </row>
    <row r="4" spans="1:18" x14ac:dyDescent="0.3">
      <c r="E4" s="3400" t="s">
        <v>448</v>
      </c>
      <c r="F4" s="3400"/>
      <c r="G4" s="3400"/>
    </row>
    <row r="5" spans="1:18" x14ac:dyDescent="0.3">
      <c r="E5" s="3400" t="s">
        <v>1130</v>
      </c>
      <c r="F5" s="3400"/>
      <c r="G5" s="3400"/>
    </row>
    <row r="7" spans="1:18" ht="15.5" x14ac:dyDescent="0.35">
      <c r="F7" s="3443" t="s">
        <v>616</v>
      </c>
      <c r="G7" s="3443"/>
      <c r="H7" s="2190"/>
      <c r="I7" s="2190"/>
      <c r="J7" s="2190"/>
      <c r="K7" s="2190"/>
      <c r="L7" s="2190"/>
      <c r="M7" s="2190"/>
      <c r="N7" s="2190"/>
      <c r="O7" s="2190"/>
      <c r="P7" s="2190"/>
      <c r="Q7" s="2190"/>
      <c r="R7" s="2190"/>
    </row>
    <row r="8" spans="1:18" ht="15.5" x14ac:dyDescent="0.35">
      <c r="E8" s="2174"/>
      <c r="F8" s="2174"/>
      <c r="G8" s="2146" t="s">
        <v>450</v>
      </c>
      <c r="H8" s="2190"/>
      <c r="I8" s="2190"/>
      <c r="J8" s="2190"/>
      <c r="K8" s="2190"/>
      <c r="L8" s="2190"/>
      <c r="M8" s="2190"/>
      <c r="N8" s="2190"/>
      <c r="O8" s="2190"/>
      <c r="P8" s="2190"/>
      <c r="Q8" s="2190"/>
      <c r="R8" s="2190"/>
    </row>
    <row r="9" spans="1:18" ht="15.5" x14ac:dyDescent="0.35">
      <c r="E9" s="2174"/>
      <c r="F9" s="2174"/>
      <c r="G9" s="2146" t="s">
        <v>449</v>
      </c>
      <c r="H9" s="2190"/>
      <c r="I9" s="2190"/>
      <c r="J9" s="2190"/>
      <c r="K9" s="2190"/>
      <c r="L9" s="2190"/>
      <c r="M9" s="2190"/>
      <c r="N9" s="2190"/>
      <c r="O9" s="2190"/>
      <c r="P9" s="2190"/>
      <c r="Q9" s="2190"/>
      <c r="R9" s="2190"/>
    </row>
    <row r="10" spans="1:18" ht="15.5" x14ac:dyDescent="0.35">
      <c r="E10" s="2174"/>
      <c r="F10" s="2174"/>
      <c r="G10" s="2146" t="s">
        <v>448</v>
      </c>
      <c r="H10" s="2190"/>
      <c r="I10" s="2190"/>
      <c r="J10" s="2190"/>
      <c r="K10" s="2190"/>
      <c r="L10" s="2190"/>
      <c r="M10" s="2190"/>
      <c r="N10" s="2190"/>
      <c r="O10" s="2190"/>
      <c r="P10" s="2190"/>
      <c r="Q10" s="2190"/>
      <c r="R10" s="2190"/>
    </row>
    <row r="11" spans="1:18" ht="15.5" x14ac:dyDescent="0.3">
      <c r="E11" s="2174"/>
      <c r="F11" s="2174"/>
      <c r="G11" s="2144" t="s">
        <v>1103</v>
      </c>
      <c r="H11" s="1771"/>
      <c r="I11" s="1771"/>
      <c r="J11" s="1771"/>
      <c r="K11" s="1771"/>
      <c r="L11" s="1771"/>
      <c r="N11" s="258"/>
      <c r="O11" s="258"/>
      <c r="P11" s="258"/>
      <c r="Q11" s="258"/>
      <c r="R11" s="258"/>
    </row>
    <row r="12" spans="1:18" ht="15.5" x14ac:dyDescent="0.3">
      <c r="E12" s="2174"/>
      <c r="F12" s="2174"/>
      <c r="G12" s="2144"/>
      <c r="H12" s="1771"/>
      <c r="I12" s="1771"/>
      <c r="J12" s="1771"/>
      <c r="K12" s="1771"/>
      <c r="L12" s="1771"/>
      <c r="N12" s="258"/>
      <c r="O12" s="258"/>
      <c r="P12" s="258"/>
      <c r="Q12" s="258"/>
      <c r="R12" s="258"/>
    </row>
    <row r="13" spans="1:18" ht="15.5" x14ac:dyDescent="0.3">
      <c r="A13" s="3465" t="s">
        <v>868</v>
      </c>
      <c r="B13" s="3465"/>
      <c r="C13" s="3465"/>
      <c r="D13" s="3465"/>
      <c r="E13" s="3465"/>
      <c r="F13" s="3465"/>
      <c r="G13" s="3465"/>
      <c r="H13" s="2192"/>
      <c r="I13" s="2192"/>
      <c r="J13" s="2192"/>
      <c r="K13" s="1771"/>
      <c r="L13" s="1771"/>
      <c r="N13" s="258"/>
      <c r="O13" s="258"/>
      <c r="P13" s="258"/>
      <c r="Q13" s="258"/>
      <c r="R13" s="258"/>
    </row>
    <row r="14" spans="1:18" ht="15" x14ac:dyDescent="0.3">
      <c r="A14" s="3465" t="s">
        <v>869</v>
      </c>
      <c r="B14" s="3465"/>
      <c r="C14" s="3465"/>
      <c r="D14" s="3465"/>
      <c r="E14" s="3465"/>
      <c r="F14" s="3465"/>
      <c r="G14" s="3465"/>
      <c r="H14" s="2192"/>
      <c r="I14" s="2192"/>
      <c r="J14" s="2192"/>
    </row>
    <row r="15" spans="1:18" ht="15" x14ac:dyDescent="0.3">
      <c r="A15" s="3465" t="s">
        <v>1089</v>
      </c>
      <c r="B15" s="3465"/>
      <c r="C15" s="3465"/>
      <c r="D15" s="3465"/>
      <c r="E15" s="3465"/>
      <c r="F15" s="3465"/>
      <c r="G15" s="3465"/>
      <c r="H15" s="2192"/>
      <c r="I15" s="2192"/>
      <c r="J15" s="2192"/>
    </row>
    <row r="16" spans="1:18" s="2176" customFormat="1" ht="44.5" customHeight="1" x14ac:dyDescent="0.35">
      <c r="A16" s="2191"/>
      <c r="B16" s="2191"/>
      <c r="C16" s="2191"/>
      <c r="D16" s="2191"/>
      <c r="E16" s="2191"/>
      <c r="F16" s="2191"/>
    </row>
    <row r="17" spans="1:10" s="2176" customFormat="1" ht="16" thickBot="1" x14ac:dyDescent="0.4">
      <c r="A17" s="3412"/>
      <c r="B17" s="3412"/>
      <c r="C17" s="3412"/>
      <c r="D17" s="3412"/>
      <c r="E17" s="3412"/>
      <c r="F17" s="3412"/>
      <c r="G17" s="2210" t="s">
        <v>1092</v>
      </c>
    </row>
    <row r="18" spans="1:10" ht="29.25" customHeight="1" x14ac:dyDescent="0.3">
      <c r="A18" s="3491" t="s">
        <v>1073</v>
      </c>
      <c r="B18" s="3493" t="s">
        <v>1074</v>
      </c>
      <c r="C18" s="3493" t="s">
        <v>1075</v>
      </c>
      <c r="D18" s="3493" t="s">
        <v>1076</v>
      </c>
      <c r="E18" s="3493"/>
      <c r="F18" s="3493"/>
      <c r="G18" s="3462" t="s">
        <v>1077</v>
      </c>
    </row>
    <row r="19" spans="1:10" ht="29.25" customHeight="1" thickBot="1" x14ac:dyDescent="0.35">
      <c r="A19" s="3492"/>
      <c r="B19" s="3494"/>
      <c r="C19" s="3494"/>
      <c r="D19" s="2194" t="s">
        <v>844</v>
      </c>
      <c r="E19" s="2194" t="s">
        <v>899</v>
      </c>
      <c r="F19" s="2194" t="s">
        <v>997</v>
      </c>
      <c r="G19" s="3463"/>
    </row>
    <row r="20" spans="1:10" ht="33.75" customHeight="1" thickBot="1" x14ac:dyDescent="0.35">
      <c r="A20" s="3469" t="s">
        <v>884</v>
      </c>
      <c r="B20" s="3470"/>
      <c r="C20" s="3470"/>
      <c r="D20" s="3470"/>
      <c r="E20" s="3470"/>
      <c r="F20" s="3470"/>
      <c r="G20" s="3471"/>
    </row>
    <row r="21" spans="1:10" ht="27.75" customHeight="1" x14ac:dyDescent="0.3">
      <c r="A21" s="3464" t="s">
        <v>1123</v>
      </c>
      <c r="B21" s="3435" t="s">
        <v>1090</v>
      </c>
      <c r="C21" s="2195" t="s">
        <v>1080</v>
      </c>
      <c r="D21" s="2196">
        <f>304.426+362.241</f>
        <v>666.66699999999992</v>
      </c>
      <c r="E21" s="2196">
        <v>0</v>
      </c>
      <c r="F21" s="2201">
        <v>0</v>
      </c>
      <c r="G21" s="3466">
        <v>2021</v>
      </c>
    </row>
    <row r="22" spans="1:10" ht="27.75" customHeight="1" x14ac:dyDescent="0.3">
      <c r="A22" s="3455"/>
      <c r="B22" s="3458"/>
      <c r="C22" s="2177" t="s">
        <v>1081</v>
      </c>
      <c r="D22" s="2178">
        <v>0</v>
      </c>
      <c r="E22" s="2178">
        <v>0</v>
      </c>
      <c r="F22" s="2202">
        <v>0</v>
      </c>
      <c r="G22" s="3467"/>
    </row>
    <row r="23" spans="1:10" ht="43" customHeight="1" thickBot="1" x14ac:dyDescent="0.35">
      <c r="A23" s="3455"/>
      <c r="B23" s="3458"/>
      <c r="C23" s="2184" t="s">
        <v>1082</v>
      </c>
      <c r="D23" s="2185">
        <f>SUM(D21:D22)</f>
        <v>666.66699999999992</v>
      </c>
      <c r="E23" s="2185">
        <f>SUM(E21:E22)</f>
        <v>0</v>
      </c>
      <c r="F23" s="2203">
        <f>SUM(F21:F22)</f>
        <v>0</v>
      </c>
      <c r="G23" s="3468"/>
    </row>
    <row r="24" spans="1:10" ht="34" hidden="1" customHeight="1" x14ac:dyDescent="0.3">
      <c r="A24" s="3488" t="s">
        <v>1072</v>
      </c>
      <c r="B24" s="3489"/>
      <c r="C24" s="3489"/>
      <c r="D24" s="3489"/>
      <c r="E24" s="3489"/>
      <c r="F24" s="3489"/>
      <c r="G24" s="3490" t="s">
        <v>1078</v>
      </c>
    </row>
    <row r="25" spans="1:10" ht="35.5" hidden="1" customHeight="1" x14ac:dyDescent="0.3">
      <c r="A25" s="3455" t="s">
        <v>1083</v>
      </c>
      <c r="B25" s="3458" t="s">
        <v>1079</v>
      </c>
      <c r="C25" s="2177" t="s">
        <v>1080</v>
      </c>
      <c r="D25" s="2178">
        <v>0</v>
      </c>
      <c r="E25" s="2178">
        <v>0</v>
      </c>
      <c r="F25" s="2178">
        <v>0</v>
      </c>
      <c r="G25" s="3490"/>
      <c r="H25" s="2179"/>
      <c r="I25" s="2179"/>
      <c r="J25" s="2179"/>
    </row>
    <row r="26" spans="1:10" ht="35.5" hidden="1" customHeight="1" x14ac:dyDescent="0.3">
      <c r="A26" s="3455"/>
      <c r="B26" s="3458"/>
      <c r="C26" s="2177" t="s">
        <v>1081</v>
      </c>
      <c r="D26" s="2178">
        <v>0</v>
      </c>
      <c r="E26" s="2178">
        <v>0</v>
      </c>
      <c r="F26" s="2178">
        <v>0</v>
      </c>
      <c r="G26" s="3490"/>
      <c r="H26" s="2179"/>
      <c r="I26" s="2179"/>
      <c r="J26" s="2179"/>
    </row>
    <row r="27" spans="1:10" ht="35.5" hidden="1" customHeight="1" x14ac:dyDescent="0.3">
      <c r="A27" s="3455"/>
      <c r="B27" s="3458"/>
      <c r="C27" s="2177" t="s">
        <v>1082</v>
      </c>
      <c r="D27" s="2178">
        <f>SUM(D25:D26)</f>
        <v>0</v>
      </c>
      <c r="E27" s="2178">
        <f>SUM(E25:E26)</f>
        <v>0</v>
      </c>
      <c r="F27" s="2178">
        <f>SUM(F25:F26)</f>
        <v>0</v>
      </c>
      <c r="G27" s="3490"/>
      <c r="H27" s="2179"/>
      <c r="I27" s="2179"/>
      <c r="J27" s="2179"/>
    </row>
    <row r="28" spans="1:10" ht="28.5" hidden="1" customHeight="1" x14ac:dyDescent="0.3">
      <c r="A28" s="3455" t="s">
        <v>1084</v>
      </c>
      <c r="B28" s="3458" t="s">
        <v>1079</v>
      </c>
      <c r="C28" s="2177" t="s">
        <v>1080</v>
      </c>
      <c r="D28" s="2178">
        <v>0</v>
      </c>
      <c r="E28" s="2178">
        <v>0</v>
      </c>
      <c r="F28" s="2178">
        <v>0</v>
      </c>
      <c r="G28" s="3490"/>
      <c r="H28" s="2179"/>
      <c r="I28" s="2179"/>
      <c r="J28" s="2179"/>
    </row>
    <row r="29" spans="1:10" ht="28.5" hidden="1" customHeight="1" x14ac:dyDescent="0.3">
      <c r="A29" s="3455"/>
      <c r="B29" s="3458"/>
      <c r="C29" s="2177" t="s">
        <v>1081</v>
      </c>
      <c r="D29" s="2178">
        <v>0</v>
      </c>
      <c r="E29" s="2178">
        <v>0</v>
      </c>
      <c r="F29" s="2178">
        <v>0</v>
      </c>
      <c r="G29" s="3490"/>
      <c r="H29" s="2179"/>
      <c r="I29" s="2179"/>
      <c r="J29" s="2179"/>
    </row>
    <row r="30" spans="1:10" ht="28.5" hidden="1" customHeight="1" x14ac:dyDescent="0.3">
      <c r="A30" s="3455"/>
      <c r="B30" s="3458"/>
      <c r="C30" s="2177" t="s">
        <v>1082</v>
      </c>
      <c r="D30" s="2178">
        <f>SUM(D28:D29)</f>
        <v>0</v>
      </c>
      <c r="E30" s="2178">
        <f>SUM(E28:E29)</f>
        <v>0</v>
      </c>
      <c r="F30" s="2178">
        <f>SUM(F28:F29)</f>
        <v>0</v>
      </c>
      <c r="G30" s="3490"/>
      <c r="H30" s="2179"/>
      <c r="I30" s="2179"/>
      <c r="J30" s="2179"/>
    </row>
    <row r="31" spans="1:10" ht="28.5" hidden="1" customHeight="1" x14ac:dyDescent="0.3">
      <c r="A31" s="3455" t="s">
        <v>1085</v>
      </c>
      <c r="B31" s="3458" t="s">
        <v>1079</v>
      </c>
      <c r="C31" s="2177" t="s">
        <v>1080</v>
      </c>
      <c r="D31" s="2178">
        <v>0</v>
      </c>
      <c r="E31" s="2178">
        <v>0</v>
      </c>
      <c r="F31" s="2178">
        <v>0</v>
      </c>
      <c r="G31" s="3490"/>
      <c r="H31" s="2179"/>
      <c r="I31" s="2179"/>
      <c r="J31" s="2179"/>
    </row>
    <row r="32" spans="1:10" ht="28.5" hidden="1" customHeight="1" x14ac:dyDescent="0.3">
      <c r="A32" s="3455"/>
      <c r="B32" s="3458"/>
      <c r="C32" s="2177" t="s">
        <v>1081</v>
      </c>
      <c r="D32" s="2178">
        <v>0</v>
      </c>
      <c r="E32" s="2178">
        <v>0</v>
      </c>
      <c r="F32" s="2178">
        <v>0</v>
      </c>
      <c r="G32" s="3490"/>
      <c r="H32" s="2179"/>
      <c r="I32" s="2179"/>
      <c r="J32" s="2179"/>
    </row>
    <row r="33" spans="1:10" ht="28.5" hidden="1" customHeight="1" x14ac:dyDescent="0.3">
      <c r="A33" s="3455"/>
      <c r="B33" s="3458"/>
      <c r="C33" s="2177" t="s">
        <v>1082</v>
      </c>
      <c r="D33" s="2178">
        <f>SUM(D31:D32)</f>
        <v>0</v>
      </c>
      <c r="E33" s="2178">
        <f>SUM(E31:E32)</f>
        <v>0</v>
      </c>
      <c r="F33" s="2178">
        <f>SUM(F31:F32)</f>
        <v>0</v>
      </c>
      <c r="G33" s="3490"/>
      <c r="H33" s="2179"/>
      <c r="I33" s="2179"/>
      <c r="J33" s="2179"/>
    </row>
    <row r="34" spans="1:10" s="2183" customFormat="1" ht="28.5" hidden="1" customHeight="1" x14ac:dyDescent="0.3">
      <c r="A34" s="3460" t="s">
        <v>1072</v>
      </c>
      <c r="B34" s="3461" t="s">
        <v>828</v>
      </c>
      <c r="C34" s="2180" t="s">
        <v>1080</v>
      </c>
      <c r="D34" s="2181">
        <f t="shared" ref="D34:F36" si="0">D25+D28+D31</f>
        <v>0</v>
      </c>
      <c r="E34" s="2181">
        <f t="shared" si="0"/>
        <v>0</v>
      </c>
      <c r="F34" s="2181">
        <f t="shared" si="0"/>
        <v>0</v>
      </c>
      <c r="G34" s="3490"/>
      <c r="H34" s="2182"/>
      <c r="I34" s="2182"/>
      <c r="J34" s="2182"/>
    </row>
    <row r="35" spans="1:10" s="2183" customFormat="1" ht="28.5" hidden="1" customHeight="1" x14ac:dyDescent="0.3">
      <c r="A35" s="3460"/>
      <c r="B35" s="3461"/>
      <c r="C35" s="2180" t="s">
        <v>1081</v>
      </c>
      <c r="D35" s="2181">
        <f t="shared" si="0"/>
        <v>0</v>
      </c>
      <c r="E35" s="2181">
        <f t="shared" si="0"/>
        <v>0</v>
      </c>
      <c r="F35" s="2181">
        <f t="shared" si="0"/>
        <v>0</v>
      </c>
      <c r="G35" s="3490"/>
      <c r="H35" s="2182"/>
      <c r="I35" s="2182"/>
      <c r="J35" s="2182"/>
    </row>
    <row r="36" spans="1:10" s="2183" customFormat="1" ht="26" hidden="1" x14ac:dyDescent="0.3">
      <c r="A36" s="3460"/>
      <c r="B36" s="3461"/>
      <c r="C36" s="2180" t="s">
        <v>1086</v>
      </c>
      <c r="D36" s="2181">
        <f t="shared" si="0"/>
        <v>0</v>
      </c>
      <c r="E36" s="2181">
        <f t="shared" si="0"/>
        <v>0</v>
      </c>
      <c r="F36" s="2181">
        <f t="shared" si="0"/>
        <v>0</v>
      </c>
      <c r="G36" s="3490"/>
      <c r="H36" s="2182"/>
      <c r="I36" s="2182"/>
      <c r="J36" s="2182"/>
    </row>
    <row r="37" spans="1:10" s="2183" customFormat="1" ht="32.5" customHeight="1" x14ac:dyDescent="0.3">
      <c r="A37" s="3497" t="s">
        <v>1124</v>
      </c>
      <c r="B37" s="3434" t="s">
        <v>1090</v>
      </c>
      <c r="C37" s="2177" t="s">
        <v>1080</v>
      </c>
      <c r="D37" s="2178">
        <f>1200</f>
        <v>1200</v>
      </c>
      <c r="E37" s="2178">
        <f>157+5</f>
        <v>162</v>
      </c>
      <c r="F37" s="2202">
        <v>1600</v>
      </c>
      <c r="G37" s="3466">
        <v>2022</v>
      </c>
      <c r="H37" s="2182"/>
      <c r="I37" s="2182"/>
      <c r="J37" s="2182"/>
    </row>
    <row r="38" spans="1:10" s="2183" customFormat="1" ht="30.65" customHeight="1" x14ac:dyDescent="0.3">
      <c r="A38" s="3498"/>
      <c r="B38" s="3495"/>
      <c r="C38" s="2177" t="s">
        <v>1081</v>
      </c>
      <c r="D38" s="2178">
        <v>0</v>
      </c>
      <c r="E38" s="2178">
        <f>1443+95</f>
        <v>1538</v>
      </c>
      <c r="F38" s="2202">
        <v>0</v>
      </c>
      <c r="G38" s="3467"/>
      <c r="H38" s="2182"/>
      <c r="I38" s="2182"/>
      <c r="J38" s="2182"/>
    </row>
    <row r="39" spans="1:10" s="2183" customFormat="1" ht="32.5" customHeight="1" thickBot="1" x14ac:dyDescent="0.35">
      <c r="A39" s="3499"/>
      <c r="B39" s="3496"/>
      <c r="C39" s="2197" t="s">
        <v>1082</v>
      </c>
      <c r="D39" s="2198">
        <f>D37+D38</f>
        <v>1200</v>
      </c>
      <c r="E39" s="2198">
        <f>SUM(E37:E38)</f>
        <v>1700</v>
      </c>
      <c r="F39" s="2204">
        <f>F37+F38</f>
        <v>1600</v>
      </c>
      <c r="G39" s="3468"/>
      <c r="H39" s="2182"/>
      <c r="I39" s="2182"/>
      <c r="J39" s="2182"/>
    </row>
    <row r="40" spans="1:10" s="2183" customFormat="1" ht="13" customHeight="1" x14ac:dyDescent="0.3">
      <c r="A40" s="3481" t="s">
        <v>906</v>
      </c>
      <c r="B40" s="3482"/>
      <c r="C40" s="3482"/>
      <c r="D40" s="3482"/>
      <c r="E40" s="3482"/>
      <c r="F40" s="3482"/>
      <c r="G40" s="3483"/>
      <c r="H40" s="2182"/>
      <c r="I40" s="2182"/>
      <c r="J40" s="2182"/>
    </row>
    <row r="41" spans="1:10" s="2183" customFormat="1" ht="13" customHeight="1" thickBot="1" x14ac:dyDescent="0.35">
      <c r="A41" s="3484"/>
      <c r="B41" s="3485"/>
      <c r="C41" s="3485"/>
      <c r="D41" s="3485"/>
      <c r="E41" s="3485"/>
      <c r="F41" s="3485"/>
      <c r="G41" s="3486"/>
      <c r="H41" s="2182"/>
      <c r="I41" s="2182"/>
      <c r="J41" s="2182"/>
    </row>
    <row r="42" spans="1:10" s="2183" customFormat="1" ht="13.75" hidden="1" customHeight="1" x14ac:dyDescent="0.3">
      <c r="A42" s="2207"/>
      <c r="B42" s="2208"/>
      <c r="C42" s="2208"/>
      <c r="D42" s="2208"/>
      <c r="E42" s="2208"/>
      <c r="F42" s="2209"/>
      <c r="G42" s="2206"/>
      <c r="H42" s="2182"/>
      <c r="I42" s="2182"/>
      <c r="J42" s="2182"/>
    </row>
    <row r="43" spans="1:10" s="2183" customFormat="1" ht="25.15" customHeight="1" thickTop="1" x14ac:dyDescent="0.3">
      <c r="A43" s="3454" t="s">
        <v>1091</v>
      </c>
      <c r="B43" s="3457" t="s">
        <v>1090</v>
      </c>
      <c r="C43" s="2199" t="s">
        <v>1080</v>
      </c>
      <c r="D43" s="2200">
        <v>1000</v>
      </c>
      <c r="E43" s="2200">
        <v>1000</v>
      </c>
      <c r="F43" s="2205">
        <v>1000</v>
      </c>
      <c r="G43" s="3487" t="s">
        <v>1097</v>
      </c>
      <c r="H43" s="2182"/>
      <c r="I43" s="2182"/>
      <c r="J43" s="2182"/>
    </row>
    <row r="44" spans="1:10" s="2183" customFormat="1" ht="19" customHeight="1" x14ac:dyDescent="0.3">
      <c r="A44" s="3455"/>
      <c r="B44" s="3458"/>
      <c r="C44" s="2177" t="s">
        <v>1081</v>
      </c>
      <c r="D44" s="2178">
        <v>0</v>
      </c>
      <c r="E44" s="2178">
        <v>0</v>
      </c>
      <c r="F44" s="2202">
        <v>0</v>
      </c>
      <c r="G44" s="3467"/>
      <c r="H44" s="2182"/>
      <c r="I44" s="2182"/>
      <c r="J44" s="2182"/>
    </row>
    <row r="45" spans="1:10" s="2183" customFormat="1" ht="21.75" customHeight="1" thickBot="1" x14ac:dyDescent="0.35">
      <c r="A45" s="3456"/>
      <c r="B45" s="3459"/>
      <c r="C45" s="2197" t="s">
        <v>1082</v>
      </c>
      <c r="D45" s="2198">
        <f>SUM(D43:D44)</f>
        <v>1000</v>
      </c>
      <c r="E45" s="2198">
        <f>SUM(E43:E44)</f>
        <v>1000</v>
      </c>
      <c r="F45" s="2204">
        <f>SUM(F43:F44)</f>
        <v>1000</v>
      </c>
      <c r="G45" s="3468"/>
      <c r="H45" s="2182"/>
      <c r="I45" s="2182"/>
      <c r="J45" s="2182"/>
    </row>
    <row r="46" spans="1:10" s="2187" customFormat="1" ht="28.5" customHeight="1" x14ac:dyDescent="0.3">
      <c r="A46" s="3472" t="s">
        <v>1093</v>
      </c>
      <c r="B46" s="3475" t="s">
        <v>828</v>
      </c>
      <c r="C46" s="2195" t="s">
        <v>1080</v>
      </c>
      <c r="D46" s="2193">
        <f>D21+D37+D43</f>
        <v>2866.6669999999999</v>
      </c>
      <c r="E46" s="2193">
        <f t="shared" ref="E46:F46" si="1">E21+E37+E43</f>
        <v>1162</v>
      </c>
      <c r="F46" s="2193">
        <f t="shared" si="1"/>
        <v>2600</v>
      </c>
      <c r="G46" s="3478" t="s">
        <v>1087</v>
      </c>
      <c r="H46" s="2186"/>
      <c r="I46" s="2186"/>
      <c r="J46" s="2186"/>
    </row>
    <row r="47" spans="1:10" s="2187" customFormat="1" ht="28.5" customHeight="1" x14ac:dyDescent="0.3">
      <c r="A47" s="3473"/>
      <c r="B47" s="3476"/>
      <c r="C47" s="2177" t="s">
        <v>1081</v>
      </c>
      <c r="D47" s="2185">
        <f>D44+D38+D22</f>
        <v>0</v>
      </c>
      <c r="E47" s="2185">
        <f t="shared" ref="E47:F47" si="2">E44+E38+E22</f>
        <v>1538</v>
      </c>
      <c r="F47" s="2185">
        <f t="shared" si="2"/>
        <v>0</v>
      </c>
      <c r="G47" s="3479"/>
      <c r="H47" s="2186"/>
      <c r="I47" s="2186"/>
      <c r="J47" s="2186"/>
    </row>
    <row r="48" spans="1:10" s="2187" customFormat="1" ht="26.5" thickBot="1" x14ac:dyDescent="0.35">
      <c r="A48" s="3474"/>
      <c r="B48" s="3477"/>
      <c r="C48" s="2197" t="s">
        <v>1088</v>
      </c>
      <c r="D48" s="2198">
        <f>D46+D47</f>
        <v>2866.6669999999999</v>
      </c>
      <c r="E48" s="2198">
        <f>E46+E47</f>
        <v>2700</v>
      </c>
      <c r="F48" s="2198">
        <f>F46+F47</f>
        <v>2600</v>
      </c>
      <c r="G48" s="3480"/>
      <c r="H48" s="2186"/>
      <c r="I48" s="2186"/>
      <c r="J48" s="2186"/>
    </row>
    <row r="49" spans="3:6" x14ac:dyDescent="0.3">
      <c r="D49" s="2188"/>
      <c r="E49" s="2188"/>
      <c r="F49" s="2188"/>
    </row>
    <row r="50" spans="3:6" s="2176" customFormat="1" ht="15.5" x14ac:dyDescent="0.35">
      <c r="C50" s="2189"/>
    </row>
  </sheetData>
  <mergeCells count="39">
    <mergeCell ref="E1:G1"/>
    <mergeCell ref="E2:G2"/>
    <mergeCell ref="E3:G3"/>
    <mergeCell ref="E4:G4"/>
    <mergeCell ref="E5:G5"/>
    <mergeCell ref="A17:F17"/>
    <mergeCell ref="A18:A19"/>
    <mergeCell ref="B18:B19"/>
    <mergeCell ref="B37:B39"/>
    <mergeCell ref="A37:A39"/>
    <mergeCell ref="C18:C19"/>
    <mergeCell ref="D18:F18"/>
    <mergeCell ref="G21:G23"/>
    <mergeCell ref="A24:F24"/>
    <mergeCell ref="G24:G36"/>
    <mergeCell ref="A25:A27"/>
    <mergeCell ref="B25:B27"/>
    <mergeCell ref="A28:A30"/>
    <mergeCell ref="A46:A48"/>
    <mergeCell ref="B46:B48"/>
    <mergeCell ref="G46:G48"/>
    <mergeCell ref="A40:G41"/>
    <mergeCell ref="G43:G45"/>
    <mergeCell ref="F7:G7"/>
    <mergeCell ref="A43:A45"/>
    <mergeCell ref="B43:B45"/>
    <mergeCell ref="B28:B30"/>
    <mergeCell ref="A31:A33"/>
    <mergeCell ref="B31:B33"/>
    <mergeCell ref="A34:A36"/>
    <mergeCell ref="B34:B36"/>
    <mergeCell ref="G18:G19"/>
    <mergeCell ref="A21:A23"/>
    <mergeCell ref="B21:B23"/>
    <mergeCell ref="A13:G13"/>
    <mergeCell ref="A14:G14"/>
    <mergeCell ref="A15:G15"/>
    <mergeCell ref="G37:G39"/>
    <mergeCell ref="A20:G20"/>
  </mergeCells>
  <pageMargins left="0.70866141732283472" right="0.70866141732283472" top="0.35" bottom="0.31" header="0.31496062992125984" footer="0.31496062992125984"/>
  <pageSetup paperSize="9" scale="75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28"/>
  <sheetViews>
    <sheetView view="pageBreakPreview" zoomScale="60" zoomScaleNormal="60" workbookViewId="0">
      <selection activeCell="K14" sqref="K14"/>
    </sheetView>
  </sheetViews>
  <sheetFormatPr defaultColWidth="8.81640625" defaultRowHeight="12.5" x14ac:dyDescent="0.25"/>
  <cols>
    <col min="1" max="1" width="2.81640625" style="2252" customWidth="1"/>
    <col min="2" max="2" width="6.1796875" style="2252" customWidth="1"/>
    <col min="3" max="3" width="70.26953125" style="2252" customWidth="1"/>
    <col min="4" max="4" width="6.453125" style="2252" customWidth="1"/>
    <col min="5" max="5" width="6.7265625" style="2252" customWidth="1"/>
    <col min="6" max="6" width="18.26953125" style="2252" customWidth="1"/>
    <col min="7" max="7" width="16.54296875" style="2252" customWidth="1"/>
    <col min="8" max="9" width="15.7265625" style="2252" customWidth="1"/>
    <col min="10" max="10" width="14.54296875" style="2252" customWidth="1"/>
    <col min="11" max="246" width="8.81640625" style="2252"/>
    <col min="247" max="247" width="40.1796875" style="2252" customWidth="1"/>
    <col min="248" max="248" width="37" style="2252" customWidth="1"/>
    <col min="249" max="249" width="17.453125" style="2252" customWidth="1"/>
    <col min="250" max="250" width="19.453125" style="2252" customWidth="1"/>
    <col min="251" max="251" width="0" style="2252" hidden="1" customWidth="1"/>
    <col min="252" max="252" width="21.7265625" style="2252" customWidth="1"/>
    <col min="253" max="253" width="71" style="2252" customWidth="1"/>
    <col min="254" max="255" width="0" style="2252" hidden="1" customWidth="1"/>
    <col min="256" max="256" width="13.7265625" style="2252" customWidth="1"/>
    <col min="257" max="502" width="8.81640625" style="2252"/>
    <col min="503" max="503" width="40.1796875" style="2252" customWidth="1"/>
    <col min="504" max="504" width="37" style="2252" customWidth="1"/>
    <col min="505" max="505" width="17.453125" style="2252" customWidth="1"/>
    <col min="506" max="506" width="19.453125" style="2252" customWidth="1"/>
    <col min="507" max="507" width="0" style="2252" hidden="1" customWidth="1"/>
    <col min="508" max="508" width="21.7265625" style="2252" customWidth="1"/>
    <col min="509" max="509" width="71" style="2252" customWidth="1"/>
    <col min="510" max="511" width="0" style="2252" hidden="1" customWidth="1"/>
    <col min="512" max="512" width="13.7265625" style="2252" customWidth="1"/>
    <col min="513" max="758" width="8.81640625" style="2252"/>
    <col min="759" max="759" width="40.1796875" style="2252" customWidth="1"/>
    <col min="760" max="760" width="37" style="2252" customWidth="1"/>
    <col min="761" max="761" width="17.453125" style="2252" customWidth="1"/>
    <col min="762" max="762" width="19.453125" style="2252" customWidth="1"/>
    <col min="763" max="763" width="0" style="2252" hidden="1" customWidth="1"/>
    <col min="764" max="764" width="21.7265625" style="2252" customWidth="1"/>
    <col min="765" max="765" width="71" style="2252" customWidth="1"/>
    <col min="766" max="767" width="0" style="2252" hidden="1" customWidth="1"/>
    <col min="768" max="768" width="13.7265625" style="2252" customWidth="1"/>
    <col min="769" max="1014" width="8.81640625" style="2252"/>
    <col min="1015" max="1015" width="40.1796875" style="2252" customWidth="1"/>
    <col min="1016" max="1016" width="37" style="2252" customWidth="1"/>
    <col min="1017" max="1017" width="17.453125" style="2252" customWidth="1"/>
    <col min="1018" max="1018" width="19.453125" style="2252" customWidth="1"/>
    <col min="1019" max="1019" width="0" style="2252" hidden="1" customWidth="1"/>
    <col min="1020" max="1020" width="21.7265625" style="2252" customWidth="1"/>
    <col min="1021" max="1021" width="71" style="2252" customWidth="1"/>
    <col min="1022" max="1023" width="0" style="2252" hidden="1" customWidth="1"/>
    <col min="1024" max="1024" width="13.7265625" style="2252" customWidth="1"/>
    <col min="1025" max="1270" width="8.81640625" style="2252"/>
    <col min="1271" max="1271" width="40.1796875" style="2252" customWidth="1"/>
    <col min="1272" max="1272" width="37" style="2252" customWidth="1"/>
    <col min="1273" max="1273" width="17.453125" style="2252" customWidth="1"/>
    <col min="1274" max="1274" width="19.453125" style="2252" customWidth="1"/>
    <col min="1275" max="1275" width="0" style="2252" hidden="1" customWidth="1"/>
    <col min="1276" max="1276" width="21.7265625" style="2252" customWidth="1"/>
    <col min="1277" max="1277" width="71" style="2252" customWidth="1"/>
    <col min="1278" max="1279" width="0" style="2252" hidden="1" customWidth="1"/>
    <col min="1280" max="1280" width="13.7265625" style="2252" customWidth="1"/>
    <col min="1281" max="1526" width="8.81640625" style="2252"/>
    <col min="1527" max="1527" width="40.1796875" style="2252" customWidth="1"/>
    <col min="1528" max="1528" width="37" style="2252" customWidth="1"/>
    <col min="1529" max="1529" width="17.453125" style="2252" customWidth="1"/>
    <col min="1530" max="1530" width="19.453125" style="2252" customWidth="1"/>
    <col min="1531" max="1531" width="0" style="2252" hidden="1" customWidth="1"/>
    <col min="1532" max="1532" width="21.7265625" style="2252" customWidth="1"/>
    <col min="1533" max="1533" width="71" style="2252" customWidth="1"/>
    <col min="1534" max="1535" width="0" style="2252" hidden="1" customWidth="1"/>
    <col min="1536" max="1536" width="13.7265625" style="2252" customWidth="1"/>
    <col min="1537" max="1782" width="8.81640625" style="2252"/>
    <col min="1783" max="1783" width="40.1796875" style="2252" customWidth="1"/>
    <col min="1784" max="1784" width="37" style="2252" customWidth="1"/>
    <col min="1785" max="1785" width="17.453125" style="2252" customWidth="1"/>
    <col min="1786" max="1786" width="19.453125" style="2252" customWidth="1"/>
    <col min="1787" max="1787" width="0" style="2252" hidden="1" customWidth="1"/>
    <col min="1788" max="1788" width="21.7265625" style="2252" customWidth="1"/>
    <col min="1789" max="1789" width="71" style="2252" customWidth="1"/>
    <col min="1790" max="1791" width="0" style="2252" hidden="1" customWidth="1"/>
    <col min="1792" max="1792" width="13.7265625" style="2252" customWidth="1"/>
    <col min="1793" max="2038" width="8.81640625" style="2252"/>
    <col min="2039" max="2039" width="40.1796875" style="2252" customWidth="1"/>
    <col min="2040" max="2040" width="37" style="2252" customWidth="1"/>
    <col min="2041" max="2041" width="17.453125" style="2252" customWidth="1"/>
    <col min="2042" max="2042" width="19.453125" style="2252" customWidth="1"/>
    <col min="2043" max="2043" width="0" style="2252" hidden="1" customWidth="1"/>
    <col min="2044" max="2044" width="21.7265625" style="2252" customWidth="1"/>
    <col min="2045" max="2045" width="71" style="2252" customWidth="1"/>
    <col min="2046" max="2047" width="0" style="2252" hidden="1" customWidth="1"/>
    <col min="2048" max="2048" width="13.7265625" style="2252" customWidth="1"/>
    <col min="2049" max="2294" width="8.81640625" style="2252"/>
    <col min="2295" max="2295" width="40.1796875" style="2252" customWidth="1"/>
    <col min="2296" max="2296" width="37" style="2252" customWidth="1"/>
    <col min="2297" max="2297" width="17.453125" style="2252" customWidth="1"/>
    <col min="2298" max="2298" width="19.453125" style="2252" customWidth="1"/>
    <col min="2299" max="2299" width="0" style="2252" hidden="1" customWidth="1"/>
    <col min="2300" max="2300" width="21.7265625" style="2252" customWidth="1"/>
    <col min="2301" max="2301" width="71" style="2252" customWidth="1"/>
    <col min="2302" max="2303" width="0" style="2252" hidden="1" customWidth="1"/>
    <col min="2304" max="2304" width="13.7265625" style="2252" customWidth="1"/>
    <col min="2305" max="2550" width="8.81640625" style="2252"/>
    <col min="2551" max="2551" width="40.1796875" style="2252" customWidth="1"/>
    <col min="2552" max="2552" width="37" style="2252" customWidth="1"/>
    <col min="2553" max="2553" width="17.453125" style="2252" customWidth="1"/>
    <col min="2554" max="2554" width="19.453125" style="2252" customWidth="1"/>
    <col min="2555" max="2555" width="0" style="2252" hidden="1" customWidth="1"/>
    <col min="2556" max="2556" width="21.7265625" style="2252" customWidth="1"/>
    <col min="2557" max="2557" width="71" style="2252" customWidth="1"/>
    <col min="2558" max="2559" width="0" style="2252" hidden="1" customWidth="1"/>
    <col min="2560" max="2560" width="13.7265625" style="2252" customWidth="1"/>
    <col min="2561" max="2806" width="8.81640625" style="2252"/>
    <col min="2807" max="2807" width="40.1796875" style="2252" customWidth="1"/>
    <col min="2808" max="2808" width="37" style="2252" customWidth="1"/>
    <col min="2809" max="2809" width="17.453125" style="2252" customWidth="1"/>
    <col min="2810" max="2810" width="19.453125" style="2252" customWidth="1"/>
    <col min="2811" max="2811" width="0" style="2252" hidden="1" customWidth="1"/>
    <col min="2812" max="2812" width="21.7265625" style="2252" customWidth="1"/>
    <col min="2813" max="2813" width="71" style="2252" customWidth="1"/>
    <col min="2814" max="2815" width="0" style="2252" hidden="1" customWidth="1"/>
    <col min="2816" max="2816" width="13.7265625" style="2252" customWidth="1"/>
    <col min="2817" max="3062" width="8.81640625" style="2252"/>
    <col min="3063" max="3063" width="40.1796875" style="2252" customWidth="1"/>
    <col min="3064" max="3064" width="37" style="2252" customWidth="1"/>
    <col min="3065" max="3065" width="17.453125" style="2252" customWidth="1"/>
    <col min="3066" max="3066" width="19.453125" style="2252" customWidth="1"/>
    <col min="3067" max="3067" width="0" style="2252" hidden="1" customWidth="1"/>
    <col min="3068" max="3068" width="21.7265625" style="2252" customWidth="1"/>
    <col min="3069" max="3069" width="71" style="2252" customWidth="1"/>
    <col min="3070" max="3071" width="0" style="2252" hidden="1" customWidth="1"/>
    <col min="3072" max="3072" width="13.7265625" style="2252" customWidth="1"/>
    <col min="3073" max="3318" width="8.81640625" style="2252"/>
    <col min="3319" max="3319" width="40.1796875" style="2252" customWidth="1"/>
    <col min="3320" max="3320" width="37" style="2252" customWidth="1"/>
    <col min="3321" max="3321" width="17.453125" style="2252" customWidth="1"/>
    <col min="3322" max="3322" width="19.453125" style="2252" customWidth="1"/>
    <col min="3323" max="3323" width="0" style="2252" hidden="1" customWidth="1"/>
    <col min="3324" max="3324" width="21.7265625" style="2252" customWidth="1"/>
    <col min="3325" max="3325" width="71" style="2252" customWidth="1"/>
    <col min="3326" max="3327" width="0" style="2252" hidden="1" customWidth="1"/>
    <col min="3328" max="3328" width="13.7265625" style="2252" customWidth="1"/>
    <col min="3329" max="3574" width="8.81640625" style="2252"/>
    <col min="3575" max="3575" width="40.1796875" style="2252" customWidth="1"/>
    <col min="3576" max="3576" width="37" style="2252" customWidth="1"/>
    <col min="3577" max="3577" width="17.453125" style="2252" customWidth="1"/>
    <col min="3578" max="3578" width="19.453125" style="2252" customWidth="1"/>
    <col min="3579" max="3579" width="0" style="2252" hidden="1" customWidth="1"/>
    <col min="3580" max="3580" width="21.7265625" style="2252" customWidth="1"/>
    <col min="3581" max="3581" width="71" style="2252" customWidth="1"/>
    <col min="3582" max="3583" width="0" style="2252" hidden="1" customWidth="1"/>
    <col min="3584" max="3584" width="13.7265625" style="2252" customWidth="1"/>
    <col min="3585" max="3830" width="8.81640625" style="2252"/>
    <col min="3831" max="3831" width="40.1796875" style="2252" customWidth="1"/>
    <col min="3832" max="3832" width="37" style="2252" customWidth="1"/>
    <col min="3833" max="3833" width="17.453125" style="2252" customWidth="1"/>
    <col min="3834" max="3834" width="19.453125" style="2252" customWidth="1"/>
    <col min="3835" max="3835" width="0" style="2252" hidden="1" customWidth="1"/>
    <col min="3836" max="3836" width="21.7265625" style="2252" customWidth="1"/>
    <col min="3837" max="3837" width="71" style="2252" customWidth="1"/>
    <col min="3838" max="3839" width="0" style="2252" hidden="1" customWidth="1"/>
    <col min="3840" max="3840" width="13.7265625" style="2252" customWidth="1"/>
    <col min="3841" max="4086" width="8.81640625" style="2252"/>
    <col min="4087" max="4087" width="40.1796875" style="2252" customWidth="1"/>
    <col min="4088" max="4088" width="37" style="2252" customWidth="1"/>
    <col min="4089" max="4089" width="17.453125" style="2252" customWidth="1"/>
    <col min="4090" max="4090" width="19.453125" style="2252" customWidth="1"/>
    <col min="4091" max="4091" width="0" style="2252" hidden="1" customWidth="1"/>
    <col min="4092" max="4092" width="21.7265625" style="2252" customWidth="1"/>
    <col min="4093" max="4093" width="71" style="2252" customWidth="1"/>
    <col min="4094" max="4095" width="0" style="2252" hidden="1" customWidth="1"/>
    <col min="4096" max="4096" width="13.7265625" style="2252" customWidth="1"/>
    <col min="4097" max="4342" width="8.81640625" style="2252"/>
    <col min="4343" max="4343" width="40.1796875" style="2252" customWidth="1"/>
    <col min="4344" max="4344" width="37" style="2252" customWidth="1"/>
    <col min="4345" max="4345" width="17.453125" style="2252" customWidth="1"/>
    <col min="4346" max="4346" width="19.453125" style="2252" customWidth="1"/>
    <col min="4347" max="4347" width="0" style="2252" hidden="1" customWidth="1"/>
    <col min="4348" max="4348" width="21.7265625" style="2252" customWidth="1"/>
    <col min="4349" max="4349" width="71" style="2252" customWidth="1"/>
    <col min="4350" max="4351" width="0" style="2252" hidden="1" customWidth="1"/>
    <col min="4352" max="4352" width="13.7265625" style="2252" customWidth="1"/>
    <col min="4353" max="4598" width="8.81640625" style="2252"/>
    <col min="4599" max="4599" width="40.1796875" style="2252" customWidth="1"/>
    <col min="4600" max="4600" width="37" style="2252" customWidth="1"/>
    <col min="4601" max="4601" width="17.453125" style="2252" customWidth="1"/>
    <col min="4602" max="4602" width="19.453125" style="2252" customWidth="1"/>
    <col min="4603" max="4603" width="0" style="2252" hidden="1" customWidth="1"/>
    <col min="4604" max="4604" width="21.7265625" style="2252" customWidth="1"/>
    <col min="4605" max="4605" width="71" style="2252" customWidth="1"/>
    <col min="4606" max="4607" width="0" style="2252" hidden="1" customWidth="1"/>
    <col min="4608" max="4608" width="13.7265625" style="2252" customWidth="1"/>
    <col min="4609" max="4854" width="8.81640625" style="2252"/>
    <col min="4855" max="4855" width="40.1796875" style="2252" customWidth="1"/>
    <col min="4856" max="4856" width="37" style="2252" customWidth="1"/>
    <col min="4857" max="4857" width="17.453125" style="2252" customWidth="1"/>
    <col min="4858" max="4858" width="19.453125" style="2252" customWidth="1"/>
    <col min="4859" max="4859" width="0" style="2252" hidden="1" customWidth="1"/>
    <col min="4860" max="4860" width="21.7265625" style="2252" customWidth="1"/>
    <col min="4861" max="4861" width="71" style="2252" customWidth="1"/>
    <col min="4862" max="4863" width="0" style="2252" hidden="1" customWidth="1"/>
    <col min="4864" max="4864" width="13.7265625" style="2252" customWidth="1"/>
    <col min="4865" max="5110" width="8.81640625" style="2252"/>
    <col min="5111" max="5111" width="40.1796875" style="2252" customWidth="1"/>
    <col min="5112" max="5112" width="37" style="2252" customWidth="1"/>
    <col min="5113" max="5113" width="17.453125" style="2252" customWidth="1"/>
    <col min="5114" max="5114" width="19.453125" style="2252" customWidth="1"/>
    <col min="5115" max="5115" width="0" style="2252" hidden="1" customWidth="1"/>
    <col min="5116" max="5116" width="21.7265625" style="2252" customWidth="1"/>
    <col min="5117" max="5117" width="71" style="2252" customWidth="1"/>
    <col min="5118" max="5119" width="0" style="2252" hidden="1" customWidth="1"/>
    <col min="5120" max="5120" width="13.7265625" style="2252" customWidth="1"/>
    <col min="5121" max="5366" width="8.81640625" style="2252"/>
    <col min="5367" max="5367" width="40.1796875" style="2252" customWidth="1"/>
    <col min="5368" max="5368" width="37" style="2252" customWidth="1"/>
    <col min="5369" max="5369" width="17.453125" style="2252" customWidth="1"/>
    <col min="5370" max="5370" width="19.453125" style="2252" customWidth="1"/>
    <col min="5371" max="5371" width="0" style="2252" hidden="1" customWidth="1"/>
    <col min="5372" max="5372" width="21.7265625" style="2252" customWidth="1"/>
    <col min="5373" max="5373" width="71" style="2252" customWidth="1"/>
    <col min="5374" max="5375" width="0" style="2252" hidden="1" customWidth="1"/>
    <col min="5376" max="5376" width="13.7265625" style="2252" customWidth="1"/>
    <col min="5377" max="5622" width="8.81640625" style="2252"/>
    <col min="5623" max="5623" width="40.1796875" style="2252" customWidth="1"/>
    <col min="5624" max="5624" width="37" style="2252" customWidth="1"/>
    <col min="5625" max="5625" width="17.453125" style="2252" customWidth="1"/>
    <col min="5626" max="5626" width="19.453125" style="2252" customWidth="1"/>
    <col min="5627" max="5627" width="0" style="2252" hidden="1" customWidth="1"/>
    <col min="5628" max="5628" width="21.7265625" style="2252" customWidth="1"/>
    <col min="5629" max="5629" width="71" style="2252" customWidth="1"/>
    <col min="5630" max="5631" width="0" style="2252" hidden="1" customWidth="1"/>
    <col min="5632" max="5632" width="13.7265625" style="2252" customWidth="1"/>
    <col min="5633" max="5878" width="8.81640625" style="2252"/>
    <col min="5879" max="5879" width="40.1796875" style="2252" customWidth="1"/>
    <col min="5880" max="5880" width="37" style="2252" customWidth="1"/>
    <col min="5881" max="5881" width="17.453125" style="2252" customWidth="1"/>
    <col min="5882" max="5882" width="19.453125" style="2252" customWidth="1"/>
    <col min="5883" max="5883" width="0" style="2252" hidden="1" customWidth="1"/>
    <col min="5884" max="5884" width="21.7265625" style="2252" customWidth="1"/>
    <col min="5885" max="5885" width="71" style="2252" customWidth="1"/>
    <col min="5886" max="5887" width="0" style="2252" hidden="1" customWidth="1"/>
    <col min="5888" max="5888" width="13.7265625" style="2252" customWidth="1"/>
    <col min="5889" max="6134" width="8.81640625" style="2252"/>
    <col min="6135" max="6135" width="40.1796875" style="2252" customWidth="1"/>
    <col min="6136" max="6136" width="37" style="2252" customWidth="1"/>
    <col min="6137" max="6137" width="17.453125" style="2252" customWidth="1"/>
    <col min="6138" max="6138" width="19.453125" style="2252" customWidth="1"/>
    <col min="6139" max="6139" width="0" style="2252" hidden="1" customWidth="1"/>
    <col min="6140" max="6140" width="21.7265625" style="2252" customWidth="1"/>
    <col min="6141" max="6141" width="71" style="2252" customWidth="1"/>
    <col min="6142" max="6143" width="0" style="2252" hidden="1" customWidth="1"/>
    <col min="6144" max="6144" width="13.7265625" style="2252" customWidth="1"/>
    <col min="6145" max="6390" width="8.81640625" style="2252"/>
    <col min="6391" max="6391" width="40.1796875" style="2252" customWidth="1"/>
    <col min="6392" max="6392" width="37" style="2252" customWidth="1"/>
    <col min="6393" max="6393" width="17.453125" style="2252" customWidth="1"/>
    <col min="6394" max="6394" width="19.453125" style="2252" customWidth="1"/>
    <col min="6395" max="6395" width="0" style="2252" hidden="1" customWidth="1"/>
    <col min="6396" max="6396" width="21.7265625" style="2252" customWidth="1"/>
    <col min="6397" max="6397" width="71" style="2252" customWidth="1"/>
    <col min="6398" max="6399" width="0" style="2252" hidden="1" customWidth="1"/>
    <col min="6400" max="6400" width="13.7265625" style="2252" customWidth="1"/>
    <col min="6401" max="6646" width="8.81640625" style="2252"/>
    <col min="6647" max="6647" width="40.1796875" style="2252" customWidth="1"/>
    <col min="6648" max="6648" width="37" style="2252" customWidth="1"/>
    <col min="6649" max="6649" width="17.453125" style="2252" customWidth="1"/>
    <col min="6650" max="6650" width="19.453125" style="2252" customWidth="1"/>
    <col min="6651" max="6651" width="0" style="2252" hidden="1" customWidth="1"/>
    <col min="6652" max="6652" width="21.7265625" style="2252" customWidth="1"/>
    <col min="6653" max="6653" width="71" style="2252" customWidth="1"/>
    <col min="6654" max="6655" width="0" style="2252" hidden="1" customWidth="1"/>
    <col min="6656" max="6656" width="13.7265625" style="2252" customWidth="1"/>
    <col min="6657" max="6902" width="8.81640625" style="2252"/>
    <col min="6903" max="6903" width="40.1796875" style="2252" customWidth="1"/>
    <col min="6904" max="6904" width="37" style="2252" customWidth="1"/>
    <col min="6905" max="6905" width="17.453125" style="2252" customWidth="1"/>
    <col min="6906" max="6906" width="19.453125" style="2252" customWidth="1"/>
    <col min="6907" max="6907" width="0" style="2252" hidden="1" customWidth="1"/>
    <col min="6908" max="6908" width="21.7265625" style="2252" customWidth="1"/>
    <col min="6909" max="6909" width="71" style="2252" customWidth="1"/>
    <col min="6910" max="6911" width="0" style="2252" hidden="1" customWidth="1"/>
    <col min="6912" max="6912" width="13.7265625" style="2252" customWidth="1"/>
    <col min="6913" max="7158" width="8.81640625" style="2252"/>
    <col min="7159" max="7159" width="40.1796875" style="2252" customWidth="1"/>
    <col min="7160" max="7160" width="37" style="2252" customWidth="1"/>
    <col min="7161" max="7161" width="17.453125" style="2252" customWidth="1"/>
    <col min="7162" max="7162" width="19.453125" style="2252" customWidth="1"/>
    <col min="7163" max="7163" width="0" style="2252" hidden="1" customWidth="1"/>
    <col min="7164" max="7164" width="21.7265625" style="2252" customWidth="1"/>
    <col min="7165" max="7165" width="71" style="2252" customWidth="1"/>
    <col min="7166" max="7167" width="0" style="2252" hidden="1" customWidth="1"/>
    <col min="7168" max="7168" width="13.7265625" style="2252" customWidth="1"/>
    <col min="7169" max="7414" width="8.81640625" style="2252"/>
    <col min="7415" max="7415" width="40.1796875" style="2252" customWidth="1"/>
    <col min="7416" max="7416" width="37" style="2252" customWidth="1"/>
    <col min="7417" max="7417" width="17.453125" style="2252" customWidth="1"/>
    <col min="7418" max="7418" width="19.453125" style="2252" customWidth="1"/>
    <col min="7419" max="7419" width="0" style="2252" hidden="1" customWidth="1"/>
    <col min="7420" max="7420" width="21.7265625" style="2252" customWidth="1"/>
    <col min="7421" max="7421" width="71" style="2252" customWidth="1"/>
    <col min="7422" max="7423" width="0" style="2252" hidden="1" customWidth="1"/>
    <col min="7424" max="7424" width="13.7265625" style="2252" customWidth="1"/>
    <col min="7425" max="7670" width="8.81640625" style="2252"/>
    <col min="7671" max="7671" width="40.1796875" style="2252" customWidth="1"/>
    <col min="7672" max="7672" width="37" style="2252" customWidth="1"/>
    <col min="7673" max="7673" width="17.453125" style="2252" customWidth="1"/>
    <col min="7674" max="7674" width="19.453125" style="2252" customWidth="1"/>
    <col min="7675" max="7675" width="0" style="2252" hidden="1" customWidth="1"/>
    <col min="7676" max="7676" width="21.7265625" style="2252" customWidth="1"/>
    <col min="7677" max="7677" width="71" style="2252" customWidth="1"/>
    <col min="7678" max="7679" width="0" style="2252" hidden="1" customWidth="1"/>
    <col min="7680" max="7680" width="13.7265625" style="2252" customWidth="1"/>
    <col min="7681" max="7926" width="8.81640625" style="2252"/>
    <col min="7927" max="7927" width="40.1796875" style="2252" customWidth="1"/>
    <col min="7928" max="7928" width="37" style="2252" customWidth="1"/>
    <col min="7929" max="7929" width="17.453125" style="2252" customWidth="1"/>
    <col min="7930" max="7930" width="19.453125" style="2252" customWidth="1"/>
    <col min="7931" max="7931" width="0" style="2252" hidden="1" customWidth="1"/>
    <col min="7932" max="7932" width="21.7265625" style="2252" customWidth="1"/>
    <col min="7933" max="7933" width="71" style="2252" customWidth="1"/>
    <col min="7934" max="7935" width="0" style="2252" hidden="1" customWidth="1"/>
    <col min="7936" max="7936" width="13.7265625" style="2252" customWidth="1"/>
    <col min="7937" max="8182" width="8.81640625" style="2252"/>
    <col min="8183" max="8183" width="40.1796875" style="2252" customWidth="1"/>
    <col min="8184" max="8184" width="37" style="2252" customWidth="1"/>
    <col min="8185" max="8185" width="17.453125" style="2252" customWidth="1"/>
    <col min="8186" max="8186" width="19.453125" style="2252" customWidth="1"/>
    <col min="8187" max="8187" width="0" style="2252" hidden="1" customWidth="1"/>
    <col min="8188" max="8188" width="21.7265625" style="2252" customWidth="1"/>
    <col min="8189" max="8189" width="71" style="2252" customWidth="1"/>
    <col min="8190" max="8191" width="0" style="2252" hidden="1" customWidth="1"/>
    <col min="8192" max="8192" width="13.7265625" style="2252" customWidth="1"/>
    <col min="8193" max="8438" width="8.81640625" style="2252"/>
    <col min="8439" max="8439" width="40.1796875" style="2252" customWidth="1"/>
    <col min="8440" max="8440" width="37" style="2252" customWidth="1"/>
    <col min="8441" max="8441" width="17.453125" style="2252" customWidth="1"/>
    <col min="8442" max="8442" width="19.453125" style="2252" customWidth="1"/>
    <col min="8443" max="8443" width="0" style="2252" hidden="1" customWidth="1"/>
    <col min="8444" max="8444" width="21.7265625" style="2252" customWidth="1"/>
    <col min="8445" max="8445" width="71" style="2252" customWidth="1"/>
    <col min="8446" max="8447" width="0" style="2252" hidden="1" customWidth="1"/>
    <col min="8448" max="8448" width="13.7265625" style="2252" customWidth="1"/>
    <col min="8449" max="8694" width="8.81640625" style="2252"/>
    <col min="8695" max="8695" width="40.1796875" style="2252" customWidth="1"/>
    <col min="8696" max="8696" width="37" style="2252" customWidth="1"/>
    <col min="8697" max="8697" width="17.453125" style="2252" customWidth="1"/>
    <col min="8698" max="8698" width="19.453125" style="2252" customWidth="1"/>
    <col min="8699" max="8699" width="0" style="2252" hidden="1" customWidth="1"/>
    <col min="8700" max="8700" width="21.7265625" style="2252" customWidth="1"/>
    <col min="8701" max="8701" width="71" style="2252" customWidth="1"/>
    <col min="8702" max="8703" width="0" style="2252" hidden="1" customWidth="1"/>
    <col min="8704" max="8704" width="13.7265625" style="2252" customWidth="1"/>
    <col min="8705" max="8950" width="8.81640625" style="2252"/>
    <col min="8951" max="8951" width="40.1796875" style="2252" customWidth="1"/>
    <col min="8952" max="8952" width="37" style="2252" customWidth="1"/>
    <col min="8953" max="8953" width="17.453125" style="2252" customWidth="1"/>
    <col min="8954" max="8954" width="19.453125" style="2252" customWidth="1"/>
    <col min="8955" max="8955" width="0" style="2252" hidden="1" customWidth="1"/>
    <col min="8956" max="8956" width="21.7265625" style="2252" customWidth="1"/>
    <col min="8957" max="8957" width="71" style="2252" customWidth="1"/>
    <col min="8958" max="8959" width="0" style="2252" hidden="1" customWidth="1"/>
    <col min="8960" max="8960" width="13.7265625" style="2252" customWidth="1"/>
    <col min="8961" max="9206" width="8.81640625" style="2252"/>
    <col min="9207" max="9207" width="40.1796875" style="2252" customWidth="1"/>
    <col min="9208" max="9208" width="37" style="2252" customWidth="1"/>
    <col min="9209" max="9209" width="17.453125" style="2252" customWidth="1"/>
    <col min="9210" max="9210" width="19.453125" style="2252" customWidth="1"/>
    <col min="9211" max="9211" width="0" style="2252" hidden="1" customWidth="1"/>
    <col min="9212" max="9212" width="21.7265625" style="2252" customWidth="1"/>
    <col min="9213" max="9213" width="71" style="2252" customWidth="1"/>
    <col min="9214" max="9215" width="0" style="2252" hidden="1" customWidth="1"/>
    <col min="9216" max="9216" width="13.7265625" style="2252" customWidth="1"/>
    <col min="9217" max="9462" width="8.81640625" style="2252"/>
    <col min="9463" max="9463" width="40.1796875" style="2252" customWidth="1"/>
    <col min="9464" max="9464" width="37" style="2252" customWidth="1"/>
    <col min="9465" max="9465" width="17.453125" style="2252" customWidth="1"/>
    <col min="9466" max="9466" width="19.453125" style="2252" customWidth="1"/>
    <col min="9467" max="9467" width="0" style="2252" hidden="1" customWidth="1"/>
    <col min="9468" max="9468" width="21.7265625" style="2252" customWidth="1"/>
    <col min="9469" max="9469" width="71" style="2252" customWidth="1"/>
    <col min="9470" max="9471" width="0" style="2252" hidden="1" customWidth="1"/>
    <col min="9472" max="9472" width="13.7265625" style="2252" customWidth="1"/>
    <col min="9473" max="9718" width="8.81640625" style="2252"/>
    <col min="9719" max="9719" width="40.1796875" style="2252" customWidth="1"/>
    <col min="9720" max="9720" width="37" style="2252" customWidth="1"/>
    <col min="9721" max="9721" width="17.453125" style="2252" customWidth="1"/>
    <col min="9722" max="9722" width="19.453125" style="2252" customWidth="1"/>
    <col min="9723" max="9723" width="0" style="2252" hidden="1" customWidth="1"/>
    <col min="9724" max="9724" width="21.7265625" style="2252" customWidth="1"/>
    <col min="9725" max="9725" width="71" style="2252" customWidth="1"/>
    <col min="9726" max="9727" width="0" style="2252" hidden="1" customWidth="1"/>
    <col min="9728" max="9728" width="13.7265625" style="2252" customWidth="1"/>
    <col min="9729" max="9974" width="8.81640625" style="2252"/>
    <col min="9975" max="9975" width="40.1796875" style="2252" customWidth="1"/>
    <col min="9976" max="9976" width="37" style="2252" customWidth="1"/>
    <col min="9977" max="9977" width="17.453125" style="2252" customWidth="1"/>
    <col min="9978" max="9978" width="19.453125" style="2252" customWidth="1"/>
    <col min="9979" max="9979" width="0" style="2252" hidden="1" customWidth="1"/>
    <col min="9980" max="9980" width="21.7265625" style="2252" customWidth="1"/>
    <col min="9981" max="9981" width="71" style="2252" customWidth="1"/>
    <col min="9982" max="9983" width="0" style="2252" hidden="1" customWidth="1"/>
    <col min="9984" max="9984" width="13.7265625" style="2252" customWidth="1"/>
    <col min="9985" max="10230" width="8.81640625" style="2252"/>
    <col min="10231" max="10231" width="40.1796875" style="2252" customWidth="1"/>
    <col min="10232" max="10232" width="37" style="2252" customWidth="1"/>
    <col min="10233" max="10233" width="17.453125" style="2252" customWidth="1"/>
    <col min="10234" max="10234" width="19.453125" style="2252" customWidth="1"/>
    <col min="10235" max="10235" width="0" style="2252" hidden="1" customWidth="1"/>
    <col min="10236" max="10236" width="21.7265625" style="2252" customWidth="1"/>
    <col min="10237" max="10237" width="71" style="2252" customWidth="1"/>
    <col min="10238" max="10239" width="0" style="2252" hidden="1" customWidth="1"/>
    <col min="10240" max="10240" width="13.7265625" style="2252" customWidth="1"/>
    <col min="10241" max="10486" width="8.81640625" style="2252"/>
    <col min="10487" max="10487" width="40.1796875" style="2252" customWidth="1"/>
    <col min="10488" max="10488" width="37" style="2252" customWidth="1"/>
    <col min="10489" max="10489" width="17.453125" style="2252" customWidth="1"/>
    <col min="10490" max="10490" width="19.453125" style="2252" customWidth="1"/>
    <col min="10491" max="10491" width="0" style="2252" hidden="1" customWidth="1"/>
    <col min="10492" max="10492" width="21.7265625" style="2252" customWidth="1"/>
    <col min="10493" max="10493" width="71" style="2252" customWidth="1"/>
    <col min="10494" max="10495" width="0" style="2252" hidden="1" customWidth="1"/>
    <col min="10496" max="10496" width="13.7265625" style="2252" customWidth="1"/>
    <col min="10497" max="10742" width="8.81640625" style="2252"/>
    <col min="10743" max="10743" width="40.1796875" style="2252" customWidth="1"/>
    <col min="10744" max="10744" width="37" style="2252" customWidth="1"/>
    <col min="10745" max="10745" width="17.453125" style="2252" customWidth="1"/>
    <col min="10746" max="10746" width="19.453125" style="2252" customWidth="1"/>
    <col min="10747" max="10747" width="0" style="2252" hidden="1" customWidth="1"/>
    <col min="10748" max="10748" width="21.7265625" style="2252" customWidth="1"/>
    <col min="10749" max="10749" width="71" style="2252" customWidth="1"/>
    <col min="10750" max="10751" width="0" style="2252" hidden="1" customWidth="1"/>
    <col min="10752" max="10752" width="13.7265625" style="2252" customWidth="1"/>
    <col min="10753" max="10998" width="8.81640625" style="2252"/>
    <col min="10999" max="10999" width="40.1796875" style="2252" customWidth="1"/>
    <col min="11000" max="11000" width="37" style="2252" customWidth="1"/>
    <col min="11001" max="11001" width="17.453125" style="2252" customWidth="1"/>
    <col min="11002" max="11002" width="19.453125" style="2252" customWidth="1"/>
    <col min="11003" max="11003" width="0" style="2252" hidden="1" customWidth="1"/>
    <col min="11004" max="11004" width="21.7265625" style="2252" customWidth="1"/>
    <col min="11005" max="11005" width="71" style="2252" customWidth="1"/>
    <col min="11006" max="11007" width="0" style="2252" hidden="1" customWidth="1"/>
    <col min="11008" max="11008" width="13.7265625" style="2252" customWidth="1"/>
    <col min="11009" max="11254" width="8.81640625" style="2252"/>
    <col min="11255" max="11255" width="40.1796875" style="2252" customWidth="1"/>
    <col min="11256" max="11256" width="37" style="2252" customWidth="1"/>
    <col min="11257" max="11257" width="17.453125" style="2252" customWidth="1"/>
    <col min="11258" max="11258" width="19.453125" style="2252" customWidth="1"/>
    <col min="11259" max="11259" width="0" style="2252" hidden="1" customWidth="1"/>
    <col min="11260" max="11260" width="21.7265625" style="2252" customWidth="1"/>
    <col min="11261" max="11261" width="71" style="2252" customWidth="1"/>
    <col min="11262" max="11263" width="0" style="2252" hidden="1" customWidth="1"/>
    <col min="11264" max="11264" width="13.7265625" style="2252" customWidth="1"/>
    <col min="11265" max="11510" width="8.81640625" style="2252"/>
    <col min="11511" max="11511" width="40.1796875" style="2252" customWidth="1"/>
    <col min="11512" max="11512" width="37" style="2252" customWidth="1"/>
    <col min="11513" max="11513" width="17.453125" style="2252" customWidth="1"/>
    <col min="11514" max="11514" width="19.453125" style="2252" customWidth="1"/>
    <col min="11515" max="11515" width="0" style="2252" hidden="1" customWidth="1"/>
    <col min="11516" max="11516" width="21.7265625" style="2252" customWidth="1"/>
    <col min="11517" max="11517" width="71" style="2252" customWidth="1"/>
    <col min="11518" max="11519" width="0" style="2252" hidden="1" customWidth="1"/>
    <col min="11520" max="11520" width="13.7265625" style="2252" customWidth="1"/>
    <col min="11521" max="11766" width="8.81640625" style="2252"/>
    <col min="11767" max="11767" width="40.1796875" style="2252" customWidth="1"/>
    <col min="11768" max="11768" width="37" style="2252" customWidth="1"/>
    <col min="11769" max="11769" width="17.453125" style="2252" customWidth="1"/>
    <col min="11770" max="11770" width="19.453125" style="2252" customWidth="1"/>
    <col min="11771" max="11771" width="0" style="2252" hidden="1" customWidth="1"/>
    <col min="11772" max="11772" width="21.7265625" style="2252" customWidth="1"/>
    <col min="11773" max="11773" width="71" style="2252" customWidth="1"/>
    <col min="11774" max="11775" width="0" style="2252" hidden="1" customWidth="1"/>
    <col min="11776" max="11776" width="13.7265625" style="2252" customWidth="1"/>
    <col min="11777" max="12022" width="8.81640625" style="2252"/>
    <col min="12023" max="12023" width="40.1796875" style="2252" customWidth="1"/>
    <col min="12024" max="12024" width="37" style="2252" customWidth="1"/>
    <col min="12025" max="12025" width="17.453125" style="2252" customWidth="1"/>
    <col min="12026" max="12026" width="19.453125" style="2252" customWidth="1"/>
    <col min="12027" max="12027" width="0" style="2252" hidden="1" customWidth="1"/>
    <col min="12028" max="12028" width="21.7265625" style="2252" customWidth="1"/>
    <col min="12029" max="12029" width="71" style="2252" customWidth="1"/>
    <col min="12030" max="12031" width="0" style="2252" hidden="1" customWidth="1"/>
    <col min="12032" max="12032" width="13.7265625" style="2252" customWidth="1"/>
    <col min="12033" max="12278" width="8.81640625" style="2252"/>
    <col min="12279" max="12279" width="40.1796875" style="2252" customWidth="1"/>
    <col min="12280" max="12280" width="37" style="2252" customWidth="1"/>
    <col min="12281" max="12281" width="17.453125" style="2252" customWidth="1"/>
    <col min="12282" max="12282" width="19.453125" style="2252" customWidth="1"/>
    <col min="12283" max="12283" width="0" style="2252" hidden="1" customWidth="1"/>
    <col min="12284" max="12284" width="21.7265625" style="2252" customWidth="1"/>
    <col min="12285" max="12285" width="71" style="2252" customWidth="1"/>
    <col min="12286" max="12287" width="0" style="2252" hidden="1" customWidth="1"/>
    <col min="12288" max="12288" width="13.7265625" style="2252" customWidth="1"/>
    <col min="12289" max="12534" width="8.81640625" style="2252"/>
    <col min="12535" max="12535" width="40.1796875" style="2252" customWidth="1"/>
    <col min="12536" max="12536" width="37" style="2252" customWidth="1"/>
    <col min="12537" max="12537" width="17.453125" style="2252" customWidth="1"/>
    <col min="12538" max="12538" width="19.453125" style="2252" customWidth="1"/>
    <col min="12539" max="12539" width="0" style="2252" hidden="1" customWidth="1"/>
    <col min="12540" max="12540" width="21.7265625" style="2252" customWidth="1"/>
    <col min="12541" max="12541" width="71" style="2252" customWidth="1"/>
    <col min="12542" max="12543" width="0" style="2252" hidden="1" customWidth="1"/>
    <col min="12544" max="12544" width="13.7265625" style="2252" customWidth="1"/>
    <col min="12545" max="12790" width="8.81640625" style="2252"/>
    <col min="12791" max="12791" width="40.1796875" style="2252" customWidth="1"/>
    <col min="12792" max="12792" width="37" style="2252" customWidth="1"/>
    <col min="12793" max="12793" width="17.453125" style="2252" customWidth="1"/>
    <col min="12794" max="12794" width="19.453125" style="2252" customWidth="1"/>
    <col min="12795" max="12795" width="0" style="2252" hidden="1" customWidth="1"/>
    <col min="12796" max="12796" width="21.7265625" style="2252" customWidth="1"/>
    <col min="12797" max="12797" width="71" style="2252" customWidth="1"/>
    <col min="12798" max="12799" width="0" style="2252" hidden="1" customWidth="1"/>
    <col min="12800" max="12800" width="13.7265625" style="2252" customWidth="1"/>
    <col min="12801" max="13046" width="8.81640625" style="2252"/>
    <col min="13047" max="13047" width="40.1796875" style="2252" customWidth="1"/>
    <col min="13048" max="13048" width="37" style="2252" customWidth="1"/>
    <col min="13049" max="13049" width="17.453125" style="2252" customWidth="1"/>
    <col min="13050" max="13050" width="19.453125" style="2252" customWidth="1"/>
    <col min="13051" max="13051" width="0" style="2252" hidden="1" customWidth="1"/>
    <col min="13052" max="13052" width="21.7265625" style="2252" customWidth="1"/>
    <col min="13053" max="13053" width="71" style="2252" customWidth="1"/>
    <col min="13054" max="13055" width="0" style="2252" hidden="1" customWidth="1"/>
    <col min="13056" max="13056" width="13.7265625" style="2252" customWidth="1"/>
    <col min="13057" max="13302" width="8.81640625" style="2252"/>
    <col min="13303" max="13303" width="40.1796875" style="2252" customWidth="1"/>
    <col min="13304" max="13304" width="37" style="2252" customWidth="1"/>
    <col min="13305" max="13305" width="17.453125" style="2252" customWidth="1"/>
    <col min="13306" max="13306" width="19.453125" style="2252" customWidth="1"/>
    <col min="13307" max="13307" width="0" style="2252" hidden="1" customWidth="1"/>
    <col min="13308" max="13308" width="21.7265625" style="2252" customWidth="1"/>
    <col min="13309" max="13309" width="71" style="2252" customWidth="1"/>
    <col min="13310" max="13311" width="0" style="2252" hidden="1" customWidth="1"/>
    <col min="13312" max="13312" width="13.7265625" style="2252" customWidth="1"/>
    <col min="13313" max="13558" width="8.81640625" style="2252"/>
    <col min="13559" max="13559" width="40.1796875" style="2252" customWidth="1"/>
    <col min="13560" max="13560" width="37" style="2252" customWidth="1"/>
    <col min="13561" max="13561" width="17.453125" style="2252" customWidth="1"/>
    <col min="13562" max="13562" width="19.453125" style="2252" customWidth="1"/>
    <col min="13563" max="13563" width="0" style="2252" hidden="1" customWidth="1"/>
    <col min="13564" max="13564" width="21.7265625" style="2252" customWidth="1"/>
    <col min="13565" max="13565" width="71" style="2252" customWidth="1"/>
    <col min="13566" max="13567" width="0" style="2252" hidden="1" customWidth="1"/>
    <col min="13568" max="13568" width="13.7265625" style="2252" customWidth="1"/>
    <col min="13569" max="13814" width="8.81640625" style="2252"/>
    <col min="13815" max="13815" width="40.1796875" style="2252" customWidth="1"/>
    <col min="13816" max="13816" width="37" style="2252" customWidth="1"/>
    <col min="13817" max="13817" width="17.453125" style="2252" customWidth="1"/>
    <col min="13818" max="13818" width="19.453125" style="2252" customWidth="1"/>
    <col min="13819" max="13819" width="0" style="2252" hidden="1" customWidth="1"/>
    <col min="13820" max="13820" width="21.7265625" style="2252" customWidth="1"/>
    <col min="13821" max="13821" width="71" style="2252" customWidth="1"/>
    <col min="13822" max="13823" width="0" style="2252" hidden="1" customWidth="1"/>
    <col min="13824" max="13824" width="13.7265625" style="2252" customWidth="1"/>
    <col min="13825" max="14070" width="8.81640625" style="2252"/>
    <col min="14071" max="14071" width="40.1796875" style="2252" customWidth="1"/>
    <col min="14072" max="14072" width="37" style="2252" customWidth="1"/>
    <col min="14073" max="14073" width="17.453125" style="2252" customWidth="1"/>
    <col min="14074" max="14074" width="19.453125" style="2252" customWidth="1"/>
    <col min="14075" max="14075" width="0" style="2252" hidden="1" customWidth="1"/>
    <col min="14076" max="14076" width="21.7265625" style="2252" customWidth="1"/>
    <col min="14077" max="14077" width="71" style="2252" customWidth="1"/>
    <col min="14078" max="14079" width="0" style="2252" hidden="1" customWidth="1"/>
    <col min="14080" max="14080" width="13.7265625" style="2252" customWidth="1"/>
    <col min="14081" max="14326" width="8.81640625" style="2252"/>
    <col min="14327" max="14327" width="40.1796875" style="2252" customWidth="1"/>
    <col min="14328" max="14328" width="37" style="2252" customWidth="1"/>
    <col min="14329" max="14329" width="17.453125" style="2252" customWidth="1"/>
    <col min="14330" max="14330" width="19.453125" style="2252" customWidth="1"/>
    <col min="14331" max="14331" width="0" style="2252" hidden="1" customWidth="1"/>
    <col min="14332" max="14332" width="21.7265625" style="2252" customWidth="1"/>
    <col min="14333" max="14333" width="71" style="2252" customWidth="1"/>
    <col min="14334" max="14335" width="0" style="2252" hidden="1" customWidth="1"/>
    <col min="14336" max="14336" width="13.7265625" style="2252" customWidth="1"/>
    <col min="14337" max="14582" width="8.81640625" style="2252"/>
    <col min="14583" max="14583" width="40.1796875" style="2252" customWidth="1"/>
    <col min="14584" max="14584" width="37" style="2252" customWidth="1"/>
    <col min="14585" max="14585" width="17.453125" style="2252" customWidth="1"/>
    <col min="14586" max="14586" width="19.453125" style="2252" customWidth="1"/>
    <col min="14587" max="14587" width="0" style="2252" hidden="1" customWidth="1"/>
    <col min="14588" max="14588" width="21.7265625" style="2252" customWidth="1"/>
    <col min="14589" max="14589" width="71" style="2252" customWidth="1"/>
    <col min="14590" max="14591" width="0" style="2252" hidden="1" customWidth="1"/>
    <col min="14592" max="14592" width="13.7265625" style="2252" customWidth="1"/>
    <col min="14593" max="14838" width="8.81640625" style="2252"/>
    <col min="14839" max="14839" width="40.1796875" style="2252" customWidth="1"/>
    <col min="14840" max="14840" width="37" style="2252" customWidth="1"/>
    <col min="14841" max="14841" width="17.453125" style="2252" customWidth="1"/>
    <col min="14842" max="14842" width="19.453125" style="2252" customWidth="1"/>
    <col min="14843" max="14843" width="0" style="2252" hidden="1" customWidth="1"/>
    <col min="14844" max="14844" width="21.7265625" style="2252" customWidth="1"/>
    <col min="14845" max="14845" width="71" style="2252" customWidth="1"/>
    <col min="14846" max="14847" width="0" style="2252" hidden="1" customWidth="1"/>
    <col min="14848" max="14848" width="13.7265625" style="2252" customWidth="1"/>
    <col min="14849" max="15094" width="8.81640625" style="2252"/>
    <col min="15095" max="15095" width="40.1796875" style="2252" customWidth="1"/>
    <col min="15096" max="15096" width="37" style="2252" customWidth="1"/>
    <col min="15097" max="15097" width="17.453125" style="2252" customWidth="1"/>
    <col min="15098" max="15098" width="19.453125" style="2252" customWidth="1"/>
    <col min="15099" max="15099" width="0" style="2252" hidden="1" customWidth="1"/>
    <col min="15100" max="15100" width="21.7265625" style="2252" customWidth="1"/>
    <col min="15101" max="15101" width="71" style="2252" customWidth="1"/>
    <col min="15102" max="15103" width="0" style="2252" hidden="1" customWidth="1"/>
    <col min="15104" max="15104" width="13.7265625" style="2252" customWidth="1"/>
    <col min="15105" max="15350" width="8.81640625" style="2252"/>
    <col min="15351" max="15351" width="40.1796875" style="2252" customWidth="1"/>
    <col min="15352" max="15352" width="37" style="2252" customWidth="1"/>
    <col min="15353" max="15353" width="17.453125" style="2252" customWidth="1"/>
    <col min="15354" max="15354" width="19.453125" style="2252" customWidth="1"/>
    <col min="15355" max="15355" width="0" style="2252" hidden="1" customWidth="1"/>
    <col min="15356" max="15356" width="21.7265625" style="2252" customWidth="1"/>
    <col min="15357" max="15357" width="71" style="2252" customWidth="1"/>
    <col min="15358" max="15359" width="0" style="2252" hidden="1" customWidth="1"/>
    <col min="15360" max="15360" width="13.7265625" style="2252" customWidth="1"/>
    <col min="15361" max="15606" width="8.81640625" style="2252"/>
    <col min="15607" max="15607" width="40.1796875" style="2252" customWidth="1"/>
    <col min="15608" max="15608" width="37" style="2252" customWidth="1"/>
    <col min="15609" max="15609" width="17.453125" style="2252" customWidth="1"/>
    <col min="15610" max="15610" width="19.453125" style="2252" customWidth="1"/>
    <col min="15611" max="15611" width="0" style="2252" hidden="1" customWidth="1"/>
    <col min="15612" max="15612" width="21.7265625" style="2252" customWidth="1"/>
    <col min="15613" max="15613" width="71" style="2252" customWidth="1"/>
    <col min="15614" max="15615" width="0" style="2252" hidden="1" customWidth="1"/>
    <col min="15616" max="15616" width="13.7265625" style="2252" customWidth="1"/>
    <col min="15617" max="15862" width="8.81640625" style="2252"/>
    <col min="15863" max="15863" width="40.1796875" style="2252" customWidth="1"/>
    <col min="15864" max="15864" width="37" style="2252" customWidth="1"/>
    <col min="15865" max="15865" width="17.453125" style="2252" customWidth="1"/>
    <col min="15866" max="15866" width="19.453125" style="2252" customWidth="1"/>
    <col min="15867" max="15867" width="0" style="2252" hidden="1" customWidth="1"/>
    <col min="15868" max="15868" width="21.7265625" style="2252" customWidth="1"/>
    <col min="15869" max="15869" width="71" style="2252" customWidth="1"/>
    <col min="15870" max="15871" width="0" style="2252" hidden="1" customWidth="1"/>
    <col min="15872" max="15872" width="13.7265625" style="2252" customWidth="1"/>
    <col min="15873" max="16118" width="8.81640625" style="2252"/>
    <col min="16119" max="16119" width="40.1796875" style="2252" customWidth="1"/>
    <col min="16120" max="16120" width="37" style="2252" customWidth="1"/>
    <col min="16121" max="16121" width="17.453125" style="2252" customWidth="1"/>
    <col min="16122" max="16122" width="19.453125" style="2252" customWidth="1"/>
    <col min="16123" max="16123" width="0" style="2252" hidden="1" customWidth="1"/>
    <col min="16124" max="16124" width="21.7265625" style="2252" customWidth="1"/>
    <col min="16125" max="16125" width="71" style="2252" customWidth="1"/>
    <col min="16126" max="16127" width="0" style="2252" hidden="1" customWidth="1"/>
    <col min="16128" max="16128" width="13.7265625" style="2252" customWidth="1"/>
    <col min="16129" max="16384" width="8.81640625" style="2252"/>
  </cols>
  <sheetData>
    <row r="1" spans="1:25" ht="15.5" x14ac:dyDescent="0.35">
      <c r="A1" s="2290"/>
      <c r="B1" s="2290"/>
      <c r="C1" s="2290"/>
      <c r="D1" s="2290"/>
      <c r="E1" s="2290"/>
      <c r="F1" s="2290"/>
      <c r="G1" s="2290"/>
      <c r="H1" s="3502" t="s">
        <v>792</v>
      </c>
      <c r="I1" s="3502"/>
      <c r="J1" s="3502"/>
    </row>
    <row r="2" spans="1:25" ht="15.5" x14ac:dyDescent="0.35">
      <c r="A2" s="2290"/>
      <c r="B2" s="2290"/>
      <c r="C2" s="2290"/>
      <c r="D2" s="2290"/>
      <c r="E2" s="2290"/>
      <c r="F2" s="2290"/>
      <c r="G2" s="2290"/>
      <c r="H2" s="3502" t="s">
        <v>450</v>
      </c>
      <c r="I2" s="3502"/>
      <c r="J2" s="3502"/>
    </row>
    <row r="3" spans="1:25" ht="15.5" x14ac:dyDescent="0.35">
      <c r="A3" s="2290"/>
      <c r="B3" s="2290"/>
      <c r="C3" s="2290"/>
      <c r="D3" s="2290"/>
      <c r="E3" s="2290"/>
      <c r="F3" s="2290"/>
      <c r="G3" s="2290"/>
      <c r="H3" s="3502" t="s">
        <v>449</v>
      </c>
      <c r="I3" s="3502"/>
      <c r="J3" s="3502"/>
    </row>
    <row r="4" spans="1:25" ht="15.5" x14ac:dyDescent="0.35">
      <c r="A4" s="2290"/>
      <c r="B4" s="2290"/>
      <c r="C4" s="2290"/>
      <c r="D4" s="2290"/>
      <c r="E4" s="2290"/>
      <c r="F4" s="2290"/>
      <c r="G4" s="2290"/>
      <c r="H4" s="3502" t="s">
        <v>448</v>
      </c>
      <c r="I4" s="3502"/>
      <c r="J4" s="3502"/>
    </row>
    <row r="5" spans="1:25" ht="15.5" x14ac:dyDescent="0.35">
      <c r="A5" s="2290"/>
      <c r="B5" s="2290"/>
      <c r="C5" s="2290"/>
      <c r="D5" s="2290"/>
      <c r="E5" s="2290"/>
      <c r="F5" s="2290"/>
      <c r="G5" s="2290"/>
      <c r="H5" s="3502" t="s">
        <v>1151</v>
      </c>
      <c r="I5" s="3502"/>
      <c r="J5" s="3502"/>
    </row>
    <row r="6" spans="1:25" ht="15.5" x14ac:dyDescent="0.35">
      <c r="A6" s="2290"/>
      <c r="B6" s="2290"/>
      <c r="C6" s="2290"/>
      <c r="D6" s="2290"/>
      <c r="E6" s="2290"/>
      <c r="F6" s="2290"/>
      <c r="G6" s="2290"/>
      <c r="H6" s="2328"/>
      <c r="I6" s="2328"/>
      <c r="J6" s="2328"/>
    </row>
    <row r="7" spans="1:25" ht="15.5" x14ac:dyDescent="0.35">
      <c r="A7" s="2290"/>
      <c r="B7" s="2290"/>
      <c r="C7" s="2290"/>
      <c r="D7" s="2290"/>
      <c r="E7" s="2290"/>
      <c r="F7" s="2291"/>
      <c r="G7" s="2290"/>
      <c r="H7" s="2328"/>
      <c r="I7" s="2328"/>
      <c r="J7" s="2329" t="s">
        <v>813</v>
      </c>
    </row>
    <row r="8" spans="1:25" ht="15.5" x14ac:dyDescent="0.35">
      <c r="A8" s="2290"/>
      <c r="B8" s="2290"/>
      <c r="C8" s="2290"/>
      <c r="D8" s="2290"/>
      <c r="E8" s="2290"/>
      <c r="F8" s="2291"/>
      <c r="G8" s="2290"/>
      <c r="H8" s="2328"/>
      <c r="I8" s="2328"/>
      <c r="J8" s="2329" t="s">
        <v>797</v>
      </c>
    </row>
    <row r="9" spans="1:25" ht="15.5" x14ac:dyDescent="0.35">
      <c r="A9" s="2290"/>
      <c r="B9" s="2290"/>
      <c r="C9" s="2290"/>
      <c r="D9" s="2290"/>
      <c r="E9" s="2290"/>
      <c r="F9" s="2291"/>
      <c r="G9" s="2290"/>
      <c r="H9" s="2328"/>
      <c r="I9" s="2330"/>
      <c r="J9" s="2292" t="s">
        <v>449</v>
      </c>
    </row>
    <row r="10" spans="1:25" ht="15.5" x14ac:dyDescent="0.35">
      <c r="A10" s="2290"/>
      <c r="B10" s="2290"/>
      <c r="C10" s="2290"/>
      <c r="D10" s="2290"/>
      <c r="E10" s="2290"/>
      <c r="F10" s="2291"/>
      <c r="G10" s="2290"/>
      <c r="H10" s="2328"/>
      <c r="I10" s="2328"/>
      <c r="J10" s="2292" t="s">
        <v>448</v>
      </c>
    </row>
    <row r="11" spans="1:25" ht="12.65" customHeight="1" x14ac:dyDescent="0.3">
      <c r="A11" s="2290"/>
      <c r="B11" s="2290"/>
      <c r="C11" s="2290"/>
      <c r="D11" s="2290"/>
      <c r="E11" s="2290"/>
      <c r="F11" s="2293"/>
      <c r="G11" s="2290"/>
      <c r="H11" s="3212" t="s">
        <v>1103</v>
      </c>
      <c r="I11" s="3212"/>
      <c r="J11" s="3212"/>
      <c r="K11" s="1824"/>
      <c r="L11" s="1824"/>
      <c r="M11" s="1824"/>
      <c r="N11" s="1824"/>
      <c r="O11" s="1824"/>
      <c r="P11" s="1824"/>
      <c r="Q11" s="1824"/>
      <c r="R11" s="1824"/>
      <c r="S11" s="1824"/>
      <c r="T11" s="1824"/>
      <c r="U11" s="1824"/>
    </row>
    <row r="12" spans="1:25" ht="15.5" hidden="1" x14ac:dyDescent="0.35">
      <c r="A12" s="2290"/>
      <c r="B12" s="2290"/>
      <c r="C12" s="2290"/>
      <c r="D12" s="2290"/>
      <c r="E12" s="2290"/>
      <c r="F12" s="2294"/>
      <c r="G12" s="2290"/>
      <c r="H12" s="2328"/>
      <c r="I12" s="2328"/>
      <c r="J12" s="2328"/>
    </row>
    <row r="13" spans="1:25" ht="18" hidden="1" customHeight="1" x14ac:dyDescent="0.3">
      <c r="A13" s="2290"/>
      <c r="B13" s="2295"/>
      <c r="C13" s="2296"/>
      <c r="D13" s="2297"/>
      <c r="E13" s="2298"/>
      <c r="F13" s="2298"/>
      <c r="G13" s="2298"/>
      <c r="H13" s="2290"/>
      <c r="I13" s="2290"/>
      <c r="J13" s="2290"/>
    </row>
    <row r="14" spans="1:25" ht="24" customHeight="1" x14ac:dyDescent="0.3">
      <c r="A14" s="2290"/>
      <c r="B14" s="3500" t="s">
        <v>983</v>
      </c>
      <c r="C14" s="3500"/>
      <c r="D14" s="3500"/>
      <c r="E14" s="3500"/>
      <c r="F14" s="3500"/>
      <c r="G14" s="3500"/>
      <c r="H14" s="3500"/>
      <c r="I14" s="3500"/>
      <c r="J14" s="3500"/>
    </row>
    <row r="15" spans="1:25" ht="20.149999999999999" customHeight="1" x14ac:dyDescent="0.35">
      <c r="A15" s="3501" t="s">
        <v>869</v>
      </c>
      <c r="B15" s="3501"/>
      <c r="C15" s="3501"/>
      <c r="D15" s="3501"/>
      <c r="E15" s="3501"/>
      <c r="F15" s="3501"/>
      <c r="G15" s="3501"/>
      <c r="H15" s="3501"/>
      <c r="I15" s="3501"/>
      <c r="J15" s="3501"/>
      <c r="K15" s="2253"/>
    </row>
    <row r="16" spans="1:25" ht="15.75" customHeight="1" x14ac:dyDescent="0.35">
      <c r="A16" s="2913" t="s">
        <v>992</v>
      </c>
      <c r="B16" s="2913"/>
      <c r="C16" s="2913"/>
      <c r="D16" s="2913"/>
      <c r="E16" s="2913"/>
      <c r="F16" s="2913"/>
      <c r="G16" s="2913"/>
      <c r="H16" s="2913"/>
      <c r="I16" s="2913"/>
      <c r="J16" s="2913"/>
      <c r="K16" s="1772"/>
      <c r="L16" s="1772"/>
      <c r="M16" s="1772"/>
      <c r="N16" s="1772"/>
      <c r="O16" s="1772"/>
      <c r="P16" s="1772"/>
      <c r="Q16" s="1772"/>
      <c r="R16" s="1772"/>
      <c r="S16" s="1772"/>
      <c r="T16" s="1772"/>
      <c r="U16" s="1772"/>
      <c r="V16" s="1772"/>
      <c r="W16" s="1772"/>
      <c r="X16" s="1772"/>
      <c r="Y16" s="1772"/>
    </row>
    <row r="17" spans="1:10" ht="18.75" customHeight="1" thickBot="1" x14ac:dyDescent="0.35">
      <c r="A17" s="2290"/>
      <c r="B17" s="2299"/>
      <c r="C17" s="2300"/>
      <c r="D17" s="2300"/>
      <c r="E17" s="2301"/>
      <c r="F17" s="2301"/>
      <c r="G17" s="2302"/>
      <c r="H17" s="2290"/>
      <c r="I17" s="2290"/>
      <c r="J17" s="2302" t="s">
        <v>979</v>
      </c>
    </row>
    <row r="18" spans="1:10" ht="34.5" customHeight="1" x14ac:dyDescent="0.3">
      <c r="A18" s="2290"/>
      <c r="B18" s="2303" t="s">
        <v>611</v>
      </c>
      <c r="C18" s="2304" t="s">
        <v>980</v>
      </c>
      <c r="D18" s="2304" t="s">
        <v>609</v>
      </c>
      <c r="E18" s="2304" t="s">
        <v>608</v>
      </c>
      <c r="F18" s="2304" t="s">
        <v>607</v>
      </c>
      <c r="G18" s="2304" t="s">
        <v>606</v>
      </c>
      <c r="H18" s="2304" t="s">
        <v>981</v>
      </c>
      <c r="I18" s="2304" t="s">
        <v>982</v>
      </c>
      <c r="J18" s="2305" t="s">
        <v>1042</v>
      </c>
    </row>
    <row r="19" spans="1:10" ht="123" customHeight="1" x14ac:dyDescent="0.3">
      <c r="A19" s="2290"/>
      <c r="B19" s="2306">
        <v>1</v>
      </c>
      <c r="C19" s="2307" t="s">
        <v>987</v>
      </c>
      <c r="D19" s="2308" t="s">
        <v>452</v>
      </c>
      <c r="E19" s="2308" t="s">
        <v>539</v>
      </c>
      <c r="F19" s="2308" t="s">
        <v>214</v>
      </c>
      <c r="G19" s="2308"/>
      <c r="H19" s="2309">
        <f>H20</f>
        <v>2322.3869999999997</v>
      </c>
      <c r="I19" s="2309">
        <f>I20</f>
        <v>1331.5219999999999</v>
      </c>
      <c r="J19" s="2310">
        <f>J20</f>
        <v>383.2</v>
      </c>
    </row>
    <row r="20" spans="1:10" s="2254" customFormat="1" ht="55" customHeight="1" x14ac:dyDescent="0.35">
      <c r="A20" s="2311"/>
      <c r="B20" s="2312"/>
      <c r="C20" s="2313" t="s">
        <v>988</v>
      </c>
      <c r="D20" s="2308" t="s">
        <v>452</v>
      </c>
      <c r="E20" s="2308" t="s">
        <v>539</v>
      </c>
      <c r="F20" s="2308" t="s">
        <v>984</v>
      </c>
      <c r="G20" s="2314"/>
      <c r="H20" s="2315">
        <f>H21+H23</f>
        <v>2322.3869999999997</v>
      </c>
      <c r="I20" s="2315">
        <f>I21+I23</f>
        <v>1331.5219999999999</v>
      </c>
      <c r="J20" s="2316">
        <f>J21+J23</f>
        <v>383.2</v>
      </c>
    </row>
    <row r="21" spans="1:10" s="2254" customFormat="1" ht="33.75" customHeight="1" x14ac:dyDescent="0.35">
      <c r="A21" s="2311"/>
      <c r="B21" s="2312"/>
      <c r="C21" s="2313" t="s">
        <v>1149</v>
      </c>
      <c r="D21" s="2308" t="s">
        <v>452</v>
      </c>
      <c r="E21" s="2308" t="s">
        <v>539</v>
      </c>
      <c r="F21" s="2308" t="s">
        <v>984</v>
      </c>
      <c r="G21" s="2317" t="s">
        <v>1</v>
      </c>
      <c r="H21" s="2315">
        <f>766.4+832.9</f>
        <v>1599.3</v>
      </c>
      <c r="I21" s="2315">
        <v>766.4</v>
      </c>
      <c r="J21" s="2316">
        <v>383.2</v>
      </c>
    </row>
    <row r="22" spans="1:10" s="2254" customFormat="1" ht="33.75" customHeight="1" x14ac:dyDescent="0.35">
      <c r="A22" s="2311"/>
      <c r="B22" s="2312"/>
      <c r="C22" s="2313" t="s">
        <v>619</v>
      </c>
      <c r="D22" s="2308" t="s">
        <v>452</v>
      </c>
      <c r="E22" s="2308" t="s">
        <v>539</v>
      </c>
      <c r="F22" s="2308" t="s">
        <v>213</v>
      </c>
      <c r="G22" s="2317"/>
      <c r="H22" s="2315">
        <f>H23</f>
        <v>723.08699999999999</v>
      </c>
      <c r="I22" s="2315">
        <f>I23</f>
        <v>565.12199999999996</v>
      </c>
      <c r="J22" s="2316">
        <f>J23</f>
        <v>0</v>
      </c>
    </row>
    <row r="23" spans="1:10" s="2254" customFormat="1" ht="52.5" customHeight="1" x14ac:dyDescent="0.35">
      <c r="A23" s="2311"/>
      <c r="B23" s="2312"/>
      <c r="C23" s="2313" t="s">
        <v>1150</v>
      </c>
      <c r="D23" s="2308" t="s">
        <v>452</v>
      </c>
      <c r="E23" s="2308" t="s">
        <v>539</v>
      </c>
      <c r="F23" s="2308" t="s">
        <v>213</v>
      </c>
      <c r="G23" s="2317" t="s">
        <v>1</v>
      </c>
      <c r="H23" s="2315">
        <v>723.08699999999999</v>
      </c>
      <c r="I23" s="2315">
        <v>565.12199999999996</v>
      </c>
      <c r="J23" s="2316">
        <v>0</v>
      </c>
    </row>
    <row r="24" spans="1:10" s="2254" customFormat="1" ht="52.5" hidden="1" customHeight="1" x14ac:dyDescent="0.35">
      <c r="A24" s="2311"/>
      <c r="B24" s="2318"/>
      <c r="C24" s="2319"/>
      <c r="D24" s="2308" t="s">
        <v>452</v>
      </c>
      <c r="E24" s="2308" t="s">
        <v>539</v>
      </c>
      <c r="F24" s="2308" t="s">
        <v>205</v>
      </c>
      <c r="G24" s="2317" t="s">
        <v>1</v>
      </c>
      <c r="H24" s="2320"/>
      <c r="I24" s="2320"/>
      <c r="J24" s="2321"/>
    </row>
    <row r="25" spans="1:10" ht="30" customHeight="1" thickBot="1" x14ac:dyDescent="0.35">
      <c r="A25" s="2290"/>
      <c r="B25" s="2322"/>
      <c r="C25" s="2323" t="s">
        <v>314</v>
      </c>
      <c r="D25" s="2324"/>
      <c r="E25" s="2325"/>
      <c r="F25" s="2325"/>
      <c r="G25" s="2325"/>
      <c r="H25" s="2326">
        <f>H19</f>
        <v>2322.3869999999997</v>
      </c>
      <c r="I25" s="2326">
        <f>I19</f>
        <v>1331.5219999999999</v>
      </c>
      <c r="J25" s="2327">
        <f>J19</f>
        <v>383.2</v>
      </c>
    </row>
    <row r="26" spans="1:10" ht="13" x14ac:dyDescent="0.3">
      <c r="A26" s="2290"/>
      <c r="B26" s="2290"/>
      <c r="C26" s="2290"/>
      <c r="D26" s="2290"/>
      <c r="E26" s="2290"/>
      <c r="F26" s="2290"/>
      <c r="G26" s="2290"/>
      <c r="H26" s="2290"/>
      <c r="I26" s="2290"/>
      <c r="J26" s="2290"/>
    </row>
    <row r="27" spans="1:10" ht="13" x14ac:dyDescent="0.3">
      <c r="A27" s="2290"/>
      <c r="B27" s="2290"/>
      <c r="C27" s="2290"/>
      <c r="D27" s="2290"/>
      <c r="E27" s="2290"/>
      <c r="F27" s="2290"/>
      <c r="G27" s="2290"/>
      <c r="H27" s="2290"/>
      <c r="I27" s="2290"/>
      <c r="J27" s="2290"/>
    </row>
    <row r="28" spans="1:10" x14ac:dyDescent="0.25">
      <c r="E28" s="2255"/>
    </row>
  </sheetData>
  <mergeCells count="9">
    <mergeCell ref="B14:J14"/>
    <mergeCell ref="A15:J15"/>
    <mergeCell ref="A16:J16"/>
    <mergeCell ref="H1:J1"/>
    <mergeCell ref="H2:J2"/>
    <mergeCell ref="H3:J3"/>
    <mergeCell ref="H4:J4"/>
    <mergeCell ref="H5:J5"/>
    <mergeCell ref="H11:J11"/>
  </mergeCells>
  <pageMargins left="0.55118110236220474" right="0.74" top="0.43307086614173229" bottom="0.19685039370078741" header="0.19685039370078741" footer="0.15748031496062992"/>
  <pageSetup paperSize="9" scale="74" orientation="landscape" r:id="rId1"/>
  <colBreaks count="1" manualBreakCount="1">
    <brk id="7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28"/>
  <sheetViews>
    <sheetView zoomScale="64" zoomScaleNormal="64" workbookViewId="0">
      <selection activeCell="O22" sqref="O22"/>
    </sheetView>
  </sheetViews>
  <sheetFormatPr defaultColWidth="8.81640625" defaultRowHeight="12.5" x14ac:dyDescent="0.25"/>
  <cols>
    <col min="1" max="1" width="2.81640625" style="2252" customWidth="1"/>
    <col min="2" max="2" width="6.1796875" style="2252" customWidth="1"/>
    <col min="3" max="3" width="70.26953125" style="2252" customWidth="1"/>
    <col min="4" max="4" width="6.453125" style="2252" customWidth="1"/>
    <col min="5" max="5" width="6.7265625" style="2252" customWidth="1"/>
    <col min="6" max="6" width="18.26953125" style="2252" customWidth="1"/>
    <col min="7" max="7" width="16.54296875" style="2252" customWidth="1"/>
    <col min="8" max="9" width="15.7265625" style="2252" customWidth="1"/>
    <col min="10" max="10" width="14.54296875" style="2252" customWidth="1"/>
    <col min="11" max="246" width="8.81640625" style="2252"/>
    <col min="247" max="247" width="40.1796875" style="2252" customWidth="1"/>
    <col min="248" max="248" width="37" style="2252" customWidth="1"/>
    <col min="249" max="249" width="17.453125" style="2252" customWidth="1"/>
    <col min="250" max="250" width="19.453125" style="2252" customWidth="1"/>
    <col min="251" max="251" width="0" style="2252" hidden="1" customWidth="1"/>
    <col min="252" max="252" width="21.7265625" style="2252" customWidth="1"/>
    <col min="253" max="253" width="71" style="2252" customWidth="1"/>
    <col min="254" max="255" width="0" style="2252" hidden="1" customWidth="1"/>
    <col min="256" max="256" width="13.7265625" style="2252" customWidth="1"/>
    <col min="257" max="502" width="8.81640625" style="2252"/>
    <col min="503" max="503" width="40.1796875" style="2252" customWidth="1"/>
    <col min="504" max="504" width="37" style="2252" customWidth="1"/>
    <col min="505" max="505" width="17.453125" style="2252" customWidth="1"/>
    <col min="506" max="506" width="19.453125" style="2252" customWidth="1"/>
    <col min="507" max="507" width="0" style="2252" hidden="1" customWidth="1"/>
    <col min="508" max="508" width="21.7265625" style="2252" customWidth="1"/>
    <col min="509" max="509" width="71" style="2252" customWidth="1"/>
    <col min="510" max="511" width="0" style="2252" hidden="1" customWidth="1"/>
    <col min="512" max="512" width="13.7265625" style="2252" customWidth="1"/>
    <col min="513" max="758" width="8.81640625" style="2252"/>
    <col min="759" max="759" width="40.1796875" style="2252" customWidth="1"/>
    <col min="760" max="760" width="37" style="2252" customWidth="1"/>
    <col min="761" max="761" width="17.453125" style="2252" customWidth="1"/>
    <col min="762" max="762" width="19.453125" style="2252" customWidth="1"/>
    <col min="763" max="763" width="0" style="2252" hidden="1" customWidth="1"/>
    <col min="764" max="764" width="21.7265625" style="2252" customWidth="1"/>
    <col min="765" max="765" width="71" style="2252" customWidth="1"/>
    <col min="766" max="767" width="0" style="2252" hidden="1" customWidth="1"/>
    <col min="768" max="768" width="13.7265625" style="2252" customWidth="1"/>
    <col min="769" max="1014" width="8.81640625" style="2252"/>
    <col min="1015" max="1015" width="40.1796875" style="2252" customWidth="1"/>
    <col min="1016" max="1016" width="37" style="2252" customWidth="1"/>
    <col min="1017" max="1017" width="17.453125" style="2252" customWidth="1"/>
    <col min="1018" max="1018" width="19.453125" style="2252" customWidth="1"/>
    <col min="1019" max="1019" width="0" style="2252" hidden="1" customWidth="1"/>
    <col min="1020" max="1020" width="21.7265625" style="2252" customWidth="1"/>
    <col min="1021" max="1021" width="71" style="2252" customWidth="1"/>
    <col min="1022" max="1023" width="0" style="2252" hidden="1" customWidth="1"/>
    <col min="1024" max="1024" width="13.7265625" style="2252" customWidth="1"/>
    <col min="1025" max="1270" width="8.81640625" style="2252"/>
    <col min="1271" max="1271" width="40.1796875" style="2252" customWidth="1"/>
    <col min="1272" max="1272" width="37" style="2252" customWidth="1"/>
    <col min="1273" max="1273" width="17.453125" style="2252" customWidth="1"/>
    <col min="1274" max="1274" width="19.453125" style="2252" customWidth="1"/>
    <col min="1275" max="1275" width="0" style="2252" hidden="1" customWidth="1"/>
    <col min="1276" max="1276" width="21.7265625" style="2252" customWidth="1"/>
    <col min="1277" max="1277" width="71" style="2252" customWidth="1"/>
    <col min="1278" max="1279" width="0" style="2252" hidden="1" customWidth="1"/>
    <col min="1280" max="1280" width="13.7265625" style="2252" customWidth="1"/>
    <col min="1281" max="1526" width="8.81640625" style="2252"/>
    <col min="1527" max="1527" width="40.1796875" style="2252" customWidth="1"/>
    <col min="1528" max="1528" width="37" style="2252" customWidth="1"/>
    <col min="1529" max="1529" width="17.453125" style="2252" customWidth="1"/>
    <col min="1530" max="1530" width="19.453125" style="2252" customWidth="1"/>
    <col min="1531" max="1531" width="0" style="2252" hidden="1" customWidth="1"/>
    <col min="1532" max="1532" width="21.7265625" style="2252" customWidth="1"/>
    <col min="1533" max="1533" width="71" style="2252" customWidth="1"/>
    <col min="1534" max="1535" width="0" style="2252" hidden="1" customWidth="1"/>
    <col min="1536" max="1536" width="13.7265625" style="2252" customWidth="1"/>
    <col min="1537" max="1782" width="8.81640625" style="2252"/>
    <col min="1783" max="1783" width="40.1796875" style="2252" customWidth="1"/>
    <col min="1784" max="1784" width="37" style="2252" customWidth="1"/>
    <col min="1785" max="1785" width="17.453125" style="2252" customWidth="1"/>
    <col min="1786" max="1786" width="19.453125" style="2252" customWidth="1"/>
    <col min="1787" max="1787" width="0" style="2252" hidden="1" customWidth="1"/>
    <col min="1788" max="1788" width="21.7265625" style="2252" customWidth="1"/>
    <col min="1789" max="1789" width="71" style="2252" customWidth="1"/>
    <col min="1790" max="1791" width="0" style="2252" hidden="1" customWidth="1"/>
    <col min="1792" max="1792" width="13.7265625" style="2252" customWidth="1"/>
    <col min="1793" max="2038" width="8.81640625" style="2252"/>
    <col min="2039" max="2039" width="40.1796875" style="2252" customWidth="1"/>
    <col min="2040" max="2040" width="37" style="2252" customWidth="1"/>
    <col min="2041" max="2041" width="17.453125" style="2252" customWidth="1"/>
    <col min="2042" max="2042" width="19.453125" style="2252" customWidth="1"/>
    <col min="2043" max="2043" width="0" style="2252" hidden="1" customWidth="1"/>
    <col min="2044" max="2044" width="21.7265625" style="2252" customWidth="1"/>
    <col min="2045" max="2045" width="71" style="2252" customWidth="1"/>
    <col min="2046" max="2047" width="0" style="2252" hidden="1" customWidth="1"/>
    <col min="2048" max="2048" width="13.7265625" style="2252" customWidth="1"/>
    <col min="2049" max="2294" width="8.81640625" style="2252"/>
    <col min="2295" max="2295" width="40.1796875" style="2252" customWidth="1"/>
    <col min="2296" max="2296" width="37" style="2252" customWidth="1"/>
    <col min="2297" max="2297" width="17.453125" style="2252" customWidth="1"/>
    <col min="2298" max="2298" width="19.453125" style="2252" customWidth="1"/>
    <col min="2299" max="2299" width="0" style="2252" hidden="1" customWidth="1"/>
    <col min="2300" max="2300" width="21.7265625" style="2252" customWidth="1"/>
    <col min="2301" max="2301" width="71" style="2252" customWidth="1"/>
    <col min="2302" max="2303" width="0" style="2252" hidden="1" customWidth="1"/>
    <col min="2304" max="2304" width="13.7265625" style="2252" customWidth="1"/>
    <col min="2305" max="2550" width="8.81640625" style="2252"/>
    <col min="2551" max="2551" width="40.1796875" style="2252" customWidth="1"/>
    <col min="2552" max="2552" width="37" style="2252" customWidth="1"/>
    <col min="2553" max="2553" width="17.453125" style="2252" customWidth="1"/>
    <col min="2554" max="2554" width="19.453125" style="2252" customWidth="1"/>
    <col min="2555" max="2555" width="0" style="2252" hidden="1" customWidth="1"/>
    <col min="2556" max="2556" width="21.7265625" style="2252" customWidth="1"/>
    <col min="2557" max="2557" width="71" style="2252" customWidth="1"/>
    <col min="2558" max="2559" width="0" style="2252" hidden="1" customWidth="1"/>
    <col min="2560" max="2560" width="13.7265625" style="2252" customWidth="1"/>
    <col min="2561" max="2806" width="8.81640625" style="2252"/>
    <col min="2807" max="2807" width="40.1796875" style="2252" customWidth="1"/>
    <col min="2808" max="2808" width="37" style="2252" customWidth="1"/>
    <col min="2809" max="2809" width="17.453125" style="2252" customWidth="1"/>
    <col min="2810" max="2810" width="19.453125" style="2252" customWidth="1"/>
    <col min="2811" max="2811" width="0" style="2252" hidden="1" customWidth="1"/>
    <col min="2812" max="2812" width="21.7265625" style="2252" customWidth="1"/>
    <col min="2813" max="2813" width="71" style="2252" customWidth="1"/>
    <col min="2814" max="2815" width="0" style="2252" hidden="1" customWidth="1"/>
    <col min="2816" max="2816" width="13.7265625" style="2252" customWidth="1"/>
    <col min="2817" max="3062" width="8.81640625" style="2252"/>
    <col min="3063" max="3063" width="40.1796875" style="2252" customWidth="1"/>
    <col min="3064" max="3064" width="37" style="2252" customWidth="1"/>
    <col min="3065" max="3065" width="17.453125" style="2252" customWidth="1"/>
    <col min="3066" max="3066" width="19.453125" style="2252" customWidth="1"/>
    <col min="3067" max="3067" width="0" style="2252" hidden="1" customWidth="1"/>
    <col min="3068" max="3068" width="21.7265625" style="2252" customWidth="1"/>
    <col min="3069" max="3069" width="71" style="2252" customWidth="1"/>
    <col min="3070" max="3071" width="0" style="2252" hidden="1" customWidth="1"/>
    <col min="3072" max="3072" width="13.7265625" style="2252" customWidth="1"/>
    <col min="3073" max="3318" width="8.81640625" style="2252"/>
    <col min="3319" max="3319" width="40.1796875" style="2252" customWidth="1"/>
    <col min="3320" max="3320" width="37" style="2252" customWidth="1"/>
    <col min="3321" max="3321" width="17.453125" style="2252" customWidth="1"/>
    <col min="3322" max="3322" width="19.453125" style="2252" customWidth="1"/>
    <col min="3323" max="3323" width="0" style="2252" hidden="1" customWidth="1"/>
    <col min="3324" max="3324" width="21.7265625" style="2252" customWidth="1"/>
    <col min="3325" max="3325" width="71" style="2252" customWidth="1"/>
    <col min="3326" max="3327" width="0" style="2252" hidden="1" customWidth="1"/>
    <col min="3328" max="3328" width="13.7265625" style="2252" customWidth="1"/>
    <col min="3329" max="3574" width="8.81640625" style="2252"/>
    <col min="3575" max="3575" width="40.1796875" style="2252" customWidth="1"/>
    <col min="3576" max="3576" width="37" style="2252" customWidth="1"/>
    <col min="3577" max="3577" width="17.453125" style="2252" customWidth="1"/>
    <col min="3578" max="3578" width="19.453125" style="2252" customWidth="1"/>
    <col min="3579" max="3579" width="0" style="2252" hidden="1" customWidth="1"/>
    <col min="3580" max="3580" width="21.7265625" style="2252" customWidth="1"/>
    <col min="3581" max="3581" width="71" style="2252" customWidth="1"/>
    <col min="3582" max="3583" width="0" style="2252" hidden="1" customWidth="1"/>
    <col min="3584" max="3584" width="13.7265625" style="2252" customWidth="1"/>
    <col min="3585" max="3830" width="8.81640625" style="2252"/>
    <col min="3831" max="3831" width="40.1796875" style="2252" customWidth="1"/>
    <col min="3832" max="3832" width="37" style="2252" customWidth="1"/>
    <col min="3833" max="3833" width="17.453125" style="2252" customWidth="1"/>
    <col min="3834" max="3834" width="19.453125" style="2252" customWidth="1"/>
    <col min="3835" max="3835" width="0" style="2252" hidden="1" customWidth="1"/>
    <col min="3836" max="3836" width="21.7265625" style="2252" customWidth="1"/>
    <col min="3837" max="3837" width="71" style="2252" customWidth="1"/>
    <col min="3838" max="3839" width="0" style="2252" hidden="1" customWidth="1"/>
    <col min="3840" max="3840" width="13.7265625" style="2252" customWidth="1"/>
    <col min="3841" max="4086" width="8.81640625" style="2252"/>
    <col min="4087" max="4087" width="40.1796875" style="2252" customWidth="1"/>
    <col min="4088" max="4088" width="37" style="2252" customWidth="1"/>
    <col min="4089" max="4089" width="17.453125" style="2252" customWidth="1"/>
    <col min="4090" max="4090" width="19.453125" style="2252" customWidth="1"/>
    <col min="4091" max="4091" width="0" style="2252" hidden="1" customWidth="1"/>
    <col min="4092" max="4092" width="21.7265625" style="2252" customWidth="1"/>
    <col min="4093" max="4093" width="71" style="2252" customWidth="1"/>
    <col min="4094" max="4095" width="0" style="2252" hidden="1" customWidth="1"/>
    <col min="4096" max="4096" width="13.7265625" style="2252" customWidth="1"/>
    <col min="4097" max="4342" width="8.81640625" style="2252"/>
    <col min="4343" max="4343" width="40.1796875" style="2252" customWidth="1"/>
    <col min="4344" max="4344" width="37" style="2252" customWidth="1"/>
    <col min="4345" max="4345" width="17.453125" style="2252" customWidth="1"/>
    <col min="4346" max="4346" width="19.453125" style="2252" customWidth="1"/>
    <col min="4347" max="4347" width="0" style="2252" hidden="1" customWidth="1"/>
    <col min="4348" max="4348" width="21.7265625" style="2252" customWidth="1"/>
    <col min="4349" max="4349" width="71" style="2252" customWidth="1"/>
    <col min="4350" max="4351" width="0" style="2252" hidden="1" customWidth="1"/>
    <col min="4352" max="4352" width="13.7265625" style="2252" customWidth="1"/>
    <col min="4353" max="4598" width="8.81640625" style="2252"/>
    <col min="4599" max="4599" width="40.1796875" style="2252" customWidth="1"/>
    <col min="4600" max="4600" width="37" style="2252" customWidth="1"/>
    <col min="4601" max="4601" width="17.453125" style="2252" customWidth="1"/>
    <col min="4602" max="4602" width="19.453125" style="2252" customWidth="1"/>
    <col min="4603" max="4603" width="0" style="2252" hidden="1" customWidth="1"/>
    <col min="4604" max="4604" width="21.7265625" style="2252" customWidth="1"/>
    <col min="4605" max="4605" width="71" style="2252" customWidth="1"/>
    <col min="4606" max="4607" width="0" style="2252" hidden="1" customWidth="1"/>
    <col min="4608" max="4608" width="13.7265625" style="2252" customWidth="1"/>
    <col min="4609" max="4854" width="8.81640625" style="2252"/>
    <col min="4855" max="4855" width="40.1796875" style="2252" customWidth="1"/>
    <col min="4856" max="4856" width="37" style="2252" customWidth="1"/>
    <col min="4857" max="4857" width="17.453125" style="2252" customWidth="1"/>
    <col min="4858" max="4858" width="19.453125" style="2252" customWidth="1"/>
    <col min="4859" max="4859" width="0" style="2252" hidden="1" customWidth="1"/>
    <col min="4860" max="4860" width="21.7265625" style="2252" customWidth="1"/>
    <col min="4861" max="4861" width="71" style="2252" customWidth="1"/>
    <col min="4862" max="4863" width="0" style="2252" hidden="1" customWidth="1"/>
    <col min="4864" max="4864" width="13.7265625" style="2252" customWidth="1"/>
    <col min="4865" max="5110" width="8.81640625" style="2252"/>
    <col min="5111" max="5111" width="40.1796875" style="2252" customWidth="1"/>
    <col min="5112" max="5112" width="37" style="2252" customWidth="1"/>
    <col min="5113" max="5113" width="17.453125" style="2252" customWidth="1"/>
    <col min="5114" max="5114" width="19.453125" style="2252" customWidth="1"/>
    <col min="5115" max="5115" width="0" style="2252" hidden="1" customWidth="1"/>
    <col min="5116" max="5116" width="21.7265625" style="2252" customWidth="1"/>
    <col min="5117" max="5117" width="71" style="2252" customWidth="1"/>
    <col min="5118" max="5119" width="0" style="2252" hidden="1" customWidth="1"/>
    <col min="5120" max="5120" width="13.7265625" style="2252" customWidth="1"/>
    <col min="5121" max="5366" width="8.81640625" style="2252"/>
    <col min="5367" max="5367" width="40.1796875" style="2252" customWidth="1"/>
    <col min="5368" max="5368" width="37" style="2252" customWidth="1"/>
    <col min="5369" max="5369" width="17.453125" style="2252" customWidth="1"/>
    <col min="5370" max="5370" width="19.453125" style="2252" customWidth="1"/>
    <col min="5371" max="5371" width="0" style="2252" hidden="1" customWidth="1"/>
    <col min="5372" max="5372" width="21.7265625" style="2252" customWidth="1"/>
    <col min="5373" max="5373" width="71" style="2252" customWidth="1"/>
    <col min="5374" max="5375" width="0" style="2252" hidden="1" customWidth="1"/>
    <col min="5376" max="5376" width="13.7265625" style="2252" customWidth="1"/>
    <col min="5377" max="5622" width="8.81640625" style="2252"/>
    <col min="5623" max="5623" width="40.1796875" style="2252" customWidth="1"/>
    <col min="5624" max="5624" width="37" style="2252" customWidth="1"/>
    <col min="5625" max="5625" width="17.453125" style="2252" customWidth="1"/>
    <col min="5626" max="5626" width="19.453125" style="2252" customWidth="1"/>
    <col min="5627" max="5627" width="0" style="2252" hidden="1" customWidth="1"/>
    <col min="5628" max="5628" width="21.7265625" style="2252" customWidth="1"/>
    <col min="5629" max="5629" width="71" style="2252" customWidth="1"/>
    <col min="5630" max="5631" width="0" style="2252" hidden="1" customWidth="1"/>
    <col min="5632" max="5632" width="13.7265625" style="2252" customWidth="1"/>
    <col min="5633" max="5878" width="8.81640625" style="2252"/>
    <col min="5879" max="5879" width="40.1796875" style="2252" customWidth="1"/>
    <col min="5880" max="5880" width="37" style="2252" customWidth="1"/>
    <col min="5881" max="5881" width="17.453125" style="2252" customWidth="1"/>
    <col min="5882" max="5882" width="19.453125" style="2252" customWidth="1"/>
    <col min="5883" max="5883" width="0" style="2252" hidden="1" customWidth="1"/>
    <col min="5884" max="5884" width="21.7265625" style="2252" customWidth="1"/>
    <col min="5885" max="5885" width="71" style="2252" customWidth="1"/>
    <col min="5886" max="5887" width="0" style="2252" hidden="1" customWidth="1"/>
    <col min="5888" max="5888" width="13.7265625" style="2252" customWidth="1"/>
    <col min="5889" max="6134" width="8.81640625" style="2252"/>
    <col min="6135" max="6135" width="40.1796875" style="2252" customWidth="1"/>
    <col min="6136" max="6136" width="37" style="2252" customWidth="1"/>
    <col min="6137" max="6137" width="17.453125" style="2252" customWidth="1"/>
    <col min="6138" max="6138" width="19.453125" style="2252" customWidth="1"/>
    <col min="6139" max="6139" width="0" style="2252" hidden="1" customWidth="1"/>
    <col min="6140" max="6140" width="21.7265625" style="2252" customWidth="1"/>
    <col min="6141" max="6141" width="71" style="2252" customWidth="1"/>
    <col min="6142" max="6143" width="0" style="2252" hidden="1" customWidth="1"/>
    <col min="6144" max="6144" width="13.7265625" style="2252" customWidth="1"/>
    <col min="6145" max="6390" width="8.81640625" style="2252"/>
    <col min="6391" max="6391" width="40.1796875" style="2252" customWidth="1"/>
    <col min="6392" max="6392" width="37" style="2252" customWidth="1"/>
    <col min="6393" max="6393" width="17.453125" style="2252" customWidth="1"/>
    <col min="6394" max="6394" width="19.453125" style="2252" customWidth="1"/>
    <col min="6395" max="6395" width="0" style="2252" hidden="1" customWidth="1"/>
    <col min="6396" max="6396" width="21.7265625" style="2252" customWidth="1"/>
    <col min="6397" max="6397" width="71" style="2252" customWidth="1"/>
    <col min="6398" max="6399" width="0" style="2252" hidden="1" customWidth="1"/>
    <col min="6400" max="6400" width="13.7265625" style="2252" customWidth="1"/>
    <col min="6401" max="6646" width="8.81640625" style="2252"/>
    <col min="6647" max="6647" width="40.1796875" style="2252" customWidth="1"/>
    <col min="6648" max="6648" width="37" style="2252" customWidth="1"/>
    <col min="6649" max="6649" width="17.453125" style="2252" customWidth="1"/>
    <col min="6650" max="6650" width="19.453125" style="2252" customWidth="1"/>
    <col min="6651" max="6651" width="0" style="2252" hidden="1" customWidth="1"/>
    <col min="6652" max="6652" width="21.7265625" style="2252" customWidth="1"/>
    <col min="6653" max="6653" width="71" style="2252" customWidth="1"/>
    <col min="6654" max="6655" width="0" style="2252" hidden="1" customWidth="1"/>
    <col min="6656" max="6656" width="13.7265625" style="2252" customWidth="1"/>
    <col min="6657" max="6902" width="8.81640625" style="2252"/>
    <col min="6903" max="6903" width="40.1796875" style="2252" customWidth="1"/>
    <col min="6904" max="6904" width="37" style="2252" customWidth="1"/>
    <col min="6905" max="6905" width="17.453125" style="2252" customWidth="1"/>
    <col min="6906" max="6906" width="19.453125" style="2252" customWidth="1"/>
    <col min="6907" max="6907" width="0" style="2252" hidden="1" customWidth="1"/>
    <col min="6908" max="6908" width="21.7265625" style="2252" customWidth="1"/>
    <col min="6909" max="6909" width="71" style="2252" customWidth="1"/>
    <col min="6910" max="6911" width="0" style="2252" hidden="1" customWidth="1"/>
    <col min="6912" max="6912" width="13.7265625" style="2252" customWidth="1"/>
    <col min="6913" max="7158" width="8.81640625" style="2252"/>
    <col min="7159" max="7159" width="40.1796875" style="2252" customWidth="1"/>
    <col min="7160" max="7160" width="37" style="2252" customWidth="1"/>
    <col min="7161" max="7161" width="17.453125" style="2252" customWidth="1"/>
    <col min="7162" max="7162" width="19.453125" style="2252" customWidth="1"/>
    <col min="7163" max="7163" width="0" style="2252" hidden="1" customWidth="1"/>
    <col min="7164" max="7164" width="21.7265625" style="2252" customWidth="1"/>
    <col min="7165" max="7165" width="71" style="2252" customWidth="1"/>
    <col min="7166" max="7167" width="0" style="2252" hidden="1" customWidth="1"/>
    <col min="7168" max="7168" width="13.7265625" style="2252" customWidth="1"/>
    <col min="7169" max="7414" width="8.81640625" style="2252"/>
    <col min="7415" max="7415" width="40.1796875" style="2252" customWidth="1"/>
    <col min="7416" max="7416" width="37" style="2252" customWidth="1"/>
    <col min="7417" max="7417" width="17.453125" style="2252" customWidth="1"/>
    <col min="7418" max="7418" width="19.453125" style="2252" customWidth="1"/>
    <col min="7419" max="7419" width="0" style="2252" hidden="1" customWidth="1"/>
    <col min="7420" max="7420" width="21.7265625" style="2252" customWidth="1"/>
    <col min="7421" max="7421" width="71" style="2252" customWidth="1"/>
    <col min="7422" max="7423" width="0" style="2252" hidden="1" customWidth="1"/>
    <col min="7424" max="7424" width="13.7265625" style="2252" customWidth="1"/>
    <col min="7425" max="7670" width="8.81640625" style="2252"/>
    <col min="7671" max="7671" width="40.1796875" style="2252" customWidth="1"/>
    <col min="7672" max="7672" width="37" style="2252" customWidth="1"/>
    <col min="7673" max="7673" width="17.453125" style="2252" customWidth="1"/>
    <col min="7674" max="7674" width="19.453125" style="2252" customWidth="1"/>
    <col min="7675" max="7675" width="0" style="2252" hidden="1" customWidth="1"/>
    <col min="7676" max="7676" width="21.7265625" style="2252" customWidth="1"/>
    <col min="7677" max="7677" width="71" style="2252" customWidth="1"/>
    <col min="7678" max="7679" width="0" style="2252" hidden="1" customWidth="1"/>
    <col min="7680" max="7680" width="13.7265625" style="2252" customWidth="1"/>
    <col min="7681" max="7926" width="8.81640625" style="2252"/>
    <col min="7927" max="7927" width="40.1796875" style="2252" customWidth="1"/>
    <col min="7928" max="7928" width="37" style="2252" customWidth="1"/>
    <col min="7929" max="7929" width="17.453125" style="2252" customWidth="1"/>
    <col min="7930" max="7930" width="19.453125" style="2252" customWidth="1"/>
    <col min="7931" max="7931" width="0" style="2252" hidden="1" customWidth="1"/>
    <col min="7932" max="7932" width="21.7265625" style="2252" customWidth="1"/>
    <col min="7933" max="7933" width="71" style="2252" customWidth="1"/>
    <col min="7934" max="7935" width="0" style="2252" hidden="1" customWidth="1"/>
    <col min="7936" max="7936" width="13.7265625" style="2252" customWidth="1"/>
    <col min="7937" max="8182" width="8.81640625" style="2252"/>
    <col min="8183" max="8183" width="40.1796875" style="2252" customWidth="1"/>
    <col min="8184" max="8184" width="37" style="2252" customWidth="1"/>
    <col min="8185" max="8185" width="17.453125" style="2252" customWidth="1"/>
    <col min="8186" max="8186" width="19.453125" style="2252" customWidth="1"/>
    <col min="8187" max="8187" width="0" style="2252" hidden="1" customWidth="1"/>
    <col min="8188" max="8188" width="21.7265625" style="2252" customWidth="1"/>
    <col min="8189" max="8189" width="71" style="2252" customWidth="1"/>
    <col min="8190" max="8191" width="0" style="2252" hidden="1" customWidth="1"/>
    <col min="8192" max="8192" width="13.7265625" style="2252" customWidth="1"/>
    <col min="8193" max="8438" width="8.81640625" style="2252"/>
    <col min="8439" max="8439" width="40.1796875" style="2252" customWidth="1"/>
    <col min="8440" max="8440" width="37" style="2252" customWidth="1"/>
    <col min="8441" max="8441" width="17.453125" style="2252" customWidth="1"/>
    <col min="8442" max="8442" width="19.453125" style="2252" customWidth="1"/>
    <col min="8443" max="8443" width="0" style="2252" hidden="1" customWidth="1"/>
    <col min="8444" max="8444" width="21.7265625" style="2252" customWidth="1"/>
    <col min="8445" max="8445" width="71" style="2252" customWidth="1"/>
    <col min="8446" max="8447" width="0" style="2252" hidden="1" customWidth="1"/>
    <col min="8448" max="8448" width="13.7265625" style="2252" customWidth="1"/>
    <col min="8449" max="8694" width="8.81640625" style="2252"/>
    <col min="8695" max="8695" width="40.1796875" style="2252" customWidth="1"/>
    <col min="8696" max="8696" width="37" style="2252" customWidth="1"/>
    <col min="8697" max="8697" width="17.453125" style="2252" customWidth="1"/>
    <col min="8698" max="8698" width="19.453125" style="2252" customWidth="1"/>
    <col min="8699" max="8699" width="0" style="2252" hidden="1" customWidth="1"/>
    <col min="8700" max="8700" width="21.7265625" style="2252" customWidth="1"/>
    <col min="8701" max="8701" width="71" style="2252" customWidth="1"/>
    <col min="8702" max="8703" width="0" style="2252" hidden="1" customWidth="1"/>
    <col min="8704" max="8704" width="13.7265625" style="2252" customWidth="1"/>
    <col min="8705" max="8950" width="8.81640625" style="2252"/>
    <col min="8951" max="8951" width="40.1796875" style="2252" customWidth="1"/>
    <col min="8952" max="8952" width="37" style="2252" customWidth="1"/>
    <col min="8953" max="8953" width="17.453125" style="2252" customWidth="1"/>
    <col min="8954" max="8954" width="19.453125" style="2252" customWidth="1"/>
    <col min="8955" max="8955" width="0" style="2252" hidden="1" customWidth="1"/>
    <col min="8956" max="8956" width="21.7265625" style="2252" customWidth="1"/>
    <col min="8957" max="8957" width="71" style="2252" customWidth="1"/>
    <col min="8958" max="8959" width="0" style="2252" hidden="1" customWidth="1"/>
    <col min="8960" max="8960" width="13.7265625" style="2252" customWidth="1"/>
    <col min="8961" max="9206" width="8.81640625" style="2252"/>
    <col min="9207" max="9207" width="40.1796875" style="2252" customWidth="1"/>
    <col min="9208" max="9208" width="37" style="2252" customWidth="1"/>
    <col min="9209" max="9209" width="17.453125" style="2252" customWidth="1"/>
    <col min="9210" max="9210" width="19.453125" style="2252" customWidth="1"/>
    <col min="9211" max="9211" width="0" style="2252" hidden="1" customWidth="1"/>
    <col min="9212" max="9212" width="21.7265625" style="2252" customWidth="1"/>
    <col min="9213" max="9213" width="71" style="2252" customWidth="1"/>
    <col min="9214" max="9215" width="0" style="2252" hidden="1" customWidth="1"/>
    <col min="9216" max="9216" width="13.7265625" style="2252" customWidth="1"/>
    <col min="9217" max="9462" width="8.81640625" style="2252"/>
    <col min="9463" max="9463" width="40.1796875" style="2252" customWidth="1"/>
    <col min="9464" max="9464" width="37" style="2252" customWidth="1"/>
    <col min="9465" max="9465" width="17.453125" style="2252" customWidth="1"/>
    <col min="9466" max="9466" width="19.453125" style="2252" customWidth="1"/>
    <col min="9467" max="9467" width="0" style="2252" hidden="1" customWidth="1"/>
    <col min="9468" max="9468" width="21.7265625" style="2252" customWidth="1"/>
    <col min="9469" max="9469" width="71" style="2252" customWidth="1"/>
    <col min="9470" max="9471" width="0" style="2252" hidden="1" customWidth="1"/>
    <col min="9472" max="9472" width="13.7265625" style="2252" customWidth="1"/>
    <col min="9473" max="9718" width="8.81640625" style="2252"/>
    <col min="9719" max="9719" width="40.1796875" style="2252" customWidth="1"/>
    <col min="9720" max="9720" width="37" style="2252" customWidth="1"/>
    <col min="9721" max="9721" width="17.453125" style="2252" customWidth="1"/>
    <col min="9722" max="9722" width="19.453125" style="2252" customWidth="1"/>
    <col min="9723" max="9723" width="0" style="2252" hidden="1" customWidth="1"/>
    <col min="9724" max="9724" width="21.7265625" style="2252" customWidth="1"/>
    <col min="9725" max="9725" width="71" style="2252" customWidth="1"/>
    <col min="9726" max="9727" width="0" style="2252" hidden="1" customWidth="1"/>
    <col min="9728" max="9728" width="13.7265625" style="2252" customWidth="1"/>
    <col min="9729" max="9974" width="8.81640625" style="2252"/>
    <col min="9975" max="9975" width="40.1796875" style="2252" customWidth="1"/>
    <col min="9976" max="9976" width="37" style="2252" customWidth="1"/>
    <col min="9977" max="9977" width="17.453125" style="2252" customWidth="1"/>
    <col min="9978" max="9978" width="19.453125" style="2252" customWidth="1"/>
    <col min="9979" max="9979" width="0" style="2252" hidden="1" customWidth="1"/>
    <col min="9980" max="9980" width="21.7265625" style="2252" customWidth="1"/>
    <col min="9981" max="9981" width="71" style="2252" customWidth="1"/>
    <col min="9982" max="9983" width="0" style="2252" hidden="1" customWidth="1"/>
    <col min="9984" max="9984" width="13.7265625" style="2252" customWidth="1"/>
    <col min="9985" max="10230" width="8.81640625" style="2252"/>
    <col min="10231" max="10231" width="40.1796875" style="2252" customWidth="1"/>
    <col min="10232" max="10232" width="37" style="2252" customWidth="1"/>
    <col min="10233" max="10233" width="17.453125" style="2252" customWidth="1"/>
    <col min="10234" max="10234" width="19.453125" style="2252" customWidth="1"/>
    <col min="10235" max="10235" width="0" style="2252" hidden="1" customWidth="1"/>
    <col min="10236" max="10236" width="21.7265625" style="2252" customWidth="1"/>
    <col min="10237" max="10237" width="71" style="2252" customWidth="1"/>
    <col min="10238" max="10239" width="0" style="2252" hidden="1" customWidth="1"/>
    <col min="10240" max="10240" width="13.7265625" style="2252" customWidth="1"/>
    <col min="10241" max="10486" width="8.81640625" style="2252"/>
    <col min="10487" max="10487" width="40.1796875" style="2252" customWidth="1"/>
    <col min="10488" max="10488" width="37" style="2252" customWidth="1"/>
    <col min="10489" max="10489" width="17.453125" style="2252" customWidth="1"/>
    <col min="10490" max="10490" width="19.453125" style="2252" customWidth="1"/>
    <col min="10491" max="10491" width="0" style="2252" hidden="1" customWidth="1"/>
    <col min="10492" max="10492" width="21.7265625" style="2252" customWidth="1"/>
    <col min="10493" max="10493" width="71" style="2252" customWidth="1"/>
    <col min="10494" max="10495" width="0" style="2252" hidden="1" customWidth="1"/>
    <col min="10496" max="10496" width="13.7265625" style="2252" customWidth="1"/>
    <col min="10497" max="10742" width="8.81640625" style="2252"/>
    <col min="10743" max="10743" width="40.1796875" style="2252" customWidth="1"/>
    <col min="10744" max="10744" width="37" style="2252" customWidth="1"/>
    <col min="10745" max="10745" width="17.453125" style="2252" customWidth="1"/>
    <col min="10746" max="10746" width="19.453125" style="2252" customWidth="1"/>
    <col min="10747" max="10747" width="0" style="2252" hidden="1" customWidth="1"/>
    <col min="10748" max="10748" width="21.7265625" style="2252" customWidth="1"/>
    <col min="10749" max="10749" width="71" style="2252" customWidth="1"/>
    <col min="10750" max="10751" width="0" style="2252" hidden="1" customWidth="1"/>
    <col min="10752" max="10752" width="13.7265625" style="2252" customWidth="1"/>
    <col min="10753" max="10998" width="8.81640625" style="2252"/>
    <col min="10999" max="10999" width="40.1796875" style="2252" customWidth="1"/>
    <col min="11000" max="11000" width="37" style="2252" customWidth="1"/>
    <col min="11001" max="11001" width="17.453125" style="2252" customWidth="1"/>
    <col min="11002" max="11002" width="19.453125" style="2252" customWidth="1"/>
    <col min="11003" max="11003" width="0" style="2252" hidden="1" customWidth="1"/>
    <col min="11004" max="11004" width="21.7265625" style="2252" customWidth="1"/>
    <col min="11005" max="11005" width="71" style="2252" customWidth="1"/>
    <col min="11006" max="11007" width="0" style="2252" hidden="1" customWidth="1"/>
    <col min="11008" max="11008" width="13.7265625" style="2252" customWidth="1"/>
    <col min="11009" max="11254" width="8.81640625" style="2252"/>
    <col min="11255" max="11255" width="40.1796875" style="2252" customWidth="1"/>
    <col min="11256" max="11256" width="37" style="2252" customWidth="1"/>
    <col min="11257" max="11257" width="17.453125" style="2252" customWidth="1"/>
    <col min="11258" max="11258" width="19.453125" style="2252" customWidth="1"/>
    <col min="11259" max="11259" width="0" style="2252" hidden="1" customWidth="1"/>
    <col min="11260" max="11260" width="21.7265625" style="2252" customWidth="1"/>
    <col min="11261" max="11261" width="71" style="2252" customWidth="1"/>
    <col min="11262" max="11263" width="0" style="2252" hidden="1" customWidth="1"/>
    <col min="11264" max="11264" width="13.7265625" style="2252" customWidth="1"/>
    <col min="11265" max="11510" width="8.81640625" style="2252"/>
    <col min="11511" max="11511" width="40.1796875" style="2252" customWidth="1"/>
    <col min="11512" max="11512" width="37" style="2252" customWidth="1"/>
    <col min="11513" max="11513" width="17.453125" style="2252" customWidth="1"/>
    <col min="11514" max="11514" width="19.453125" style="2252" customWidth="1"/>
    <col min="11515" max="11515" width="0" style="2252" hidden="1" customWidth="1"/>
    <col min="11516" max="11516" width="21.7265625" style="2252" customWidth="1"/>
    <col min="11517" max="11517" width="71" style="2252" customWidth="1"/>
    <col min="11518" max="11519" width="0" style="2252" hidden="1" customWidth="1"/>
    <col min="11520" max="11520" width="13.7265625" style="2252" customWidth="1"/>
    <col min="11521" max="11766" width="8.81640625" style="2252"/>
    <col min="11767" max="11767" width="40.1796875" style="2252" customWidth="1"/>
    <col min="11768" max="11768" width="37" style="2252" customWidth="1"/>
    <col min="11769" max="11769" width="17.453125" style="2252" customWidth="1"/>
    <col min="11770" max="11770" width="19.453125" style="2252" customWidth="1"/>
    <col min="11771" max="11771" width="0" style="2252" hidden="1" customWidth="1"/>
    <col min="11772" max="11772" width="21.7265625" style="2252" customWidth="1"/>
    <col min="11773" max="11773" width="71" style="2252" customWidth="1"/>
    <col min="11774" max="11775" width="0" style="2252" hidden="1" customWidth="1"/>
    <col min="11776" max="11776" width="13.7265625" style="2252" customWidth="1"/>
    <col min="11777" max="12022" width="8.81640625" style="2252"/>
    <col min="12023" max="12023" width="40.1796875" style="2252" customWidth="1"/>
    <col min="12024" max="12024" width="37" style="2252" customWidth="1"/>
    <col min="12025" max="12025" width="17.453125" style="2252" customWidth="1"/>
    <col min="12026" max="12026" width="19.453125" style="2252" customWidth="1"/>
    <col min="12027" max="12027" width="0" style="2252" hidden="1" customWidth="1"/>
    <col min="12028" max="12028" width="21.7265625" style="2252" customWidth="1"/>
    <col min="12029" max="12029" width="71" style="2252" customWidth="1"/>
    <col min="12030" max="12031" width="0" style="2252" hidden="1" customWidth="1"/>
    <col min="12032" max="12032" width="13.7265625" style="2252" customWidth="1"/>
    <col min="12033" max="12278" width="8.81640625" style="2252"/>
    <col min="12279" max="12279" width="40.1796875" style="2252" customWidth="1"/>
    <col min="12280" max="12280" width="37" style="2252" customWidth="1"/>
    <col min="12281" max="12281" width="17.453125" style="2252" customWidth="1"/>
    <col min="12282" max="12282" width="19.453125" style="2252" customWidth="1"/>
    <col min="12283" max="12283" width="0" style="2252" hidden="1" customWidth="1"/>
    <col min="12284" max="12284" width="21.7265625" style="2252" customWidth="1"/>
    <col min="12285" max="12285" width="71" style="2252" customWidth="1"/>
    <col min="12286" max="12287" width="0" style="2252" hidden="1" customWidth="1"/>
    <col min="12288" max="12288" width="13.7265625" style="2252" customWidth="1"/>
    <col min="12289" max="12534" width="8.81640625" style="2252"/>
    <col min="12535" max="12535" width="40.1796875" style="2252" customWidth="1"/>
    <col min="12536" max="12536" width="37" style="2252" customWidth="1"/>
    <col min="12537" max="12537" width="17.453125" style="2252" customWidth="1"/>
    <col min="12538" max="12538" width="19.453125" style="2252" customWidth="1"/>
    <col min="12539" max="12539" width="0" style="2252" hidden="1" customWidth="1"/>
    <col min="12540" max="12540" width="21.7265625" style="2252" customWidth="1"/>
    <col min="12541" max="12541" width="71" style="2252" customWidth="1"/>
    <col min="12542" max="12543" width="0" style="2252" hidden="1" customWidth="1"/>
    <col min="12544" max="12544" width="13.7265625" style="2252" customWidth="1"/>
    <col min="12545" max="12790" width="8.81640625" style="2252"/>
    <col min="12791" max="12791" width="40.1796875" style="2252" customWidth="1"/>
    <col min="12792" max="12792" width="37" style="2252" customWidth="1"/>
    <col min="12793" max="12793" width="17.453125" style="2252" customWidth="1"/>
    <col min="12794" max="12794" width="19.453125" style="2252" customWidth="1"/>
    <col min="12795" max="12795" width="0" style="2252" hidden="1" customWidth="1"/>
    <col min="12796" max="12796" width="21.7265625" style="2252" customWidth="1"/>
    <col min="12797" max="12797" width="71" style="2252" customWidth="1"/>
    <col min="12798" max="12799" width="0" style="2252" hidden="1" customWidth="1"/>
    <col min="12800" max="12800" width="13.7265625" style="2252" customWidth="1"/>
    <col min="12801" max="13046" width="8.81640625" style="2252"/>
    <col min="13047" max="13047" width="40.1796875" style="2252" customWidth="1"/>
    <col min="13048" max="13048" width="37" style="2252" customWidth="1"/>
    <col min="13049" max="13049" width="17.453125" style="2252" customWidth="1"/>
    <col min="13050" max="13050" width="19.453125" style="2252" customWidth="1"/>
    <col min="13051" max="13051" width="0" style="2252" hidden="1" customWidth="1"/>
    <col min="13052" max="13052" width="21.7265625" style="2252" customWidth="1"/>
    <col min="13053" max="13053" width="71" style="2252" customWidth="1"/>
    <col min="13054" max="13055" width="0" style="2252" hidden="1" customWidth="1"/>
    <col min="13056" max="13056" width="13.7265625" style="2252" customWidth="1"/>
    <col min="13057" max="13302" width="8.81640625" style="2252"/>
    <col min="13303" max="13303" width="40.1796875" style="2252" customWidth="1"/>
    <col min="13304" max="13304" width="37" style="2252" customWidth="1"/>
    <col min="13305" max="13305" width="17.453125" style="2252" customWidth="1"/>
    <col min="13306" max="13306" width="19.453125" style="2252" customWidth="1"/>
    <col min="13307" max="13307" width="0" style="2252" hidden="1" customWidth="1"/>
    <col min="13308" max="13308" width="21.7265625" style="2252" customWidth="1"/>
    <col min="13309" max="13309" width="71" style="2252" customWidth="1"/>
    <col min="13310" max="13311" width="0" style="2252" hidden="1" customWidth="1"/>
    <col min="13312" max="13312" width="13.7265625" style="2252" customWidth="1"/>
    <col min="13313" max="13558" width="8.81640625" style="2252"/>
    <col min="13559" max="13559" width="40.1796875" style="2252" customWidth="1"/>
    <col min="13560" max="13560" width="37" style="2252" customWidth="1"/>
    <col min="13561" max="13561" width="17.453125" style="2252" customWidth="1"/>
    <col min="13562" max="13562" width="19.453125" style="2252" customWidth="1"/>
    <col min="13563" max="13563" width="0" style="2252" hidden="1" customWidth="1"/>
    <col min="13564" max="13564" width="21.7265625" style="2252" customWidth="1"/>
    <col min="13565" max="13565" width="71" style="2252" customWidth="1"/>
    <col min="13566" max="13567" width="0" style="2252" hidden="1" customWidth="1"/>
    <col min="13568" max="13568" width="13.7265625" style="2252" customWidth="1"/>
    <col min="13569" max="13814" width="8.81640625" style="2252"/>
    <col min="13815" max="13815" width="40.1796875" style="2252" customWidth="1"/>
    <col min="13816" max="13816" width="37" style="2252" customWidth="1"/>
    <col min="13817" max="13817" width="17.453125" style="2252" customWidth="1"/>
    <col min="13818" max="13818" width="19.453125" style="2252" customWidth="1"/>
    <col min="13819" max="13819" width="0" style="2252" hidden="1" customWidth="1"/>
    <col min="13820" max="13820" width="21.7265625" style="2252" customWidth="1"/>
    <col min="13821" max="13821" width="71" style="2252" customWidth="1"/>
    <col min="13822" max="13823" width="0" style="2252" hidden="1" customWidth="1"/>
    <col min="13824" max="13824" width="13.7265625" style="2252" customWidth="1"/>
    <col min="13825" max="14070" width="8.81640625" style="2252"/>
    <col min="14071" max="14071" width="40.1796875" style="2252" customWidth="1"/>
    <col min="14072" max="14072" width="37" style="2252" customWidth="1"/>
    <col min="14073" max="14073" width="17.453125" style="2252" customWidth="1"/>
    <col min="14074" max="14074" width="19.453125" style="2252" customWidth="1"/>
    <col min="14075" max="14075" width="0" style="2252" hidden="1" customWidth="1"/>
    <col min="14076" max="14076" width="21.7265625" style="2252" customWidth="1"/>
    <col min="14077" max="14077" width="71" style="2252" customWidth="1"/>
    <col min="14078" max="14079" width="0" style="2252" hidden="1" customWidth="1"/>
    <col min="14080" max="14080" width="13.7265625" style="2252" customWidth="1"/>
    <col min="14081" max="14326" width="8.81640625" style="2252"/>
    <col min="14327" max="14327" width="40.1796875" style="2252" customWidth="1"/>
    <col min="14328" max="14328" width="37" style="2252" customWidth="1"/>
    <col min="14329" max="14329" width="17.453125" style="2252" customWidth="1"/>
    <col min="14330" max="14330" width="19.453125" style="2252" customWidth="1"/>
    <col min="14331" max="14331" width="0" style="2252" hidden="1" customWidth="1"/>
    <col min="14332" max="14332" width="21.7265625" style="2252" customWidth="1"/>
    <col min="14333" max="14333" width="71" style="2252" customWidth="1"/>
    <col min="14334" max="14335" width="0" style="2252" hidden="1" customWidth="1"/>
    <col min="14336" max="14336" width="13.7265625" style="2252" customWidth="1"/>
    <col min="14337" max="14582" width="8.81640625" style="2252"/>
    <col min="14583" max="14583" width="40.1796875" style="2252" customWidth="1"/>
    <col min="14584" max="14584" width="37" style="2252" customWidth="1"/>
    <col min="14585" max="14585" width="17.453125" style="2252" customWidth="1"/>
    <col min="14586" max="14586" width="19.453125" style="2252" customWidth="1"/>
    <col min="14587" max="14587" width="0" style="2252" hidden="1" customWidth="1"/>
    <col min="14588" max="14588" width="21.7265625" style="2252" customWidth="1"/>
    <col min="14589" max="14589" width="71" style="2252" customWidth="1"/>
    <col min="14590" max="14591" width="0" style="2252" hidden="1" customWidth="1"/>
    <col min="14592" max="14592" width="13.7265625" style="2252" customWidth="1"/>
    <col min="14593" max="14838" width="8.81640625" style="2252"/>
    <col min="14839" max="14839" width="40.1796875" style="2252" customWidth="1"/>
    <col min="14840" max="14840" width="37" style="2252" customWidth="1"/>
    <col min="14841" max="14841" width="17.453125" style="2252" customWidth="1"/>
    <col min="14842" max="14842" width="19.453125" style="2252" customWidth="1"/>
    <col min="14843" max="14843" width="0" style="2252" hidden="1" customWidth="1"/>
    <col min="14844" max="14844" width="21.7265625" style="2252" customWidth="1"/>
    <col min="14845" max="14845" width="71" style="2252" customWidth="1"/>
    <col min="14846" max="14847" width="0" style="2252" hidden="1" customWidth="1"/>
    <col min="14848" max="14848" width="13.7265625" style="2252" customWidth="1"/>
    <col min="14849" max="15094" width="8.81640625" style="2252"/>
    <col min="15095" max="15095" width="40.1796875" style="2252" customWidth="1"/>
    <col min="15096" max="15096" width="37" style="2252" customWidth="1"/>
    <col min="15097" max="15097" width="17.453125" style="2252" customWidth="1"/>
    <col min="15098" max="15098" width="19.453125" style="2252" customWidth="1"/>
    <col min="15099" max="15099" width="0" style="2252" hidden="1" customWidth="1"/>
    <col min="15100" max="15100" width="21.7265625" style="2252" customWidth="1"/>
    <col min="15101" max="15101" width="71" style="2252" customWidth="1"/>
    <col min="15102" max="15103" width="0" style="2252" hidden="1" customWidth="1"/>
    <col min="15104" max="15104" width="13.7265625" style="2252" customWidth="1"/>
    <col min="15105" max="15350" width="8.81640625" style="2252"/>
    <col min="15351" max="15351" width="40.1796875" style="2252" customWidth="1"/>
    <col min="15352" max="15352" width="37" style="2252" customWidth="1"/>
    <col min="15353" max="15353" width="17.453125" style="2252" customWidth="1"/>
    <col min="15354" max="15354" width="19.453125" style="2252" customWidth="1"/>
    <col min="15355" max="15355" width="0" style="2252" hidden="1" customWidth="1"/>
    <col min="15356" max="15356" width="21.7265625" style="2252" customWidth="1"/>
    <col min="15357" max="15357" width="71" style="2252" customWidth="1"/>
    <col min="15358" max="15359" width="0" style="2252" hidden="1" customWidth="1"/>
    <col min="15360" max="15360" width="13.7265625" style="2252" customWidth="1"/>
    <col min="15361" max="15606" width="8.81640625" style="2252"/>
    <col min="15607" max="15607" width="40.1796875" style="2252" customWidth="1"/>
    <col min="15608" max="15608" width="37" style="2252" customWidth="1"/>
    <col min="15609" max="15609" width="17.453125" style="2252" customWidth="1"/>
    <col min="15610" max="15610" width="19.453125" style="2252" customWidth="1"/>
    <col min="15611" max="15611" width="0" style="2252" hidden="1" customWidth="1"/>
    <col min="15612" max="15612" width="21.7265625" style="2252" customWidth="1"/>
    <col min="15613" max="15613" width="71" style="2252" customWidth="1"/>
    <col min="15614" max="15615" width="0" style="2252" hidden="1" customWidth="1"/>
    <col min="15616" max="15616" width="13.7265625" style="2252" customWidth="1"/>
    <col min="15617" max="15862" width="8.81640625" style="2252"/>
    <col min="15863" max="15863" width="40.1796875" style="2252" customWidth="1"/>
    <col min="15864" max="15864" width="37" style="2252" customWidth="1"/>
    <col min="15865" max="15865" width="17.453125" style="2252" customWidth="1"/>
    <col min="15866" max="15866" width="19.453125" style="2252" customWidth="1"/>
    <col min="15867" max="15867" width="0" style="2252" hidden="1" customWidth="1"/>
    <col min="15868" max="15868" width="21.7265625" style="2252" customWidth="1"/>
    <col min="15869" max="15869" width="71" style="2252" customWidth="1"/>
    <col min="15870" max="15871" width="0" style="2252" hidden="1" customWidth="1"/>
    <col min="15872" max="15872" width="13.7265625" style="2252" customWidth="1"/>
    <col min="15873" max="16118" width="8.81640625" style="2252"/>
    <col min="16119" max="16119" width="40.1796875" style="2252" customWidth="1"/>
    <col min="16120" max="16120" width="37" style="2252" customWidth="1"/>
    <col min="16121" max="16121" width="17.453125" style="2252" customWidth="1"/>
    <col min="16122" max="16122" width="19.453125" style="2252" customWidth="1"/>
    <col min="16123" max="16123" width="0" style="2252" hidden="1" customWidth="1"/>
    <col min="16124" max="16124" width="21.7265625" style="2252" customWidth="1"/>
    <col min="16125" max="16125" width="71" style="2252" customWidth="1"/>
    <col min="16126" max="16127" width="0" style="2252" hidden="1" customWidth="1"/>
    <col min="16128" max="16128" width="13.7265625" style="2252" customWidth="1"/>
    <col min="16129" max="16384" width="8.81640625" style="2252"/>
  </cols>
  <sheetData>
    <row r="1" spans="1:25" ht="15" customHeight="1" x14ac:dyDescent="0.35">
      <c r="A1" s="2290"/>
      <c r="B1" s="2290"/>
      <c r="C1" s="2290"/>
      <c r="D1" s="2290"/>
      <c r="E1" s="2290"/>
      <c r="F1" s="2290"/>
      <c r="G1" s="2290"/>
      <c r="H1" s="3502" t="s">
        <v>936</v>
      </c>
      <c r="I1" s="3502"/>
      <c r="J1" s="3502"/>
    </row>
    <row r="2" spans="1:25" ht="14.15" customHeight="1" x14ac:dyDescent="0.35">
      <c r="A2" s="2290"/>
      <c r="B2" s="2290"/>
      <c r="C2" s="2290"/>
      <c r="D2" s="2290"/>
      <c r="E2" s="2290"/>
      <c r="F2" s="2290"/>
      <c r="G2" s="2290"/>
      <c r="H2" s="3502" t="s">
        <v>450</v>
      </c>
      <c r="I2" s="3502"/>
      <c r="J2" s="3502"/>
    </row>
    <row r="3" spans="1:25" ht="16" customHeight="1" x14ac:dyDescent="0.35">
      <c r="A3" s="2290"/>
      <c r="B3" s="2290"/>
      <c r="C3" s="2290"/>
      <c r="D3" s="2290"/>
      <c r="E3" s="2290"/>
      <c r="F3" s="2290"/>
      <c r="G3" s="2290"/>
      <c r="H3" s="3502" t="s">
        <v>449</v>
      </c>
      <c r="I3" s="3502"/>
      <c r="J3" s="3502"/>
    </row>
    <row r="4" spans="1:25" ht="16" customHeight="1" x14ac:dyDescent="0.35">
      <c r="A4" s="2290"/>
      <c r="B4" s="2290"/>
      <c r="C4" s="2290"/>
      <c r="D4" s="2290"/>
      <c r="E4" s="2290"/>
      <c r="F4" s="2290"/>
      <c r="G4" s="2290"/>
      <c r="H4" s="3502" t="s">
        <v>448</v>
      </c>
      <c r="I4" s="3502"/>
      <c r="J4" s="3502"/>
    </row>
    <row r="5" spans="1:25" ht="15" customHeight="1" x14ac:dyDescent="0.35">
      <c r="A5" s="2290"/>
      <c r="B5" s="2290"/>
      <c r="C5" s="2290"/>
      <c r="D5" s="2290"/>
      <c r="E5" s="2290"/>
      <c r="F5" s="2290"/>
      <c r="G5" s="2290"/>
      <c r="H5" s="3502" t="str">
        <f>'прил 5 2021-2023.'!$V$5</f>
        <v xml:space="preserve">    от  "13"  мая  2021 года № 216 </v>
      </c>
      <c r="I5" s="3502"/>
      <c r="J5" s="3502"/>
    </row>
    <row r="6" spans="1:25" ht="16" customHeight="1" x14ac:dyDescent="0.35">
      <c r="A6" s="2290"/>
      <c r="B6" s="2290"/>
      <c r="C6" s="2290"/>
      <c r="D6" s="2290"/>
      <c r="E6" s="2290"/>
      <c r="F6" s="2290"/>
      <c r="G6" s="2290"/>
      <c r="H6" s="2328"/>
      <c r="I6" s="2328"/>
      <c r="J6" s="2328"/>
    </row>
    <row r="7" spans="1:25" ht="15.5" x14ac:dyDescent="0.35">
      <c r="A7" s="2290"/>
      <c r="B7" s="2290"/>
      <c r="C7" s="2290"/>
      <c r="D7" s="2290"/>
      <c r="E7" s="2290"/>
      <c r="F7" s="2291"/>
      <c r="G7" s="2290"/>
      <c r="H7" s="2328"/>
      <c r="I7" s="2328"/>
      <c r="J7" s="2329" t="s">
        <v>813</v>
      </c>
    </row>
    <row r="8" spans="1:25" ht="15.5" x14ac:dyDescent="0.35">
      <c r="A8" s="2290"/>
      <c r="B8" s="2290"/>
      <c r="C8" s="2290"/>
      <c r="D8" s="2290"/>
      <c r="E8" s="2290"/>
      <c r="F8" s="2291"/>
      <c r="G8" s="2290"/>
      <c r="H8" s="2328"/>
      <c r="I8" s="2328"/>
      <c r="J8" s="2329" t="s">
        <v>797</v>
      </c>
    </row>
    <row r="9" spans="1:25" ht="15.5" x14ac:dyDescent="0.35">
      <c r="A9" s="2290"/>
      <c r="B9" s="2290"/>
      <c r="C9" s="2290"/>
      <c r="D9" s="2290"/>
      <c r="E9" s="2290"/>
      <c r="F9" s="2291"/>
      <c r="G9" s="2290"/>
      <c r="H9" s="2328"/>
      <c r="I9" s="2330"/>
      <c r="J9" s="2386" t="s">
        <v>449</v>
      </c>
    </row>
    <row r="10" spans="1:25" ht="15.5" x14ac:dyDescent="0.35">
      <c r="A10" s="2290"/>
      <c r="B10" s="2290"/>
      <c r="C10" s="2290"/>
      <c r="D10" s="2290"/>
      <c r="E10" s="2290"/>
      <c r="F10" s="2291"/>
      <c r="G10" s="2290"/>
      <c r="H10" s="2328"/>
      <c r="I10" s="2328"/>
      <c r="J10" s="2386" t="s">
        <v>448</v>
      </c>
    </row>
    <row r="11" spans="1:25" ht="12.65" customHeight="1" x14ac:dyDescent="0.3">
      <c r="A11" s="2290"/>
      <c r="B11" s="2290"/>
      <c r="C11" s="2290"/>
      <c r="D11" s="2290"/>
      <c r="E11" s="2290"/>
      <c r="F11" s="2293"/>
      <c r="G11" s="2290"/>
      <c r="H11" s="3212" t="s">
        <v>1224</v>
      </c>
      <c r="I11" s="3212"/>
      <c r="J11" s="3212"/>
      <c r="K11" s="1824"/>
      <c r="L11" s="1824"/>
      <c r="M11" s="1824"/>
      <c r="N11" s="1824"/>
      <c r="O11" s="1824"/>
      <c r="P11" s="1824"/>
      <c r="Q11" s="1824"/>
      <c r="R11" s="1824"/>
      <c r="S11" s="1824"/>
      <c r="T11" s="1824"/>
      <c r="U11" s="1824"/>
    </row>
    <row r="12" spans="1:25" ht="15.5" hidden="1" x14ac:dyDescent="0.35">
      <c r="A12" s="2290"/>
      <c r="B12" s="2290"/>
      <c r="C12" s="2290"/>
      <c r="D12" s="2290"/>
      <c r="E12" s="2290"/>
      <c r="F12" s="2294"/>
      <c r="G12" s="2290"/>
      <c r="H12" s="2328"/>
      <c r="I12" s="2328"/>
      <c r="J12" s="2328"/>
    </row>
    <row r="13" spans="1:25" ht="18" hidden="1" customHeight="1" x14ac:dyDescent="0.3">
      <c r="A13" s="2290"/>
      <c r="B13" s="2295"/>
      <c r="C13" s="2296"/>
      <c r="D13" s="2297"/>
      <c r="E13" s="2298"/>
      <c r="F13" s="2298"/>
      <c r="G13" s="2298"/>
      <c r="H13" s="2290"/>
      <c r="I13" s="2290"/>
      <c r="J13" s="2290"/>
    </row>
    <row r="14" spans="1:25" ht="24" customHeight="1" x14ac:dyDescent="0.3">
      <c r="A14" s="2290"/>
      <c r="B14" s="3503" t="s">
        <v>983</v>
      </c>
      <c r="C14" s="3503"/>
      <c r="D14" s="3503"/>
      <c r="E14" s="3503"/>
      <c r="F14" s="3503"/>
      <c r="G14" s="3503"/>
      <c r="H14" s="3503"/>
      <c r="I14" s="3503"/>
      <c r="J14" s="3503"/>
    </row>
    <row r="15" spans="1:25" ht="20.149999999999999" customHeight="1" x14ac:dyDescent="0.35">
      <c r="A15" s="3501" t="s">
        <v>869</v>
      </c>
      <c r="B15" s="3501"/>
      <c r="C15" s="3501"/>
      <c r="D15" s="3501"/>
      <c r="E15" s="3501"/>
      <c r="F15" s="3501"/>
      <c r="G15" s="3501"/>
      <c r="H15" s="3501"/>
      <c r="I15" s="3501"/>
      <c r="J15" s="3501"/>
      <c r="K15" s="2253"/>
    </row>
    <row r="16" spans="1:25" ht="15.75" customHeight="1" x14ac:dyDescent="0.35">
      <c r="A16" s="2913" t="s">
        <v>1196</v>
      </c>
      <c r="B16" s="2913"/>
      <c r="C16" s="2913"/>
      <c r="D16" s="2913"/>
      <c r="E16" s="2913"/>
      <c r="F16" s="2913"/>
      <c r="G16" s="2913"/>
      <c r="H16" s="2913"/>
      <c r="I16" s="2913"/>
      <c r="J16" s="2913"/>
      <c r="K16" s="1772"/>
      <c r="L16" s="1772"/>
      <c r="M16" s="1772"/>
      <c r="N16" s="1772"/>
      <c r="O16" s="1772"/>
      <c r="P16" s="1772"/>
      <c r="Q16" s="1772"/>
      <c r="R16" s="1772"/>
      <c r="S16" s="1772"/>
      <c r="T16" s="1772"/>
      <c r="U16" s="1772"/>
      <c r="V16" s="1772"/>
      <c r="W16" s="1772"/>
      <c r="X16" s="1772"/>
      <c r="Y16" s="1772"/>
    </row>
    <row r="17" spans="1:10" ht="18.75" customHeight="1" thickBot="1" x14ac:dyDescent="0.35">
      <c r="A17" s="2290"/>
      <c r="B17" s="2299"/>
      <c r="C17" s="2358"/>
      <c r="D17" s="2358"/>
      <c r="E17" s="2301"/>
      <c r="F17" s="2301"/>
      <c r="G17" s="2302"/>
      <c r="H17" s="2290"/>
      <c r="I17" s="2290"/>
      <c r="J17" s="2302" t="s">
        <v>979</v>
      </c>
    </row>
    <row r="18" spans="1:10" ht="34.5" customHeight="1" x14ac:dyDescent="0.3">
      <c r="A18" s="2290"/>
      <c r="B18" s="2359" t="s">
        <v>611</v>
      </c>
      <c r="C18" s="2360" t="s">
        <v>980</v>
      </c>
      <c r="D18" s="2360" t="s">
        <v>609</v>
      </c>
      <c r="E18" s="2360" t="s">
        <v>608</v>
      </c>
      <c r="F18" s="2360" t="s">
        <v>607</v>
      </c>
      <c r="G18" s="2360" t="s">
        <v>606</v>
      </c>
      <c r="H18" s="2360" t="s">
        <v>982</v>
      </c>
      <c r="I18" s="2360" t="s">
        <v>1042</v>
      </c>
      <c r="J18" s="2361" t="s">
        <v>1205</v>
      </c>
    </row>
    <row r="19" spans="1:10" ht="123" customHeight="1" x14ac:dyDescent="0.3">
      <c r="A19" s="2290"/>
      <c r="B19" s="2362">
        <v>1</v>
      </c>
      <c r="C19" s="2363" t="s">
        <v>987</v>
      </c>
      <c r="D19" s="2364" t="s">
        <v>452</v>
      </c>
      <c r="E19" s="2364" t="s">
        <v>539</v>
      </c>
      <c r="F19" s="2364" t="s">
        <v>214</v>
      </c>
      <c r="G19" s="2364"/>
      <c r="H19" s="2425">
        <f>H21+H23</f>
        <v>1601.02567</v>
      </c>
      <c r="I19" s="2425">
        <f>I21+I23</f>
        <v>32280.303879999999</v>
      </c>
      <c r="J19" s="2426">
        <f>J21+J23</f>
        <v>948.3</v>
      </c>
    </row>
    <row r="20" spans="1:10" s="2254" customFormat="1" ht="55" customHeight="1" x14ac:dyDescent="0.35">
      <c r="A20" s="2311"/>
      <c r="B20" s="2367"/>
      <c r="C20" s="2368" t="s">
        <v>988</v>
      </c>
      <c r="D20" s="2364" t="s">
        <v>452</v>
      </c>
      <c r="E20" s="2364" t="s">
        <v>539</v>
      </c>
      <c r="F20" s="2364" t="s">
        <v>984</v>
      </c>
      <c r="G20" s="2369"/>
      <c r="H20" s="2427">
        <f>H21</f>
        <v>652.5</v>
      </c>
      <c r="I20" s="2427">
        <f>I21</f>
        <v>31332.00388</v>
      </c>
      <c r="J20" s="2428">
        <f>J21</f>
        <v>0</v>
      </c>
    </row>
    <row r="21" spans="1:10" s="2254" customFormat="1" ht="41.15" customHeight="1" x14ac:dyDescent="0.35">
      <c r="A21" s="2311"/>
      <c r="B21" s="2367"/>
      <c r="C21" s="2368" t="s">
        <v>1211</v>
      </c>
      <c r="D21" s="2364" t="s">
        <v>452</v>
      </c>
      <c r="E21" s="2364" t="s">
        <v>539</v>
      </c>
      <c r="F21" s="2364" t="s">
        <v>984</v>
      </c>
      <c r="G21" s="2372" t="s">
        <v>1</v>
      </c>
      <c r="H21" s="2427">
        <v>652.5</v>
      </c>
      <c r="I21" s="2427">
        <f>31332.00388</f>
        <v>31332.00388</v>
      </c>
      <c r="J21" s="2428">
        <v>0</v>
      </c>
    </row>
    <row r="22" spans="1:10" s="2254" customFormat="1" ht="33.75" customHeight="1" x14ac:dyDescent="0.35">
      <c r="A22" s="2311"/>
      <c r="B22" s="2367"/>
      <c r="C22" s="2368" t="s">
        <v>619</v>
      </c>
      <c r="D22" s="2364" t="s">
        <v>452</v>
      </c>
      <c r="E22" s="2364" t="s">
        <v>539</v>
      </c>
      <c r="F22" s="2364" t="s">
        <v>213</v>
      </c>
      <c r="G22" s="2372"/>
      <c r="H22" s="2427">
        <f>H23</f>
        <v>948.52566999999999</v>
      </c>
      <c r="I22" s="2427">
        <f>I23</f>
        <v>948.3</v>
      </c>
      <c r="J22" s="2428">
        <f>J23</f>
        <v>948.3</v>
      </c>
    </row>
    <row r="23" spans="1:10" s="2254" customFormat="1" ht="52.5" customHeight="1" x14ac:dyDescent="0.35">
      <c r="A23" s="2311"/>
      <c r="B23" s="2367"/>
      <c r="C23" s="2368" t="s">
        <v>1150</v>
      </c>
      <c r="D23" s="2364" t="s">
        <v>452</v>
      </c>
      <c r="E23" s="2364" t="s">
        <v>539</v>
      </c>
      <c r="F23" s="2364" t="s">
        <v>213</v>
      </c>
      <c r="G23" s="2372" t="s">
        <v>1</v>
      </c>
      <c r="H23" s="2427">
        <f>948.3+0.22567</f>
        <v>948.52566999999999</v>
      </c>
      <c r="I23" s="2427">
        <v>948.3</v>
      </c>
      <c r="J23" s="2428">
        <v>948.3</v>
      </c>
    </row>
    <row r="24" spans="1:10" s="2254" customFormat="1" ht="52.5" hidden="1" customHeight="1" x14ac:dyDescent="0.35">
      <c r="A24" s="2311"/>
      <c r="B24" s="2373"/>
      <c r="C24" s="2374"/>
      <c r="D24" s="2364" t="s">
        <v>452</v>
      </c>
      <c r="E24" s="2364" t="s">
        <v>539</v>
      </c>
      <c r="F24" s="2364" t="s">
        <v>205</v>
      </c>
      <c r="G24" s="2372" t="s">
        <v>1</v>
      </c>
      <c r="H24" s="2375"/>
      <c r="I24" s="2375"/>
      <c r="J24" s="2376"/>
    </row>
    <row r="25" spans="1:10" ht="30" customHeight="1" thickBot="1" x14ac:dyDescent="0.35">
      <c r="A25" s="2290"/>
      <c r="B25" s="2322"/>
      <c r="C25" s="2323" t="s">
        <v>314</v>
      </c>
      <c r="D25" s="2324"/>
      <c r="E25" s="2325"/>
      <c r="F25" s="2325"/>
      <c r="G25" s="2325"/>
      <c r="H25" s="2423">
        <f>H19</f>
        <v>1601.02567</v>
      </c>
      <c r="I25" s="2423">
        <f>I19</f>
        <v>32280.303879999999</v>
      </c>
      <c r="J25" s="2424">
        <f>J19</f>
        <v>948.3</v>
      </c>
    </row>
    <row r="26" spans="1:10" ht="13" x14ac:dyDescent="0.3">
      <c r="A26" s="2290"/>
      <c r="B26" s="2290"/>
      <c r="C26" s="2290"/>
      <c r="D26" s="2290"/>
      <c r="E26" s="2290"/>
      <c r="F26" s="2290"/>
      <c r="G26" s="2290"/>
      <c r="H26" s="2290"/>
      <c r="I26" s="2290"/>
      <c r="J26" s="2290"/>
    </row>
    <row r="27" spans="1:10" ht="13" x14ac:dyDescent="0.3">
      <c r="A27" s="2290"/>
      <c r="B27" s="2290"/>
      <c r="C27" s="2290"/>
      <c r="D27" s="2290"/>
      <c r="E27" s="2290"/>
      <c r="F27" s="2290"/>
      <c r="G27" s="2290"/>
      <c r="H27" s="2290"/>
      <c r="I27" s="2290"/>
      <c r="J27" s="2290"/>
    </row>
    <row r="28" spans="1:10" x14ac:dyDescent="0.25">
      <c r="E28" s="2255"/>
    </row>
  </sheetData>
  <mergeCells count="9">
    <mergeCell ref="B14:J14"/>
    <mergeCell ref="A15:J15"/>
    <mergeCell ref="A16:J16"/>
    <mergeCell ref="H1:J1"/>
    <mergeCell ref="H2:J2"/>
    <mergeCell ref="H3:J3"/>
    <mergeCell ref="H4:J4"/>
    <mergeCell ref="H5:J5"/>
    <mergeCell ref="H11:J11"/>
  </mergeCells>
  <pageMargins left="0.55118110236220474" right="0.74" top="0.43307086614173229" bottom="0.19685039370078741" header="0.19685039370078741" footer="0.15748031496062992"/>
  <pageSetup paperSize="9" scale="49" orientation="portrait" r:id="rId1"/>
  <colBreaks count="1" manualBreakCount="1">
    <brk id="7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28"/>
  <sheetViews>
    <sheetView topLeftCell="A7" zoomScale="60" zoomScaleNormal="60" workbookViewId="0">
      <selection activeCell="Q19" sqref="Q19"/>
    </sheetView>
  </sheetViews>
  <sheetFormatPr defaultColWidth="8.81640625" defaultRowHeight="12.5" x14ac:dyDescent="0.25"/>
  <cols>
    <col min="1" max="1" width="2.81640625" style="2252" customWidth="1"/>
    <col min="2" max="2" width="6.1796875" style="2252" customWidth="1"/>
    <col min="3" max="3" width="70.26953125" style="2252" customWidth="1"/>
    <col min="4" max="4" width="6.453125" style="2252" customWidth="1"/>
    <col min="5" max="5" width="6.7265625" style="2252" customWidth="1"/>
    <col min="6" max="6" width="18.26953125" style="2252" customWidth="1"/>
    <col min="7" max="7" width="16.54296875" style="2252" customWidth="1"/>
    <col min="8" max="9" width="15.7265625" style="2252" customWidth="1"/>
    <col min="10" max="10" width="14.54296875" style="2252" customWidth="1"/>
    <col min="11" max="246" width="8.81640625" style="2252"/>
    <col min="247" max="247" width="40.1796875" style="2252" customWidth="1"/>
    <col min="248" max="248" width="37" style="2252" customWidth="1"/>
    <col min="249" max="249" width="17.453125" style="2252" customWidth="1"/>
    <col min="250" max="250" width="19.453125" style="2252" customWidth="1"/>
    <col min="251" max="251" width="0" style="2252" hidden="1" customWidth="1"/>
    <col min="252" max="252" width="21.7265625" style="2252" customWidth="1"/>
    <col min="253" max="253" width="71" style="2252" customWidth="1"/>
    <col min="254" max="255" width="0" style="2252" hidden="1" customWidth="1"/>
    <col min="256" max="256" width="13.7265625" style="2252" customWidth="1"/>
    <col min="257" max="502" width="8.81640625" style="2252"/>
    <col min="503" max="503" width="40.1796875" style="2252" customWidth="1"/>
    <col min="504" max="504" width="37" style="2252" customWidth="1"/>
    <col min="505" max="505" width="17.453125" style="2252" customWidth="1"/>
    <col min="506" max="506" width="19.453125" style="2252" customWidth="1"/>
    <col min="507" max="507" width="0" style="2252" hidden="1" customWidth="1"/>
    <col min="508" max="508" width="21.7265625" style="2252" customWidth="1"/>
    <col min="509" max="509" width="71" style="2252" customWidth="1"/>
    <col min="510" max="511" width="0" style="2252" hidden="1" customWidth="1"/>
    <col min="512" max="512" width="13.7265625" style="2252" customWidth="1"/>
    <col min="513" max="758" width="8.81640625" style="2252"/>
    <col min="759" max="759" width="40.1796875" style="2252" customWidth="1"/>
    <col min="760" max="760" width="37" style="2252" customWidth="1"/>
    <col min="761" max="761" width="17.453125" style="2252" customWidth="1"/>
    <col min="762" max="762" width="19.453125" style="2252" customWidth="1"/>
    <col min="763" max="763" width="0" style="2252" hidden="1" customWidth="1"/>
    <col min="764" max="764" width="21.7265625" style="2252" customWidth="1"/>
    <col min="765" max="765" width="71" style="2252" customWidth="1"/>
    <col min="766" max="767" width="0" style="2252" hidden="1" customWidth="1"/>
    <col min="768" max="768" width="13.7265625" style="2252" customWidth="1"/>
    <col min="769" max="1014" width="8.81640625" style="2252"/>
    <col min="1015" max="1015" width="40.1796875" style="2252" customWidth="1"/>
    <col min="1016" max="1016" width="37" style="2252" customWidth="1"/>
    <col min="1017" max="1017" width="17.453125" style="2252" customWidth="1"/>
    <col min="1018" max="1018" width="19.453125" style="2252" customWidth="1"/>
    <col min="1019" max="1019" width="0" style="2252" hidden="1" customWidth="1"/>
    <col min="1020" max="1020" width="21.7265625" style="2252" customWidth="1"/>
    <col min="1021" max="1021" width="71" style="2252" customWidth="1"/>
    <col min="1022" max="1023" width="0" style="2252" hidden="1" customWidth="1"/>
    <col min="1024" max="1024" width="13.7265625" style="2252" customWidth="1"/>
    <col min="1025" max="1270" width="8.81640625" style="2252"/>
    <col min="1271" max="1271" width="40.1796875" style="2252" customWidth="1"/>
    <col min="1272" max="1272" width="37" style="2252" customWidth="1"/>
    <col min="1273" max="1273" width="17.453125" style="2252" customWidth="1"/>
    <col min="1274" max="1274" width="19.453125" style="2252" customWidth="1"/>
    <col min="1275" max="1275" width="0" style="2252" hidden="1" customWidth="1"/>
    <col min="1276" max="1276" width="21.7265625" style="2252" customWidth="1"/>
    <col min="1277" max="1277" width="71" style="2252" customWidth="1"/>
    <col min="1278" max="1279" width="0" style="2252" hidden="1" customWidth="1"/>
    <col min="1280" max="1280" width="13.7265625" style="2252" customWidth="1"/>
    <col min="1281" max="1526" width="8.81640625" style="2252"/>
    <col min="1527" max="1527" width="40.1796875" style="2252" customWidth="1"/>
    <col min="1528" max="1528" width="37" style="2252" customWidth="1"/>
    <col min="1529" max="1529" width="17.453125" style="2252" customWidth="1"/>
    <col min="1530" max="1530" width="19.453125" style="2252" customWidth="1"/>
    <col min="1531" max="1531" width="0" style="2252" hidden="1" customWidth="1"/>
    <col min="1532" max="1532" width="21.7265625" style="2252" customWidth="1"/>
    <col min="1533" max="1533" width="71" style="2252" customWidth="1"/>
    <col min="1534" max="1535" width="0" style="2252" hidden="1" customWidth="1"/>
    <col min="1536" max="1536" width="13.7265625" style="2252" customWidth="1"/>
    <col min="1537" max="1782" width="8.81640625" style="2252"/>
    <col min="1783" max="1783" width="40.1796875" style="2252" customWidth="1"/>
    <col min="1784" max="1784" width="37" style="2252" customWidth="1"/>
    <col min="1785" max="1785" width="17.453125" style="2252" customWidth="1"/>
    <col min="1786" max="1786" width="19.453125" style="2252" customWidth="1"/>
    <col min="1787" max="1787" width="0" style="2252" hidden="1" customWidth="1"/>
    <col min="1788" max="1788" width="21.7265625" style="2252" customWidth="1"/>
    <col min="1789" max="1789" width="71" style="2252" customWidth="1"/>
    <col min="1790" max="1791" width="0" style="2252" hidden="1" customWidth="1"/>
    <col min="1792" max="1792" width="13.7265625" style="2252" customWidth="1"/>
    <col min="1793" max="2038" width="8.81640625" style="2252"/>
    <col min="2039" max="2039" width="40.1796875" style="2252" customWidth="1"/>
    <col min="2040" max="2040" width="37" style="2252" customWidth="1"/>
    <col min="2041" max="2041" width="17.453125" style="2252" customWidth="1"/>
    <col min="2042" max="2042" width="19.453125" style="2252" customWidth="1"/>
    <col min="2043" max="2043" width="0" style="2252" hidden="1" customWidth="1"/>
    <col min="2044" max="2044" width="21.7265625" style="2252" customWidth="1"/>
    <col min="2045" max="2045" width="71" style="2252" customWidth="1"/>
    <col min="2046" max="2047" width="0" style="2252" hidden="1" customWidth="1"/>
    <col min="2048" max="2048" width="13.7265625" style="2252" customWidth="1"/>
    <col min="2049" max="2294" width="8.81640625" style="2252"/>
    <col min="2295" max="2295" width="40.1796875" style="2252" customWidth="1"/>
    <col min="2296" max="2296" width="37" style="2252" customWidth="1"/>
    <col min="2297" max="2297" width="17.453125" style="2252" customWidth="1"/>
    <col min="2298" max="2298" width="19.453125" style="2252" customWidth="1"/>
    <col min="2299" max="2299" width="0" style="2252" hidden="1" customWidth="1"/>
    <col min="2300" max="2300" width="21.7265625" style="2252" customWidth="1"/>
    <col min="2301" max="2301" width="71" style="2252" customWidth="1"/>
    <col min="2302" max="2303" width="0" style="2252" hidden="1" customWidth="1"/>
    <col min="2304" max="2304" width="13.7265625" style="2252" customWidth="1"/>
    <col min="2305" max="2550" width="8.81640625" style="2252"/>
    <col min="2551" max="2551" width="40.1796875" style="2252" customWidth="1"/>
    <col min="2552" max="2552" width="37" style="2252" customWidth="1"/>
    <col min="2553" max="2553" width="17.453125" style="2252" customWidth="1"/>
    <col min="2554" max="2554" width="19.453125" style="2252" customWidth="1"/>
    <col min="2555" max="2555" width="0" style="2252" hidden="1" customWidth="1"/>
    <col min="2556" max="2556" width="21.7265625" style="2252" customWidth="1"/>
    <col min="2557" max="2557" width="71" style="2252" customWidth="1"/>
    <col min="2558" max="2559" width="0" style="2252" hidden="1" customWidth="1"/>
    <col min="2560" max="2560" width="13.7265625" style="2252" customWidth="1"/>
    <col min="2561" max="2806" width="8.81640625" style="2252"/>
    <col min="2807" max="2807" width="40.1796875" style="2252" customWidth="1"/>
    <col min="2808" max="2808" width="37" style="2252" customWidth="1"/>
    <col min="2809" max="2809" width="17.453125" style="2252" customWidth="1"/>
    <col min="2810" max="2810" width="19.453125" style="2252" customWidth="1"/>
    <col min="2811" max="2811" width="0" style="2252" hidden="1" customWidth="1"/>
    <col min="2812" max="2812" width="21.7265625" style="2252" customWidth="1"/>
    <col min="2813" max="2813" width="71" style="2252" customWidth="1"/>
    <col min="2814" max="2815" width="0" style="2252" hidden="1" customWidth="1"/>
    <col min="2816" max="2816" width="13.7265625" style="2252" customWidth="1"/>
    <col min="2817" max="3062" width="8.81640625" style="2252"/>
    <col min="3063" max="3063" width="40.1796875" style="2252" customWidth="1"/>
    <col min="3064" max="3064" width="37" style="2252" customWidth="1"/>
    <col min="3065" max="3065" width="17.453125" style="2252" customWidth="1"/>
    <col min="3066" max="3066" width="19.453125" style="2252" customWidth="1"/>
    <col min="3067" max="3067" width="0" style="2252" hidden="1" customWidth="1"/>
    <col min="3068" max="3068" width="21.7265625" style="2252" customWidth="1"/>
    <col min="3069" max="3069" width="71" style="2252" customWidth="1"/>
    <col min="3070" max="3071" width="0" style="2252" hidden="1" customWidth="1"/>
    <col min="3072" max="3072" width="13.7265625" style="2252" customWidth="1"/>
    <col min="3073" max="3318" width="8.81640625" style="2252"/>
    <col min="3319" max="3319" width="40.1796875" style="2252" customWidth="1"/>
    <col min="3320" max="3320" width="37" style="2252" customWidth="1"/>
    <col min="3321" max="3321" width="17.453125" style="2252" customWidth="1"/>
    <col min="3322" max="3322" width="19.453125" style="2252" customWidth="1"/>
    <col min="3323" max="3323" width="0" style="2252" hidden="1" customWidth="1"/>
    <col min="3324" max="3324" width="21.7265625" style="2252" customWidth="1"/>
    <col min="3325" max="3325" width="71" style="2252" customWidth="1"/>
    <col min="3326" max="3327" width="0" style="2252" hidden="1" customWidth="1"/>
    <col min="3328" max="3328" width="13.7265625" style="2252" customWidth="1"/>
    <col min="3329" max="3574" width="8.81640625" style="2252"/>
    <col min="3575" max="3575" width="40.1796875" style="2252" customWidth="1"/>
    <col min="3576" max="3576" width="37" style="2252" customWidth="1"/>
    <col min="3577" max="3577" width="17.453125" style="2252" customWidth="1"/>
    <col min="3578" max="3578" width="19.453125" style="2252" customWidth="1"/>
    <col min="3579" max="3579" width="0" style="2252" hidden="1" customWidth="1"/>
    <col min="3580" max="3580" width="21.7265625" style="2252" customWidth="1"/>
    <col min="3581" max="3581" width="71" style="2252" customWidth="1"/>
    <col min="3582" max="3583" width="0" style="2252" hidden="1" customWidth="1"/>
    <col min="3584" max="3584" width="13.7265625" style="2252" customWidth="1"/>
    <col min="3585" max="3830" width="8.81640625" style="2252"/>
    <col min="3831" max="3831" width="40.1796875" style="2252" customWidth="1"/>
    <col min="3832" max="3832" width="37" style="2252" customWidth="1"/>
    <col min="3833" max="3833" width="17.453125" style="2252" customWidth="1"/>
    <col min="3834" max="3834" width="19.453125" style="2252" customWidth="1"/>
    <col min="3835" max="3835" width="0" style="2252" hidden="1" customWidth="1"/>
    <col min="3836" max="3836" width="21.7265625" style="2252" customWidth="1"/>
    <col min="3837" max="3837" width="71" style="2252" customWidth="1"/>
    <col min="3838" max="3839" width="0" style="2252" hidden="1" customWidth="1"/>
    <col min="3840" max="3840" width="13.7265625" style="2252" customWidth="1"/>
    <col min="3841" max="4086" width="8.81640625" style="2252"/>
    <col min="4087" max="4087" width="40.1796875" style="2252" customWidth="1"/>
    <col min="4088" max="4088" width="37" style="2252" customWidth="1"/>
    <col min="4089" max="4089" width="17.453125" style="2252" customWidth="1"/>
    <col min="4090" max="4090" width="19.453125" style="2252" customWidth="1"/>
    <col min="4091" max="4091" width="0" style="2252" hidden="1" customWidth="1"/>
    <col min="4092" max="4092" width="21.7265625" style="2252" customWidth="1"/>
    <col min="4093" max="4093" width="71" style="2252" customWidth="1"/>
    <col min="4094" max="4095" width="0" style="2252" hidden="1" customWidth="1"/>
    <col min="4096" max="4096" width="13.7265625" style="2252" customWidth="1"/>
    <col min="4097" max="4342" width="8.81640625" style="2252"/>
    <col min="4343" max="4343" width="40.1796875" style="2252" customWidth="1"/>
    <col min="4344" max="4344" width="37" style="2252" customWidth="1"/>
    <col min="4345" max="4345" width="17.453125" style="2252" customWidth="1"/>
    <col min="4346" max="4346" width="19.453125" style="2252" customWidth="1"/>
    <col min="4347" max="4347" width="0" style="2252" hidden="1" customWidth="1"/>
    <col min="4348" max="4348" width="21.7265625" style="2252" customWidth="1"/>
    <col min="4349" max="4349" width="71" style="2252" customWidth="1"/>
    <col min="4350" max="4351" width="0" style="2252" hidden="1" customWidth="1"/>
    <col min="4352" max="4352" width="13.7265625" style="2252" customWidth="1"/>
    <col min="4353" max="4598" width="8.81640625" style="2252"/>
    <col min="4599" max="4599" width="40.1796875" style="2252" customWidth="1"/>
    <col min="4600" max="4600" width="37" style="2252" customWidth="1"/>
    <col min="4601" max="4601" width="17.453125" style="2252" customWidth="1"/>
    <col min="4602" max="4602" width="19.453125" style="2252" customWidth="1"/>
    <col min="4603" max="4603" width="0" style="2252" hidden="1" customWidth="1"/>
    <col min="4604" max="4604" width="21.7265625" style="2252" customWidth="1"/>
    <col min="4605" max="4605" width="71" style="2252" customWidth="1"/>
    <col min="4606" max="4607" width="0" style="2252" hidden="1" customWidth="1"/>
    <col min="4608" max="4608" width="13.7265625" style="2252" customWidth="1"/>
    <col min="4609" max="4854" width="8.81640625" style="2252"/>
    <col min="4855" max="4855" width="40.1796875" style="2252" customWidth="1"/>
    <col min="4856" max="4856" width="37" style="2252" customWidth="1"/>
    <col min="4857" max="4857" width="17.453125" style="2252" customWidth="1"/>
    <col min="4858" max="4858" width="19.453125" style="2252" customWidth="1"/>
    <col min="4859" max="4859" width="0" style="2252" hidden="1" customWidth="1"/>
    <col min="4860" max="4860" width="21.7265625" style="2252" customWidth="1"/>
    <col min="4861" max="4861" width="71" style="2252" customWidth="1"/>
    <col min="4862" max="4863" width="0" style="2252" hidden="1" customWidth="1"/>
    <col min="4864" max="4864" width="13.7265625" style="2252" customWidth="1"/>
    <col min="4865" max="5110" width="8.81640625" style="2252"/>
    <col min="5111" max="5111" width="40.1796875" style="2252" customWidth="1"/>
    <col min="5112" max="5112" width="37" style="2252" customWidth="1"/>
    <col min="5113" max="5113" width="17.453125" style="2252" customWidth="1"/>
    <col min="5114" max="5114" width="19.453125" style="2252" customWidth="1"/>
    <col min="5115" max="5115" width="0" style="2252" hidden="1" customWidth="1"/>
    <col min="5116" max="5116" width="21.7265625" style="2252" customWidth="1"/>
    <col min="5117" max="5117" width="71" style="2252" customWidth="1"/>
    <col min="5118" max="5119" width="0" style="2252" hidden="1" customWidth="1"/>
    <col min="5120" max="5120" width="13.7265625" style="2252" customWidth="1"/>
    <col min="5121" max="5366" width="8.81640625" style="2252"/>
    <col min="5367" max="5367" width="40.1796875" style="2252" customWidth="1"/>
    <col min="5368" max="5368" width="37" style="2252" customWidth="1"/>
    <col min="5369" max="5369" width="17.453125" style="2252" customWidth="1"/>
    <col min="5370" max="5370" width="19.453125" style="2252" customWidth="1"/>
    <col min="5371" max="5371" width="0" style="2252" hidden="1" customWidth="1"/>
    <col min="5372" max="5372" width="21.7265625" style="2252" customWidth="1"/>
    <col min="5373" max="5373" width="71" style="2252" customWidth="1"/>
    <col min="5374" max="5375" width="0" style="2252" hidden="1" customWidth="1"/>
    <col min="5376" max="5376" width="13.7265625" style="2252" customWidth="1"/>
    <col min="5377" max="5622" width="8.81640625" style="2252"/>
    <col min="5623" max="5623" width="40.1796875" style="2252" customWidth="1"/>
    <col min="5624" max="5624" width="37" style="2252" customWidth="1"/>
    <col min="5625" max="5625" width="17.453125" style="2252" customWidth="1"/>
    <col min="5626" max="5626" width="19.453125" style="2252" customWidth="1"/>
    <col min="5627" max="5627" width="0" style="2252" hidden="1" customWidth="1"/>
    <col min="5628" max="5628" width="21.7265625" style="2252" customWidth="1"/>
    <col min="5629" max="5629" width="71" style="2252" customWidth="1"/>
    <col min="5630" max="5631" width="0" style="2252" hidden="1" customWidth="1"/>
    <col min="5632" max="5632" width="13.7265625" style="2252" customWidth="1"/>
    <col min="5633" max="5878" width="8.81640625" style="2252"/>
    <col min="5879" max="5879" width="40.1796875" style="2252" customWidth="1"/>
    <col min="5880" max="5880" width="37" style="2252" customWidth="1"/>
    <col min="5881" max="5881" width="17.453125" style="2252" customWidth="1"/>
    <col min="5882" max="5882" width="19.453125" style="2252" customWidth="1"/>
    <col min="5883" max="5883" width="0" style="2252" hidden="1" customWidth="1"/>
    <col min="5884" max="5884" width="21.7265625" style="2252" customWidth="1"/>
    <col min="5885" max="5885" width="71" style="2252" customWidth="1"/>
    <col min="5886" max="5887" width="0" style="2252" hidden="1" customWidth="1"/>
    <col min="5888" max="5888" width="13.7265625" style="2252" customWidth="1"/>
    <col min="5889" max="6134" width="8.81640625" style="2252"/>
    <col min="6135" max="6135" width="40.1796875" style="2252" customWidth="1"/>
    <col min="6136" max="6136" width="37" style="2252" customWidth="1"/>
    <col min="6137" max="6137" width="17.453125" style="2252" customWidth="1"/>
    <col min="6138" max="6138" width="19.453125" style="2252" customWidth="1"/>
    <col min="6139" max="6139" width="0" style="2252" hidden="1" customWidth="1"/>
    <col min="6140" max="6140" width="21.7265625" style="2252" customWidth="1"/>
    <col min="6141" max="6141" width="71" style="2252" customWidth="1"/>
    <col min="6142" max="6143" width="0" style="2252" hidden="1" customWidth="1"/>
    <col min="6144" max="6144" width="13.7265625" style="2252" customWidth="1"/>
    <col min="6145" max="6390" width="8.81640625" style="2252"/>
    <col min="6391" max="6391" width="40.1796875" style="2252" customWidth="1"/>
    <col min="6392" max="6392" width="37" style="2252" customWidth="1"/>
    <col min="6393" max="6393" width="17.453125" style="2252" customWidth="1"/>
    <col min="6394" max="6394" width="19.453125" style="2252" customWidth="1"/>
    <col min="6395" max="6395" width="0" style="2252" hidden="1" customWidth="1"/>
    <col min="6396" max="6396" width="21.7265625" style="2252" customWidth="1"/>
    <col min="6397" max="6397" width="71" style="2252" customWidth="1"/>
    <col min="6398" max="6399" width="0" style="2252" hidden="1" customWidth="1"/>
    <col min="6400" max="6400" width="13.7265625" style="2252" customWidth="1"/>
    <col min="6401" max="6646" width="8.81640625" style="2252"/>
    <col min="6647" max="6647" width="40.1796875" style="2252" customWidth="1"/>
    <col min="6648" max="6648" width="37" style="2252" customWidth="1"/>
    <col min="6649" max="6649" width="17.453125" style="2252" customWidth="1"/>
    <col min="6650" max="6650" width="19.453125" style="2252" customWidth="1"/>
    <col min="6651" max="6651" width="0" style="2252" hidden="1" customWidth="1"/>
    <col min="6652" max="6652" width="21.7265625" style="2252" customWidth="1"/>
    <col min="6653" max="6653" width="71" style="2252" customWidth="1"/>
    <col min="6654" max="6655" width="0" style="2252" hidden="1" customWidth="1"/>
    <col min="6656" max="6656" width="13.7265625" style="2252" customWidth="1"/>
    <col min="6657" max="6902" width="8.81640625" style="2252"/>
    <col min="6903" max="6903" width="40.1796875" style="2252" customWidth="1"/>
    <col min="6904" max="6904" width="37" style="2252" customWidth="1"/>
    <col min="6905" max="6905" width="17.453125" style="2252" customWidth="1"/>
    <col min="6906" max="6906" width="19.453125" style="2252" customWidth="1"/>
    <col min="6907" max="6907" width="0" style="2252" hidden="1" customWidth="1"/>
    <col min="6908" max="6908" width="21.7265625" style="2252" customWidth="1"/>
    <col min="6909" max="6909" width="71" style="2252" customWidth="1"/>
    <col min="6910" max="6911" width="0" style="2252" hidden="1" customWidth="1"/>
    <col min="6912" max="6912" width="13.7265625" style="2252" customWidth="1"/>
    <col min="6913" max="7158" width="8.81640625" style="2252"/>
    <col min="7159" max="7159" width="40.1796875" style="2252" customWidth="1"/>
    <col min="7160" max="7160" width="37" style="2252" customWidth="1"/>
    <col min="7161" max="7161" width="17.453125" style="2252" customWidth="1"/>
    <col min="7162" max="7162" width="19.453125" style="2252" customWidth="1"/>
    <col min="7163" max="7163" width="0" style="2252" hidden="1" customWidth="1"/>
    <col min="7164" max="7164" width="21.7265625" style="2252" customWidth="1"/>
    <col min="7165" max="7165" width="71" style="2252" customWidth="1"/>
    <col min="7166" max="7167" width="0" style="2252" hidden="1" customWidth="1"/>
    <col min="7168" max="7168" width="13.7265625" style="2252" customWidth="1"/>
    <col min="7169" max="7414" width="8.81640625" style="2252"/>
    <col min="7415" max="7415" width="40.1796875" style="2252" customWidth="1"/>
    <col min="7416" max="7416" width="37" style="2252" customWidth="1"/>
    <col min="7417" max="7417" width="17.453125" style="2252" customWidth="1"/>
    <col min="7418" max="7418" width="19.453125" style="2252" customWidth="1"/>
    <col min="7419" max="7419" width="0" style="2252" hidden="1" customWidth="1"/>
    <col min="7420" max="7420" width="21.7265625" style="2252" customWidth="1"/>
    <col min="7421" max="7421" width="71" style="2252" customWidth="1"/>
    <col min="7422" max="7423" width="0" style="2252" hidden="1" customWidth="1"/>
    <col min="7424" max="7424" width="13.7265625" style="2252" customWidth="1"/>
    <col min="7425" max="7670" width="8.81640625" style="2252"/>
    <col min="7671" max="7671" width="40.1796875" style="2252" customWidth="1"/>
    <col min="7672" max="7672" width="37" style="2252" customWidth="1"/>
    <col min="7673" max="7673" width="17.453125" style="2252" customWidth="1"/>
    <col min="7674" max="7674" width="19.453125" style="2252" customWidth="1"/>
    <col min="7675" max="7675" width="0" style="2252" hidden="1" customWidth="1"/>
    <col min="7676" max="7676" width="21.7265625" style="2252" customWidth="1"/>
    <col min="7677" max="7677" width="71" style="2252" customWidth="1"/>
    <col min="7678" max="7679" width="0" style="2252" hidden="1" customWidth="1"/>
    <col min="7680" max="7680" width="13.7265625" style="2252" customWidth="1"/>
    <col min="7681" max="7926" width="8.81640625" style="2252"/>
    <col min="7927" max="7927" width="40.1796875" style="2252" customWidth="1"/>
    <col min="7928" max="7928" width="37" style="2252" customWidth="1"/>
    <col min="7929" max="7929" width="17.453125" style="2252" customWidth="1"/>
    <col min="7930" max="7930" width="19.453125" style="2252" customWidth="1"/>
    <col min="7931" max="7931" width="0" style="2252" hidden="1" customWidth="1"/>
    <col min="7932" max="7932" width="21.7265625" style="2252" customWidth="1"/>
    <col min="7933" max="7933" width="71" style="2252" customWidth="1"/>
    <col min="7934" max="7935" width="0" style="2252" hidden="1" customWidth="1"/>
    <col min="7936" max="7936" width="13.7265625" style="2252" customWidth="1"/>
    <col min="7937" max="8182" width="8.81640625" style="2252"/>
    <col min="8183" max="8183" width="40.1796875" style="2252" customWidth="1"/>
    <col min="8184" max="8184" width="37" style="2252" customWidth="1"/>
    <col min="8185" max="8185" width="17.453125" style="2252" customWidth="1"/>
    <col min="8186" max="8186" width="19.453125" style="2252" customWidth="1"/>
    <col min="8187" max="8187" width="0" style="2252" hidden="1" customWidth="1"/>
    <col min="8188" max="8188" width="21.7265625" style="2252" customWidth="1"/>
    <col min="8189" max="8189" width="71" style="2252" customWidth="1"/>
    <col min="8190" max="8191" width="0" style="2252" hidden="1" customWidth="1"/>
    <col min="8192" max="8192" width="13.7265625" style="2252" customWidth="1"/>
    <col min="8193" max="8438" width="8.81640625" style="2252"/>
    <col min="8439" max="8439" width="40.1796875" style="2252" customWidth="1"/>
    <col min="8440" max="8440" width="37" style="2252" customWidth="1"/>
    <col min="8441" max="8441" width="17.453125" style="2252" customWidth="1"/>
    <col min="8442" max="8442" width="19.453125" style="2252" customWidth="1"/>
    <col min="8443" max="8443" width="0" style="2252" hidden="1" customWidth="1"/>
    <col min="8444" max="8444" width="21.7265625" style="2252" customWidth="1"/>
    <col min="8445" max="8445" width="71" style="2252" customWidth="1"/>
    <col min="8446" max="8447" width="0" style="2252" hidden="1" customWidth="1"/>
    <col min="8448" max="8448" width="13.7265625" style="2252" customWidth="1"/>
    <col min="8449" max="8694" width="8.81640625" style="2252"/>
    <col min="8695" max="8695" width="40.1796875" style="2252" customWidth="1"/>
    <col min="8696" max="8696" width="37" style="2252" customWidth="1"/>
    <col min="8697" max="8697" width="17.453125" style="2252" customWidth="1"/>
    <col min="8698" max="8698" width="19.453125" style="2252" customWidth="1"/>
    <col min="8699" max="8699" width="0" style="2252" hidden="1" customWidth="1"/>
    <col min="8700" max="8700" width="21.7265625" style="2252" customWidth="1"/>
    <col min="8701" max="8701" width="71" style="2252" customWidth="1"/>
    <col min="8702" max="8703" width="0" style="2252" hidden="1" customWidth="1"/>
    <col min="8704" max="8704" width="13.7265625" style="2252" customWidth="1"/>
    <col min="8705" max="8950" width="8.81640625" style="2252"/>
    <col min="8951" max="8951" width="40.1796875" style="2252" customWidth="1"/>
    <col min="8952" max="8952" width="37" style="2252" customWidth="1"/>
    <col min="8953" max="8953" width="17.453125" style="2252" customWidth="1"/>
    <col min="8954" max="8954" width="19.453125" style="2252" customWidth="1"/>
    <col min="8955" max="8955" width="0" style="2252" hidden="1" customWidth="1"/>
    <col min="8956" max="8956" width="21.7265625" style="2252" customWidth="1"/>
    <col min="8957" max="8957" width="71" style="2252" customWidth="1"/>
    <col min="8958" max="8959" width="0" style="2252" hidden="1" customWidth="1"/>
    <col min="8960" max="8960" width="13.7265625" style="2252" customWidth="1"/>
    <col min="8961" max="9206" width="8.81640625" style="2252"/>
    <col min="9207" max="9207" width="40.1796875" style="2252" customWidth="1"/>
    <col min="9208" max="9208" width="37" style="2252" customWidth="1"/>
    <col min="9209" max="9209" width="17.453125" style="2252" customWidth="1"/>
    <col min="9210" max="9210" width="19.453125" style="2252" customWidth="1"/>
    <col min="9211" max="9211" width="0" style="2252" hidden="1" customWidth="1"/>
    <col min="9212" max="9212" width="21.7265625" style="2252" customWidth="1"/>
    <col min="9213" max="9213" width="71" style="2252" customWidth="1"/>
    <col min="9214" max="9215" width="0" style="2252" hidden="1" customWidth="1"/>
    <col min="9216" max="9216" width="13.7265625" style="2252" customWidth="1"/>
    <col min="9217" max="9462" width="8.81640625" style="2252"/>
    <col min="9463" max="9463" width="40.1796875" style="2252" customWidth="1"/>
    <col min="9464" max="9464" width="37" style="2252" customWidth="1"/>
    <col min="9465" max="9465" width="17.453125" style="2252" customWidth="1"/>
    <col min="9466" max="9466" width="19.453125" style="2252" customWidth="1"/>
    <col min="9467" max="9467" width="0" style="2252" hidden="1" customWidth="1"/>
    <col min="9468" max="9468" width="21.7265625" style="2252" customWidth="1"/>
    <col min="9469" max="9469" width="71" style="2252" customWidth="1"/>
    <col min="9470" max="9471" width="0" style="2252" hidden="1" customWidth="1"/>
    <col min="9472" max="9472" width="13.7265625" style="2252" customWidth="1"/>
    <col min="9473" max="9718" width="8.81640625" style="2252"/>
    <col min="9719" max="9719" width="40.1796875" style="2252" customWidth="1"/>
    <col min="9720" max="9720" width="37" style="2252" customWidth="1"/>
    <col min="9721" max="9721" width="17.453125" style="2252" customWidth="1"/>
    <col min="9722" max="9722" width="19.453125" style="2252" customWidth="1"/>
    <col min="9723" max="9723" width="0" style="2252" hidden="1" customWidth="1"/>
    <col min="9724" max="9724" width="21.7265625" style="2252" customWidth="1"/>
    <col min="9725" max="9725" width="71" style="2252" customWidth="1"/>
    <col min="9726" max="9727" width="0" style="2252" hidden="1" customWidth="1"/>
    <col min="9728" max="9728" width="13.7265625" style="2252" customWidth="1"/>
    <col min="9729" max="9974" width="8.81640625" style="2252"/>
    <col min="9975" max="9975" width="40.1796875" style="2252" customWidth="1"/>
    <col min="9976" max="9976" width="37" style="2252" customWidth="1"/>
    <col min="9977" max="9977" width="17.453125" style="2252" customWidth="1"/>
    <col min="9978" max="9978" width="19.453125" style="2252" customWidth="1"/>
    <col min="9979" max="9979" width="0" style="2252" hidden="1" customWidth="1"/>
    <col min="9980" max="9980" width="21.7265625" style="2252" customWidth="1"/>
    <col min="9981" max="9981" width="71" style="2252" customWidth="1"/>
    <col min="9982" max="9983" width="0" style="2252" hidden="1" customWidth="1"/>
    <col min="9984" max="9984" width="13.7265625" style="2252" customWidth="1"/>
    <col min="9985" max="10230" width="8.81640625" style="2252"/>
    <col min="10231" max="10231" width="40.1796875" style="2252" customWidth="1"/>
    <col min="10232" max="10232" width="37" style="2252" customWidth="1"/>
    <col min="10233" max="10233" width="17.453125" style="2252" customWidth="1"/>
    <col min="10234" max="10234" width="19.453125" style="2252" customWidth="1"/>
    <col min="10235" max="10235" width="0" style="2252" hidden="1" customWidth="1"/>
    <col min="10236" max="10236" width="21.7265625" style="2252" customWidth="1"/>
    <col min="10237" max="10237" width="71" style="2252" customWidth="1"/>
    <col min="10238" max="10239" width="0" style="2252" hidden="1" customWidth="1"/>
    <col min="10240" max="10240" width="13.7265625" style="2252" customWidth="1"/>
    <col min="10241" max="10486" width="8.81640625" style="2252"/>
    <col min="10487" max="10487" width="40.1796875" style="2252" customWidth="1"/>
    <col min="10488" max="10488" width="37" style="2252" customWidth="1"/>
    <col min="10489" max="10489" width="17.453125" style="2252" customWidth="1"/>
    <col min="10490" max="10490" width="19.453125" style="2252" customWidth="1"/>
    <col min="10491" max="10491" width="0" style="2252" hidden="1" customWidth="1"/>
    <col min="10492" max="10492" width="21.7265625" style="2252" customWidth="1"/>
    <col min="10493" max="10493" width="71" style="2252" customWidth="1"/>
    <col min="10494" max="10495" width="0" style="2252" hidden="1" customWidth="1"/>
    <col min="10496" max="10496" width="13.7265625" style="2252" customWidth="1"/>
    <col min="10497" max="10742" width="8.81640625" style="2252"/>
    <col min="10743" max="10743" width="40.1796875" style="2252" customWidth="1"/>
    <col min="10744" max="10744" width="37" style="2252" customWidth="1"/>
    <col min="10745" max="10745" width="17.453125" style="2252" customWidth="1"/>
    <col min="10746" max="10746" width="19.453125" style="2252" customWidth="1"/>
    <col min="10747" max="10747" width="0" style="2252" hidden="1" customWidth="1"/>
    <col min="10748" max="10748" width="21.7265625" style="2252" customWidth="1"/>
    <col min="10749" max="10749" width="71" style="2252" customWidth="1"/>
    <col min="10750" max="10751" width="0" style="2252" hidden="1" customWidth="1"/>
    <col min="10752" max="10752" width="13.7265625" style="2252" customWidth="1"/>
    <col min="10753" max="10998" width="8.81640625" style="2252"/>
    <col min="10999" max="10999" width="40.1796875" style="2252" customWidth="1"/>
    <col min="11000" max="11000" width="37" style="2252" customWidth="1"/>
    <col min="11001" max="11001" width="17.453125" style="2252" customWidth="1"/>
    <col min="11002" max="11002" width="19.453125" style="2252" customWidth="1"/>
    <col min="11003" max="11003" width="0" style="2252" hidden="1" customWidth="1"/>
    <col min="11004" max="11004" width="21.7265625" style="2252" customWidth="1"/>
    <col min="11005" max="11005" width="71" style="2252" customWidth="1"/>
    <col min="11006" max="11007" width="0" style="2252" hidden="1" customWidth="1"/>
    <col min="11008" max="11008" width="13.7265625" style="2252" customWidth="1"/>
    <col min="11009" max="11254" width="8.81640625" style="2252"/>
    <col min="11255" max="11255" width="40.1796875" style="2252" customWidth="1"/>
    <col min="11256" max="11256" width="37" style="2252" customWidth="1"/>
    <col min="11257" max="11257" width="17.453125" style="2252" customWidth="1"/>
    <col min="11258" max="11258" width="19.453125" style="2252" customWidth="1"/>
    <col min="11259" max="11259" width="0" style="2252" hidden="1" customWidth="1"/>
    <col min="11260" max="11260" width="21.7265625" style="2252" customWidth="1"/>
    <col min="11261" max="11261" width="71" style="2252" customWidth="1"/>
    <col min="11262" max="11263" width="0" style="2252" hidden="1" customWidth="1"/>
    <col min="11264" max="11264" width="13.7265625" style="2252" customWidth="1"/>
    <col min="11265" max="11510" width="8.81640625" style="2252"/>
    <col min="11511" max="11511" width="40.1796875" style="2252" customWidth="1"/>
    <col min="11512" max="11512" width="37" style="2252" customWidth="1"/>
    <col min="11513" max="11513" width="17.453125" style="2252" customWidth="1"/>
    <col min="11514" max="11514" width="19.453125" style="2252" customWidth="1"/>
    <col min="11515" max="11515" width="0" style="2252" hidden="1" customWidth="1"/>
    <col min="11516" max="11516" width="21.7265625" style="2252" customWidth="1"/>
    <col min="11517" max="11517" width="71" style="2252" customWidth="1"/>
    <col min="11518" max="11519" width="0" style="2252" hidden="1" customWidth="1"/>
    <col min="11520" max="11520" width="13.7265625" style="2252" customWidth="1"/>
    <col min="11521" max="11766" width="8.81640625" style="2252"/>
    <col min="11767" max="11767" width="40.1796875" style="2252" customWidth="1"/>
    <col min="11768" max="11768" width="37" style="2252" customWidth="1"/>
    <col min="11769" max="11769" width="17.453125" style="2252" customWidth="1"/>
    <col min="11770" max="11770" width="19.453125" style="2252" customWidth="1"/>
    <col min="11771" max="11771" width="0" style="2252" hidden="1" customWidth="1"/>
    <col min="11772" max="11772" width="21.7265625" style="2252" customWidth="1"/>
    <col min="11773" max="11773" width="71" style="2252" customWidth="1"/>
    <col min="11774" max="11775" width="0" style="2252" hidden="1" customWidth="1"/>
    <col min="11776" max="11776" width="13.7265625" style="2252" customWidth="1"/>
    <col min="11777" max="12022" width="8.81640625" style="2252"/>
    <col min="12023" max="12023" width="40.1796875" style="2252" customWidth="1"/>
    <col min="12024" max="12024" width="37" style="2252" customWidth="1"/>
    <col min="12025" max="12025" width="17.453125" style="2252" customWidth="1"/>
    <col min="12026" max="12026" width="19.453125" style="2252" customWidth="1"/>
    <col min="12027" max="12027" width="0" style="2252" hidden="1" customWidth="1"/>
    <col min="12028" max="12028" width="21.7265625" style="2252" customWidth="1"/>
    <col min="12029" max="12029" width="71" style="2252" customWidth="1"/>
    <col min="12030" max="12031" width="0" style="2252" hidden="1" customWidth="1"/>
    <col min="12032" max="12032" width="13.7265625" style="2252" customWidth="1"/>
    <col min="12033" max="12278" width="8.81640625" style="2252"/>
    <col min="12279" max="12279" width="40.1796875" style="2252" customWidth="1"/>
    <col min="12280" max="12280" width="37" style="2252" customWidth="1"/>
    <col min="12281" max="12281" width="17.453125" style="2252" customWidth="1"/>
    <col min="12282" max="12282" width="19.453125" style="2252" customWidth="1"/>
    <col min="12283" max="12283" width="0" style="2252" hidden="1" customWidth="1"/>
    <col min="12284" max="12284" width="21.7265625" style="2252" customWidth="1"/>
    <col min="12285" max="12285" width="71" style="2252" customWidth="1"/>
    <col min="12286" max="12287" width="0" style="2252" hidden="1" customWidth="1"/>
    <col min="12288" max="12288" width="13.7265625" style="2252" customWidth="1"/>
    <col min="12289" max="12534" width="8.81640625" style="2252"/>
    <col min="12535" max="12535" width="40.1796875" style="2252" customWidth="1"/>
    <col min="12536" max="12536" width="37" style="2252" customWidth="1"/>
    <col min="12537" max="12537" width="17.453125" style="2252" customWidth="1"/>
    <col min="12538" max="12538" width="19.453125" style="2252" customWidth="1"/>
    <col min="12539" max="12539" width="0" style="2252" hidden="1" customWidth="1"/>
    <col min="12540" max="12540" width="21.7265625" style="2252" customWidth="1"/>
    <col min="12541" max="12541" width="71" style="2252" customWidth="1"/>
    <col min="12542" max="12543" width="0" style="2252" hidden="1" customWidth="1"/>
    <col min="12544" max="12544" width="13.7265625" style="2252" customWidth="1"/>
    <col min="12545" max="12790" width="8.81640625" style="2252"/>
    <col min="12791" max="12791" width="40.1796875" style="2252" customWidth="1"/>
    <col min="12792" max="12792" width="37" style="2252" customWidth="1"/>
    <col min="12793" max="12793" width="17.453125" style="2252" customWidth="1"/>
    <col min="12794" max="12794" width="19.453125" style="2252" customWidth="1"/>
    <col min="12795" max="12795" width="0" style="2252" hidden="1" customWidth="1"/>
    <col min="12796" max="12796" width="21.7265625" style="2252" customWidth="1"/>
    <col min="12797" max="12797" width="71" style="2252" customWidth="1"/>
    <col min="12798" max="12799" width="0" style="2252" hidden="1" customWidth="1"/>
    <col min="12800" max="12800" width="13.7265625" style="2252" customWidth="1"/>
    <col min="12801" max="13046" width="8.81640625" style="2252"/>
    <col min="13047" max="13047" width="40.1796875" style="2252" customWidth="1"/>
    <col min="13048" max="13048" width="37" style="2252" customWidth="1"/>
    <col min="13049" max="13049" width="17.453125" style="2252" customWidth="1"/>
    <col min="13050" max="13050" width="19.453125" style="2252" customWidth="1"/>
    <col min="13051" max="13051" width="0" style="2252" hidden="1" customWidth="1"/>
    <col min="13052" max="13052" width="21.7265625" style="2252" customWidth="1"/>
    <col min="13053" max="13053" width="71" style="2252" customWidth="1"/>
    <col min="13054" max="13055" width="0" style="2252" hidden="1" customWidth="1"/>
    <col min="13056" max="13056" width="13.7265625" style="2252" customWidth="1"/>
    <col min="13057" max="13302" width="8.81640625" style="2252"/>
    <col min="13303" max="13303" width="40.1796875" style="2252" customWidth="1"/>
    <col min="13304" max="13304" width="37" style="2252" customWidth="1"/>
    <col min="13305" max="13305" width="17.453125" style="2252" customWidth="1"/>
    <col min="13306" max="13306" width="19.453125" style="2252" customWidth="1"/>
    <col min="13307" max="13307" width="0" style="2252" hidden="1" customWidth="1"/>
    <col min="13308" max="13308" width="21.7265625" style="2252" customWidth="1"/>
    <col min="13309" max="13309" width="71" style="2252" customWidth="1"/>
    <col min="13310" max="13311" width="0" style="2252" hidden="1" customWidth="1"/>
    <col min="13312" max="13312" width="13.7265625" style="2252" customWidth="1"/>
    <col min="13313" max="13558" width="8.81640625" style="2252"/>
    <col min="13559" max="13559" width="40.1796875" style="2252" customWidth="1"/>
    <col min="13560" max="13560" width="37" style="2252" customWidth="1"/>
    <col min="13561" max="13561" width="17.453125" style="2252" customWidth="1"/>
    <col min="13562" max="13562" width="19.453125" style="2252" customWidth="1"/>
    <col min="13563" max="13563" width="0" style="2252" hidden="1" customWidth="1"/>
    <col min="13564" max="13564" width="21.7265625" style="2252" customWidth="1"/>
    <col min="13565" max="13565" width="71" style="2252" customWidth="1"/>
    <col min="13566" max="13567" width="0" style="2252" hidden="1" customWidth="1"/>
    <col min="13568" max="13568" width="13.7265625" style="2252" customWidth="1"/>
    <col min="13569" max="13814" width="8.81640625" style="2252"/>
    <col min="13815" max="13815" width="40.1796875" style="2252" customWidth="1"/>
    <col min="13816" max="13816" width="37" style="2252" customWidth="1"/>
    <col min="13817" max="13817" width="17.453125" style="2252" customWidth="1"/>
    <col min="13818" max="13818" width="19.453125" style="2252" customWidth="1"/>
    <col min="13819" max="13819" width="0" style="2252" hidden="1" customWidth="1"/>
    <col min="13820" max="13820" width="21.7265625" style="2252" customWidth="1"/>
    <col min="13821" max="13821" width="71" style="2252" customWidth="1"/>
    <col min="13822" max="13823" width="0" style="2252" hidden="1" customWidth="1"/>
    <col min="13824" max="13824" width="13.7265625" style="2252" customWidth="1"/>
    <col min="13825" max="14070" width="8.81640625" style="2252"/>
    <col min="14071" max="14071" width="40.1796875" style="2252" customWidth="1"/>
    <col min="14072" max="14072" width="37" style="2252" customWidth="1"/>
    <col min="14073" max="14073" width="17.453125" style="2252" customWidth="1"/>
    <col min="14074" max="14074" width="19.453125" style="2252" customWidth="1"/>
    <col min="14075" max="14075" width="0" style="2252" hidden="1" customWidth="1"/>
    <col min="14076" max="14076" width="21.7265625" style="2252" customWidth="1"/>
    <col min="14077" max="14077" width="71" style="2252" customWidth="1"/>
    <col min="14078" max="14079" width="0" style="2252" hidden="1" customWidth="1"/>
    <col min="14080" max="14080" width="13.7265625" style="2252" customWidth="1"/>
    <col min="14081" max="14326" width="8.81640625" style="2252"/>
    <col min="14327" max="14327" width="40.1796875" style="2252" customWidth="1"/>
    <col min="14328" max="14328" width="37" style="2252" customWidth="1"/>
    <col min="14329" max="14329" width="17.453125" style="2252" customWidth="1"/>
    <col min="14330" max="14330" width="19.453125" style="2252" customWidth="1"/>
    <col min="14331" max="14331" width="0" style="2252" hidden="1" customWidth="1"/>
    <col min="14332" max="14332" width="21.7265625" style="2252" customWidth="1"/>
    <col min="14333" max="14333" width="71" style="2252" customWidth="1"/>
    <col min="14334" max="14335" width="0" style="2252" hidden="1" customWidth="1"/>
    <col min="14336" max="14336" width="13.7265625" style="2252" customWidth="1"/>
    <col min="14337" max="14582" width="8.81640625" style="2252"/>
    <col min="14583" max="14583" width="40.1796875" style="2252" customWidth="1"/>
    <col min="14584" max="14584" width="37" style="2252" customWidth="1"/>
    <col min="14585" max="14585" width="17.453125" style="2252" customWidth="1"/>
    <col min="14586" max="14586" width="19.453125" style="2252" customWidth="1"/>
    <col min="14587" max="14587" width="0" style="2252" hidden="1" customWidth="1"/>
    <col min="14588" max="14588" width="21.7265625" style="2252" customWidth="1"/>
    <col min="14589" max="14589" width="71" style="2252" customWidth="1"/>
    <col min="14590" max="14591" width="0" style="2252" hidden="1" customWidth="1"/>
    <col min="14592" max="14592" width="13.7265625" style="2252" customWidth="1"/>
    <col min="14593" max="14838" width="8.81640625" style="2252"/>
    <col min="14839" max="14839" width="40.1796875" style="2252" customWidth="1"/>
    <col min="14840" max="14840" width="37" style="2252" customWidth="1"/>
    <col min="14841" max="14841" width="17.453125" style="2252" customWidth="1"/>
    <col min="14842" max="14842" width="19.453125" style="2252" customWidth="1"/>
    <col min="14843" max="14843" width="0" style="2252" hidden="1" customWidth="1"/>
    <col min="14844" max="14844" width="21.7265625" style="2252" customWidth="1"/>
    <col min="14845" max="14845" width="71" style="2252" customWidth="1"/>
    <col min="14846" max="14847" width="0" style="2252" hidden="1" customWidth="1"/>
    <col min="14848" max="14848" width="13.7265625" style="2252" customWidth="1"/>
    <col min="14849" max="15094" width="8.81640625" style="2252"/>
    <col min="15095" max="15095" width="40.1796875" style="2252" customWidth="1"/>
    <col min="15096" max="15096" width="37" style="2252" customWidth="1"/>
    <col min="15097" max="15097" width="17.453125" style="2252" customWidth="1"/>
    <col min="15098" max="15098" width="19.453125" style="2252" customWidth="1"/>
    <col min="15099" max="15099" width="0" style="2252" hidden="1" customWidth="1"/>
    <col min="15100" max="15100" width="21.7265625" style="2252" customWidth="1"/>
    <col min="15101" max="15101" width="71" style="2252" customWidth="1"/>
    <col min="15102" max="15103" width="0" style="2252" hidden="1" customWidth="1"/>
    <col min="15104" max="15104" width="13.7265625" style="2252" customWidth="1"/>
    <col min="15105" max="15350" width="8.81640625" style="2252"/>
    <col min="15351" max="15351" width="40.1796875" style="2252" customWidth="1"/>
    <col min="15352" max="15352" width="37" style="2252" customWidth="1"/>
    <col min="15353" max="15353" width="17.453125" style="2252" customWidth="1"/>
    <col min="15354" max="15354" width="19.453125" style="2252" customWidth="1"/>
    <col min="15355" max="15355" width="0" style="2252" hidden="1" customWidth="1"/>
    <col min="15356" max="15356" width="21.7265625" style="2252" customWidth="1"/>
    <col min="15357" max="15357" width="71" style="2252" customWidth="1"/>
    <col min="15358" max="15359" width="0" style="2252" hidden="1" customWidth="1"/>
    <col min="15360" max="15360" width="13.7265625" style="2252" customWidth="1"/>
    <col min="15361" max="15606" width="8.81640625" style="2252"/>
    <col min="15607" max="15607" width="40.1796875" style="2252" customWidth="1"/>
    <col min="15608" max="15608" width="37" style="2252" customWidth="1"/>
    <col min="15609" max="15609" width="17.453125" style="2252" customWidth="1"/>
    <col min="15610" max="15610" width="19.453125" style="2252" customWidth="1"/>
    <col min="15611" max="15611" width="0" style="2252" hidden="1" customWidth="1"/>
    <col min="15612" max="15612" width="21.7265625" style="2252" customWidth="1"/>
    <col min="15613" max="15613" width="71" style="2252" customWidth="1"/>
    <col min="15614" max="15615" width="0" style="2252" hidden="1" customWidth="1"/>
    <col min="15616" max="15616" width="13.7265625" style="2252" customWidth="1"/>
    <col min="15617" max="15862" width="8.81640625" style="2252"/>
    <col min="15863" max="15863" width="40.1796875" style="2252" customWidth="1"/>
    <col min="15864" max="15864" width="37" style="2252" customWidth="1"/>
    <col min="15865" max="15865" width="17.453125" style="2252" customWidth="1"/>
    <col min="15866" max="15866" width="19.453125" style="2252" customWidth="1"/>
    <col min="15867" max="15867" width="0" style="2252" hidden="1" customWidth="1"/>
    <col min="15868" max="15868" width="21.7265625" style="2252" customWidth="1"/>
    <col min="15869" max="15869" width="71" style="2252" customWidth="1"/>
    <col min="15870" max="15871" width="0" style="2252" hidden="1" customWidth="1"/>
    <col min="15872" max="15872" width="13.7265625" style="2252" customWidth="1"/>
    <col min="15873" max="16118" width="8.81640625" style="2252"/>
    <col min="16119" max="16119" width="40.1796875" style="2252" customWidth="1"/>
    <col min="16120" max="16120" width="37" style="2252" customWidth="1"/>
    <col min="16121" max="16121" width="17.453125" style="2252" customWidth="1"/>
    <col min="16122" max="16122" width="19.453125" style="2252" customWidth="1"/>
    <col min="16123" max="16123" width="0" style="2252" hidden="1" customWidth="1"/>
    <col min="16124" max="16124" width="21.7265625" style="2252" customWidth="1"/>
    <col min="16125" max="16125" width="71" style="2252" customWidth="1"/>
    <col min="16126" max="16127" width="0" style="2252" hidden="1" customWidth="1"/>
    <col min="16128" max="16128" width="13.7265625" style="2252" customWidth="1"/>
    <col min="16129" max="16384" width="8.81640625" style="2252"/>
  </cols>
  <sheetData>
    <row r="1" spans="1:25" ht="15.5" hidden="1" x14ac:dyDescent="0.35">
      <c r="A1" s="2290"/>
      <c r="B1" s="2290"/>
      <c r="C1" s="2290"/>
      <c r="D1" s="2290"/>
      <c r="E1" s="2290"/>
      <c r="F1" s="2290"/>
      <c r="G1" s="2290"/>
      <c r="H1" s="3502" t="s">
        <v>792</v>
      </c>
      <c r="I1" s="3502"/>
      <c r="J1" s="3502"/>
    </row>
    <row r="2" spans="1:25" ht="15.5" hidden="1" x14ac:dyDescent="0.35">
      <c r="A2" s="2290"/>
      <c r="B2" s="2290"/>
      <c r="C2" s="2290"/>
      <c r="D2" s="2290"/>
      <c r="E2" s="2290"/>
      <c r="F2" s="2290"/>
      <c r="G2" s="2290"/>
      <c r="H2" s="3502" t="s">
        <v>450</v>
      </c>
      <c r="I2" s="3502"/>
      <c r="J2" s="3502"/>
    </row>
    <row r="3" spans="1:25" ht="15.5" hidden="1" x14ac:dyDescent="0.35">
      <c r="A3" s="2290"/>
      <c r="B3" s="2290"/>
      <c r="C3" s="2290"/>
      <c r="D3" s="2290"/>
      <c r="E3" s="2290"/>
      <c r="F3" s="2290"/>
      <c r="G3" s="2290"/>
      <c r="H3" s="3502" t="s">
        <v>449</v>
      </c>
      <c r="I3" s="3502"/>
      <c r="J3" s="3502"/>
    </row>
    <row r="4" spans="1:25" ht="15.5" hidden="1" x14ac:dyDescent="0.35">
      <c r="A4" s="2290"/>
      <c r="B4" s="2290"/>
      <c r="C4" s="2290"/>
      <c r="D4" s="2290"/>
      <c r="E4" s="2290"/>
      <c r="F4" s="2290"/>
      <c r="G4" s="2290"/>
      <c r="H4" s="3502" t="s">
        <v>448</v>
      </c>
      <c r="I4" s="3502"/>
      <c r="J4" s="3502"/>
    </row>
    <row r="5" spans="1:25" ht="15.5" hidden="1" x14ac:dyDescent="0.35">
      <c r="A5" s="2290"/>
      <c r="B5" s="2290"/>
      <c r="C5" s="2290"/>
      <c r="D5" s="2290"/>
      <c r="E5" s="2290"/>
      <c r="F5" s="2290"/>
      <c r="G5" s="2290"/>
      <c r="H5" s="3502" t="s">
        <v>1201</v>
      </c>
      <c r="I5" s="3502"/>
      <c r="J5" s="3502"/>
    </row>
    <row r="6" spans="1:25" ht="15.5" hidden="1" x14ac:dyDescent="0.35">
      <c r="A6" s="2290"/>
      <c r="B6" s="2290"/>
      <c r="C6" s="2290"/>
      <c r="D6" s="2290"/>
      <c r="E6" s="2290"/>
      <c r="F6" s="2290"/>
      <c r="G6" s="2290"/>
      <c r="H6" s="2328"/>
      <c r="I6" s="2328"/>
      <c r="J6" s="2328"/>
    </row>
    <row r="7" spans="1:25" ht="15.5" x14ac:dyDescent="0.35">
      <c r="A7" s="2290"/>
      <c r="B7" s="2290"/>
      <c r="C7" s="2290"/>
      <c r="D7" s="2290"/>
      <c r="E7" s="2290"/>
      <c r="F7" s="2291"/>
      <c r="G7" s="2290"/>
      <c r="H7" s="2328"/>
      <c r="I7" s="2328"/>
      <c r="J7" s="2329" t="s">
        <v>813</v>
      </c>
    </row>
    <row r="8" spans="1:25" ht="15.5" x14ac:dyDescent="0.35">
      <c r="A8" s="2290"/>
      <c r="B8" s="2290"/>
      <c r="C8" s="2290"/>
      <c r="D8" s="2290"/>
      <c r="E8" s="2290"/>
      <c r="F8" s="2291"/>
      <c r="G8" s="2290"/>
      <c r="H8" s="2328"/>
      <c r="I8" s="2328"/>
      <c r="J8" s="2329" t="s">
        <v>797</v>
      </c>
    </row>
    <row r="9" spans="1:25" ht="15.5" x14ac:dyDescent="0.35">
      <c r="A9" s="2290"/>
      <c r="B9" s="2290"/>
      <c r="C9" s="2290"/>
      <c r="D9" s="2290"/>
      <c r="E9" s="2290"/>
      <c r="F9" s="2291"/>
      <c r="G9" s="2290"/>
      <c r="H9" s="2328"/>
      <c r="I9" s="2330"/>
      <c r="J9" s="2385" t="s">
        <v>449</v>
      </c>
    </row>
    <row r="10" spans="1:25" ht="15.5" x14ac:dyDescent="0.35">
      <c r="A10" s="2290"/>
      <c r="B10" s="2290"/>
      <c r="C10" s="2290"/>
      <c r="D10" s="2290"/>
      <c r="E10" s="2290"/>
      <c r="F10" s="2291"/>
      <c r="G10" s="2290"/>
      <c r="H10" s="2328"/>
      <c r="I10" s="2328"/>
      <c r="J10" s="2385" t="s">
        <v>448</v>
      </c>
    </row>
    <row r="11" spans="1:25" ht="12.65" customHeight="1" x14ac:dyDescent="0.3">
      <c r="A11" s="2290"/>
      <c r="B11" s="2290"/>
      <c r="C11" s="2290"/>
      <c r="D11" s="2290"/>
      <c r="E11" s="2290"/>
      <c r="F11" s="2293"/>
      <c r="G11" s="2290"/>
      <c r="H11" s="3212" t="s">
        <v>1224</v>
      </c>
      <c r="I11" s="3212"/>
      <c r="J11" s="3212"/>
      <c r="K11" s="1824"/>
      <c r="L11" s="1824"/>
      <c r="M11" s="1824"/>
      <c r="N11" s="1824"/>
      <c r="O11" s="1824"/>
      <c r="P11" s="1824"/>
      <c r="Q11" s="1824"/>
      <c r="R11" s="1824"/>
      <c r="S11" s="1824"/>
      <c r="T11" s="1824"/>
      <c r="U11" s="1824"/>
    </row>
    <row r="12" spans="1:25" ht="15.5" hidden="1" x14ac:dyDescent="0.35">
      <c r="A12" s="2290"/>
      <c r="B12" s="2290"/>
      <c r="C12" s="2290"/>
      <c r="D12" s="2290"/>
      <c r="E12" s="2290"/>
      <c r="F12" s="2294"/>
      <c r="G12" s="2290"/>
      <c r="H12" s="2328"/>
      <c r="I12" s="2328"/>
      <c r="J12" s="2328"/>
    </row>
    <row r="13" spans="1:25" ht="18" hidden="1" customHeight="1" x14ac:dyDescent="0.3">
      <c r="A13" s="2290"/>
      <c r="B13" s="2295"/>
      <c r="C13" s="2296"/>
      <c r="D13" s="2297"/>
      <c r="E13" s="2298"/>
      <c r="F13" s="2298"/>
      <c r="G13" s="2298"/>
      <c r="H13" s="2290"/>
      <c r="I13" s="2290"/>
      <c r="J13" s="2290"/>
    </row>
    <row r="14" spans="1:25" ht="24" customHeight="1" x14ac:dyDescent="0.3">
      <c r="A14" s="2290"/>
      <c r="B14" s="3503" t="s">
        <v>983</v>
      </c>
      <c r="C14" s="3503"/>
      <c r="D14" s="3503"/>
      <c r="E14" s="3503"/>
      <c r="F14" s="3503"/>
      <c r="G14" s="3503"/>
      <c r="H14" s="3503"/>
      <c r="I14" s="3503"/>
      <c r="J14" s="3503"/>
    </row>
    <row r="15" spans="1:25" ht="20.149999999999999" customHeight="1" x14ac:dyDescent="0.35">
      <c r="A15" s="3501" t="s">
        <v>869</v>
      </c>
      <c r="B15" s="3501"/>
      <c r="C15" s="3501"/>
      <c r="D15" s="3501"/>
      <c r="E15" s="3501"/>
      <c r="F15" s="3501"/>
      <c r="G15" s="3501"/>
      <c r="H15" s="3501"/>
      <c r="I15" s="3501"/>
      <c r="J15" s="3501"/>
      <c r="K15" s="2253"/>
    </row>
    <row r="16" spans="1:25" ht="15.75" customHeight="1" x14ac:dyDescent="0.35">
      <c r="A16" s="2913" t="s">
        <v>1196</v>
      </c>
      <c r="B16" s="2913"/>
      <c r="C16" s="2913"/>
      <c r="D16" s="2913"/>
      <c r="E16" s="2913"/>
      <c r="F16" s="2913"/>
      <c r="G16" s="2913"/>
      <c r="H16" s="2913"/>
      <c r="I16" s="2913"/>
      <c r="J16" s="2913"/>
      <c r="K16" s="1772"/>
      <c r="L16" s="1772"/>
      <c r="M16" s="1772"/>
      <c r="N16" s="1772"/>
      <c r="O16" s="1772"/>
      <c r="P16" s="1772"/>
      <c r="Q16" s="1772"/>
      <c r="R16" s="1772"/>
      <c r="S16" s="1772"/>
      <c r="T16" s="1772"/>
      <c r="U16" s="1772"/>
      <c r="V16" s="1772"/>
      <c r="W16" s="1772"/>
      <c r="X16" s="1772"/>
      <c r="Y16" s="1772"/>
    </row>
    <row r="17" spans="1:10" ht="18.75" customHeight="1" thickBot="1" x14ac:dyDescent="0.35">
      <c r="A17" s="2290"/>
      <c r="B17" s="2299"/>
      <c r="C17" s="2358"/>
      <c r="D17" s="2358"/>
      <c r="E17" s="2301"/>
      <c r="F17" s="2301"/>
      <c r="G17" s="2302"/>
      <c r="H17" s="2290"/>
      <c r="I17" s="2290"/>
      <c r="J17" s="2302" t="s">
        <v>979</v>
      </c>
    </row>
    <row r="18" spans="1:10" ht="34.5" customHeight="1" x14ac:dyDescent="0.3">
      <c r="A18" s="2290"/>
      <c r="B18" s="2359" t="s">
        <v>611</v>
      </c>
      <c r="C18" s="2360" t="s">
        <v>980</v>
      </c>
      <c r="D18" s="2360" t="s">
        <v>609</v>
      </c>
      <c r="E18" s="2360" t="s">
        <v>608</v>
      </c>
      <c r="F18" s="2360" t="s">
        <v>607</v>
      </c>
      <c r="G18" s="2360" t="s">
        <v>606</v>
      </c>
      <c r="H18" s="2360" t="s">
        <v>982</v>
      </c>
      <c r="I18" s="2360" t="s">
        <v>1042</v>
      </c>
      <c r="J18" s="2361" t="s">
        <v>1205</v>
      </c>
    </row>
    <row r="19" spans="1:10" ht="123" customHeight="1" x14ac:dyDescent="0.3">
      <c r="A19" s="2290"/>
      <c r="B19" s="2362">
        <v>1</v>
      </c>
      <c r="C19" s="2363" t="s">
        <v>987</v>
      </c>
      <c r="D19" s="2364" t="s">
        <v>452</v>
      </c>
      <c r="E19" s="2364" t="s">
        <v>539</v>
      </c>
      <c r="F19" s="2364" t="s">
        <v>214</v>
      </c>
      <c r="G19" s="2364"/>
      <c r="H19" s="2365">
        <f>H21+H23</f>
        <v>1984</v>
      </c>
      <c r="I19" s="2365">
        <f>I21+I23</f>
        <v>1331.5</v>
      </c>
      <c r="J19" s="2366">
        <f>J20</f>
        <v>948.3</v>
      </c>
    </row>
    <row r="20" spans="1:10" s="2254" customFormat="1" ht="55" customHeight="1" x14ac:dyDescent="0.35">
      <c r="A20" s="2311"/>
      <c r="B20" s="2367"/>
      <c r="C20" s="2368" t="s">
        <v>988</v>
      </c>
      <c r="D20" s="2364" t="s">
        <v>452</v>
      </c>
      <c r="E20" s="2364" t="s">
        <v>539</v>
      </c>
      <c r="F20" s="2364" t="s">
        <v>984</v>
      </c>
      <c r="G20" s="2369"/>
      <c r="H20" s="2370">
        <f>H21</f>
        <v>1600.8</v>
      </c>
      <c r="I20" s="2370">
        <f>I21</f>
        <v>948.3</v>
      </c>
      <c r="J20" s="2371">
        <f>J21+J23</f>
        <v>948.3</v>
      </c>
    </row>
    <row r="21" spans="1:10" s="2254" customFormat="1" ht="41.15" customHeight="1" x14ac:dyDescent="0.35">
      <c r="A21" s="2311"/>
      <c r="B21" s="2367"/>
      <c r="C21" s="2368" t="s">
        <v>1211</v>
      </c>
      <c r="D21" s="2364" t="s">
        <v>452</v>
      </c>
      <c r="E21" s="2364" t="s">
        <v>539</v>
      </c>
      <c r="F21" s="2364" t="s">
        <v>984</v>
      </c>
      <c r="G21" s="2372" t="s">
        <v>1</v>
      </c>
      <c r="H21" s="2370">
        <f>948.3+652.5</f>
        <v>1600.8</v>
      </c>
      <c r="I21" s="2370">
        <v>948.3</v>
      </c>
      <c r="J21" s="2371">
        <v>948.3</v>
      </c>
    </row>
    <row r="22" spans="1:10" s="2254" customFormat="1" ht="33.75" customHeight="1" x14ac:dyDescent="0.35">
      <c r="A22" s="2311"/>
      <c r="B22" s="2367"/>
      <c r="C22" s="2368" t="s">
        <v>619</v>
      </c>
      <c r="D22" s="2364" t="s">
        <v>452</v>
      </c>
      <c r="E22" s="2364" t="s">
        <v>539</v>
      </c>
      <c r="F22" s="2364" t="s">
        <v>213</v>
      </c>
      <c r="G22" s="2372"/>
      <c r="H22" s="2370">
        <f>H23</f>
        <v>383.2</v>
      </c>
      <c r="I22" s="2370">
        <f>I23</f>
        <v>383.2</v>
      </c>
      <c r="J22" s="2371">
        <f>J23</f>
        <v>0</v>
      </c>
    </row>
    <row r="23" spans="1:10" s="2254" customFormat="1" ht="52.5" customHeight="1" x14ac:dyDescent="0.35">
      <c r="A23" s="2311"/>
      <c r="B23" s="2367"/>
      <c r="C23" s="2368" t="s">
        <v>1150</v>
      </c>
      <c r="D23" s="2364" t="s">
        <v>452</v>
      </c>
      <c r="E23" s="2364" t="s">
        <v>539</v>
      </c>
      <c r="F23" s="2364" t="s">
        <v>213</v>
      </c>
      <c r="G23" s="2372" t="s">
        <v>1</v>
      </c>
      <c r="H23" s="2370">
        <v>383.2</v>
      </c>
      <c r="I23" s="2370">
        <v>383.2</v>
      </c>
      <c r="J23" s="2371"/>
    </row>
    <row r="24" spans="1:10" s="2254" customFormat="1" ht="52.5" hidden="1" customHeight="1" x14ac:dyDescent="0.35">
      <c r="A24" s="2311"/>
      <c r="B24" s="2373"/>
      <c r="C24" s="2374"/>
      <c r="D24" s="2364" t="s">
        <v>452</v>
      </c>
      <c r="E24" s="2364" t="s">
        <v>539</v>
      </c>
      <c r="F24" s="2364" t="s">
        <v>205</v>
      </c>
      <c r="G24" s="2372" t="s">
        <v>1</v>
      </c>
      <c r="H24" s="2375"/>
      <c r="I24" s="2375"/>
      <c r="J24" s="2376"/>
    </row>
    <row r="25" spans="1:10" ht="30" customHeight="1" thickBot="1" x14ac:dyDescent="0.35">
      <c r="A25" s="2290"/>
      <c r="B25" s="2322"/>
      <c r="C25" s="2323" t="s">
        <v>314</v>
      </c>
      <c r="D25" s="2324"/>
      <c r="E25" s="2325"/>
      <c r="F25" s="2325"/>
      <c r="G25" s="2325"/>
      <c r="H25" s="2377">
        <f>H19</f>
        <v>1984</v>
      </c>
      <c r="I25" s="2377">
        <f>I19</f>
        <v>1331.5</v>
      </c>
      <c r="J25" s="2378">
        <f>J19</f>
        <v>948.3</v>
      </c>
    </row>
    <row r="26" spans="1:10" ht="13" x14ac:dyDescent="0.3">
      <c r="A26" s="2290"/>
      <c r="B26" s="2290"/>
      <c r="C26" s="2290"/>
      <c r="D26" s="2290"/>
      <c r="E26" s="2290"/>
      <c r="F26" s="2290"/>
      <c r="G26" s="2290"/>
      <c r="H26" s="2290"/>
      <c r="I26" s="2290"/>
      <c r="J26" s="2290"/>
    </row>
    <row r="27" spans="1:10" ht="13" x14ac:dyDescent="0.3">
      <c r="A27" s="2290"/>
      <c r="B27" s="2290"/>
      <c r="C27" s="2290"/>
      <c r="D27" s="2290"/>
      <c r="E27" s="2290"/>
      <c r="F27" s="2290"/>
      <c r="G27" s="2290"/>
      <c r="H27" s="2290"/>
      <c r="I27" s="2290"/>
      <c r="J27" s="2290"/>
    </row>
    <row r="28" spans="1:10" x14ac:dyDescent="0.25">
      <c r="E28" s="2255"/>
    </row>
  </sheetData>
  <mergeCells count="9">
    <mergeCell ref="B14:J14"/>
    <mergeCell ref="A15:J15"/>
    <mergeCell ref="A16:J16"/>
    <mergeCell ref="H1:J1"/>
    <mergeCell ref="H2:J2"/>
    <mergeCell ref="H3:J3"/>
    <mergeCell ref="H4:J4"/>
    <mergeCell ref="H5:J5"/>
    <mergeCell ref="H11:J11"/>
  </mergeCells>
  <pageMargins left="0.55118110236220474" right="0.74" top="0.43307086614173229" bottom="0.19685039370078741" header="0.19685039370078741" footer="0.15748031496062992"/>
  <pageSetup paperSize="9" scale="49" orientation="portrait" r:id="rId1"/>
  <colBreaks count="1" manualBreakCount="1">
    <brk id="7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86"/>
  <sheetViews>
    <sheetView topLeftCell="B1" zoomScale="82" zoomScaleNormal="82" workbookViewId="0">
      <selection activeCell="P16" sqref="P16"/>
    </sheetView>
  </sheetViews>
  <sheetFormatPr defaultColWidth="9.1796875" defaultRowHeight="12.5" x14ac:dyDescent="0.25"/>
  <cols>
    <col min="1" max="1" width="7.26953125" style="553" hidden="1" customWidth="1"/>
    <col min="2" max="2" width="41.26953125" style="553" customWidth="1"/>
    <col min="3" max="3" width="11.7265625" style="553" hidden="1" customWidth="1"/>
    <col min="4" max="4" width="11" style="555" customWidth="1"/>
    <col min="5" max="5" width="10.81640625" style="555" customWidth="1"/>
    <col min="6" max="6" width="14" style="553" customWidth="1"/>
    <col min="7" max="7" width="9.1796875" style="553" customWidth="1"/>
    <col min="8" max="8" width="10.1796875" style="557" customWidth="1"/>
    <col min="9" max="10" width="9.1796875" style="553" hidden="1" customWidth="1"/>
    <col min="11" max="256" width="9.1796875" style="553"/>
    <col min="257" max="257" width="0" style="553" hidden="1" customWidth="1"/>
    <col min="258" max="258" width="41.26953125" style="553" customWidth="1"/>
    <col min="259" max="259" width="0" style="553" hidden="1" customWidth="1"/>
    <col min="260" max="260" width="11" style="553" customWidth="1"/>
    <col min="261" max="261" width="10.81640625" style="553" customWidth="1"/>
    <col min="262" max="262" width="14" style="553" customWidth="1"/>
    <col min="263" max="263" width="9.1796875" style="553" customWidth="1"/>
    <col min="264" max="264" width="10.1796875" style="553" customWidth="1"/>
    <col min="265" max="266" width="0" style="553" hidden="1" customWidth="1"/>
    <col min="267" max="512" width="9.1796875" style="553"/>
    <col min="513" max="513" width="0" style="553" hidden="1" customWidth="1"/>
    <col min="514" max="514" width="41.26953125" style="553" customWidth="1"/>
    <col min="515" max="515" width="0" style="553" hidden="1" customWidth="1"/>
    <col min="516" max="516" width="11" style="553" customWidth="1"/>
    <col min="517" max="517" width="10.81640625" style="553" customWidth="1"/>
    <col min="518" max="518" width="14" style="553" customWidth="1"/>
    <col min="519" max="519" width="9.1796875" style="553" customWidth="1"/>
    <col min="520" max="520" width="10.1796875" style="553" customWidth="1"/>
    <col min="521" max="522" width="0" style="553" hidden="1" customWidth="1"/>
    <col min="523" max="768" width="9.1796875" style="553"/>
    <col min="769" max="769" width="0" style="553" hidden="1" customWidth="1"/>
    <col min="770" max="770" width="41.26953125" style="553" customWidth="1"/>
    <col min="771" max="771" width="0" style="553" hidden="1" customWidth="1"/>
    <col min="772" max="772" width="11" style="553" customWidth="1"/>
    <col min="773" max="773" width="10.81640625" style="553" customWidth="1"/>
    <col min="774" max="774" width="14" style="553" customWidth="1"/>
    <col min="775" max="775" width="9.1796875" style="553" customWidth="1"/>
    <col min="776" max="776" width="10.1796875" style="553" customWidth="1"/>
    <col min="777" max="778" width="0" style="553" hidden="1" customWidth="1"/>
    <col min="779" max="1024" width="9.1796875" style="553"/>
    <col min="1025" max="1025" width="0" style="553" hidden="1" customWidth="1"/>
    <col min="1026" max="1026" width="41.26953125" style="553" customWidth="1"/>
    <col min="1027" max="1027" width="0" style="553" hidden="1" customWidth="1"/>
    <col min="1028" max="1028" width="11" style="553" customWidth="1"/>
    <col min="1029" max="1029" width="10.81640625" style="553" customWidth="1"/>
    <col min="1030" max="1030" width="14" style="553" customWidth="1"/>
    <col min="1031" max="1031" width="9.1796875" style="553" customWidth="1"/>
    <col min="1032" max="1032" width="10.1796875" style="553" customWidth="1"/>
    <col min="1033" max="1034" width="0" style="553" hidden="1" customWidth="1"/>
    <col min="1035" max="1280" width="9.1796875" style="553"/>
    <col min="1281" max="1281" width="0" style="553" hidden="1" customWidth="1"/>
    <col min="1282" max="1282" width="41.26953125" style="553" customWidth="1"/>
    <col min="1283" max="1283" width="0" style="553" hidden="1" customWidth="1"/>
    <col min="1284" max="1284" width="11" style="553" customWidth="1"/>
    <col min="1285" max="1285" width="10.81640625" style="553" customWidth="1"/>
    <col min="1286" max="1286" width="14" style="553" customWidth="1"/>
    <col min="1287" max="1287" width="9.1796875" style="553" customWidth="1"/>
    <col min="1288" max="1288" width="10.1796875" style="553" customWidth="1"/>
    <col min="1289" max="1290" width="0" style="553" hidden="1" customWidth="1"/>
    <col min="1291" max="1536" width="9.1796875" style="553"/>
    <col min="1537" max="1537" width="0" style="553" hidden="1" customWidth="1"/>
    <col min="1538" max="1538" width="41.26953125" style="553" customWidth="1"/>
    <col min="1539" max="1539" width="0" style="553" hidden="1" customWidth="1"/>
    <col min="1540" max="1540" width="11" style="553" customWidth="1"/>
    <col min="1541" max="1541" width="10.81640625" style="553" customWidth="1"/>
    <col min="1542" max="1542" width="14" style="553" customWidth="1"/>
    <col min="1543" max="1543" width="9.1796875" style="553" customWidth="1"/>
    <col min="1544" max="1544" width="10.1796875" style="553" customWidth="1"/>
    <col min="1545" max="1546" width="0" style="553" hidden="1" customWidth="1"/>
    <col min="1547" max="1792" width="9.1796875" style="553"/>
    <col min="1793" max="1793" width="0" style="553" hidden="1" customWidth="1"/>
    <col min="1794" max="1794" width="41.26953125" style="553" customWidth="1"/>
    <col min="1795" max="1795" width="0" style="553" hidden="1" customWidth="1"/>
    <col min="1796" max="1796" width="11" style="553" customWidth="1"/>
    <col min="1797" max="1797" width="10.81640625" style="553" customWidth="1"/>
    <col min="1798" max="1798" width="14" style="553" customWidth="1"/>
    <col min="1799" max="1799" width="9.1796875" style="553" customWidth="1"/>
    <col min="1800" max="1800" width="10.1796875" style="553" customWidth="1"/>
    <col min="1801" max="1802" width="0" style="553" hidden="1" customWidth="1"/>
    <col min="1803" max="2048" width="9.1796875" style="553"/>
    <col min="2049" max="2049" width="0" style="553" hidden="1" customWidth="1"/>
    <col min="2050" max="2050" width="41.26953125" style="553" customWidth="1"/>
    <col min="2051" max="2051" width="0" style="553" hidden="1" customWidth="1"/>
    <col min="2052" max="2052" width="11" style="553" customWidth="1"/>
    <col min="2053" max="2053" width="10.81640625" style="553" customWidth="1"/>
    <col min="2054" max="2054" width="14" style="553" customWidth="1"/>
    <col min="2055" max="2055" width="9.1796875" style="553" customWidth="1"/>
    <col min="2056" max="2056" width="10.1796875" style="553" customWidth="1"/>
    <col min="2057" max="2058" width="0" style="553" hidden="1" customWidth="1"/>
    <col min="2059" max="2304" width="9.1796875" style="553"/>
    <col min="2305" max="2305" width="0" style="553" hidden="1" customWidth="1"/>
    <col min="2306" max="2306" width="41.26953125" style="553" customWidth="1"/>
    <col min="2307" max="2307" width="0" style="553" hidden="1" customWidth="1"/>
    <col min="2308" max="2308" width="11" style="553" customWidth="1"/>
    <col min="2309" max="2309" width="10.81640625" style="553" customWidth="1"/>
    <col min="2310" max="2310" width="14" style="553" customWidth="1"/>
    <col min="2311" max="2311" width="9.1796875" style="553" customWidth="1"/>
    <col min="2312" max="2312" width="10.1796875" style="553" customWidth="1"/>
    <col min="2313" max="2314" width="0" style="553" hidden="1" customWidth="1"/>
    <col min="2315" max="2560" width="9.1796875" style="553"/>
    <col min="2561" max="2561" width="0" style="553" hidden="1" customWidth="1"/>
    <col min="2562" max="2562" width="41.26953125" style="553" customWidth="1"/>
    <col min="2563" max="2563" width="0" style="553" hidden="1" customWidth="1"/>
    <col min="2564" max="2564" width="11" style="553" customWidth="1"/>
    <col min="2565" max="2565" width="10.81640625" style="553" customWidth="1"/>
    <col min="2566" max="2566" width="14" style="553" customWidth="1"/>
    <col min="2567" max="2567" width="9.1796875" style="553" customWidth="1"/>
    <col min="2568" max="2568" width="10.1796875" style="553" customWidth="1"/>
    <col min="2569" max="2570" width="0" style="553" hidden="1" customWidth="1"/>
    <col min="2571" max="2816" width="9.1796875" style="553"/>
    <col min="2817" max="2817" width="0" style="553" hidden="1" customWidth="1"/>
    <col min="2818" max="2818" width="41.26953125" style="553" customWidth="1"/>
    <col min="2819" max="2819" width="0" style="553" hidden="1" customWidth="1"/>
    <col min="2820" max="2820" width="11" style="553" customWidth="1"/>
    <col min="2821" max="2821" width="10.81640625" style="553" customWidth="1"/>
    <col min="2822" max="2822" width="14" style="553" customWidth="1"/>
    <col min="2823" max="2823" width="9.1796875" style="553" customWidth="1"/>
    <col min="2824" max="2824" width="10.1796875" style="553" customWidth="1"/>
    <col min="2825" max="2826" width="0" style="553" hidden="1" customWidth="1"/>
    <col min="2827" max="3072" width="9.1796875" style="553"/>
    <col min="3073" max="3073" width="0" style="553" hidden="1" customWidth="1"/>
    <col min="3074" max="3074" width="41.26953125" style="553" customWidth="1"/>
    <col min="3075" max="3075" width="0" style="553" hidden="1" customWidth="1"/>
    <col min="3076" max="3076" width="11" style="553" customWidth="1"/>
    <col min="3077" max="3077" width="10.81640625" style="553" customWidth="1"/>
    <col min="3078" max="3078" width="14" style="553" customWidth="1"/>
    <col min="3079" max="3079" width="9.1796875" style="553" customWidth="1"/>
    <col min="3080" max="3080" width="10.1796875" style="553" customWidth="1"/>
    <col min="3081" max="3082" width="0" style="553" hidden="1" customWidth="1"/>
    <col min="3083" max="3328" width="9.1796875" style="553"/>
    <col min="3329" max="3329" width="0" style="553" hidden="1" customWidth="1"/>
    <col min="3330" max="3330" width="41.26953125" style="553" customWidth="1"/>
    <col min="3331" max="3331" width="0" style="553" hidden="1" customWidth="1"/>
    <col min="3332" max="3332" width="11" style="553" customWidth="1"/>
    <col min="3333" max="3333" width="10.81640625" style="553" customWidth="1"/>
    <col min="3334" max="3334" width="14" style="553" customWidth="1"/>
    <col min="3335" max="3335" width="9.1796875" style="553" customWidth="1"/>
    <col min="3336" max="3336" width="10.1796875" style="553" customWidth="1"/>
    <col min="3337" max="3338" width="0" style="553" hidden="1" customWidth="1"/>
    <col min="3339" max="3584" width="9.1796875" style="553"/>
    <col min="3585" max="3585" width="0" style="553" hidden="1" customWidth="1"/>
    <col min="3586" max="3586" width="41.26953125" style="553" customWidth="1"/>
    <col min="3587" max="3587" width="0" style="553" hidden="1" customWidth="1"/>
    <col min="3588" max="3588" width="11" style="553" customWidth="1"/>
    <col min="3589" max="3589" width="10.81640625" style="553" customWidth="1"/>
    <col min="3590" max="3590" width="14" style="553" customWidth="1"/>
    <col min="3591" max="3591" width="9.1796875" style="553" customWidth="1"/>
    <col min="3592" max="3592" width="10.1796875" style="553" customWidth="1"/>
    <col min="3593" max="3594" width="0" style="553" hidden="1" customWidth="1"/>
    <col min="3595" max="3840" width="9.1796875" style="553"/>
    <col min="3841" max="3841" width="0" style="553" hidden="1" customWidth="1"/>
    <col min="3842" max="3842" width="41.26953125" style="553" customWidth="1"/>
    <col min="3843" max="3843" width="0" style="553" hidden="1" customWidth="1"/>
    <col min="3844" max="3844" width="11" style="553" customWidth="1"/>
    <col min="3845" max="3845" width="10.81640625" style="553" customWidth="1"/>
    <col min="3846" max="3846" width="14" style="553" customWidth="1"/>
    <col min="3847" max="3847" width="9.1796875" style="553" customWidth="1"/>
    <col min="3848" max="3848" width="10.1796875" style="553" customWidth="1"/>
    <col min="3849" max="3850" width="0" style="553" hidden="1" customWidth="1"/>
    <col min="3851" max="4096" width="9.1796875" style="553"/>
    <col min="4097" max="4097" width="0" style="553" hidden="1" customWidth="1"/>
    <col min="4098" max="4098" width="41.26953125" style="553" customWidth="1"/>
    <col min="4099" max="4099" width="0" style="553" hidden="1" customWidth="1"/>
    <col min="4100" max="4100" width="11" style="553" customWidth="1"/>
    <col min="4101" max="4101" width="10.81640625" style="553" customWidth="1"/>
    <col min="4102" max="4102" width="14" style="553" customWidth="1"/>
    <col min="4103" max="4103" width="9.1796875" style="553" customWidth="1"/>
    <col min="4104" max="4104" width="10.1796875" style="553" customWidth="1"/>
    <col min="4105" max="4106" width="0" style="553" hidden="1" customWidth="1"/>
    <col min="4107" max="4352" width="9.1796875" style="553"/>
    <col min="4353" max="4353" width="0" style="553" hidden="1" customWidth="1"/>
    <col min="4354" max="4354" width="41.26953125" style="553" customWidth="1"/>
    <col min="4355" max="4355" width="0" style="553" hidden="1" customWidth="1"/>
    <col min="4356" max="4356" width="11" style="553" customWidth="1"/>
    <col min="4357" max="4357" width="10.81640625" style="553" customWidth="1"/>
    <col min="4358" max="4358" width="14" style="553" customWidth="1"/>
    <col min="4359" max="4359" width="9.1796875" style="553" customWidth="1"/>
    <col min="4360" max="4360" width="10.1796875" style="553" customWidth="1"/>
    <col min="4361" max="4362" width="0" style="553" hidden="1" customWidth="1"/>
    <col min="4363" max="4608" width="9.1796875" style="553"/>
    <col min="4609" max="4609" width="0" style="553" hidden="1" customWidth="1"/>
    <col min="4610" max="4610" width="41.26953125" style="553" customWidth="1"/>
    <col min="4611" max="4611" width="0" style="553" hidden="1" customWidth="1"/>
    <col min="4612" max="4612" width="11" style="553" customWidth="1"/>
    <col min="4613" max="4613" width="10.81640625" style="553" customWidth="1"/>
    <col min="4614" max="4614" width="14" style="553" customWidth="1"/>
    <col min="4615" max="4615" width="9.1796875" style="553" customWidth="1"/>
    <col min="4616" max="4616" width="10.1796875" style="553" customWidth="1"/>
    <col min="4617" max="4618" width="0" style="553" hidden="1" customWidth="1"/>
    <col min="4619" max="4864" width="9.1796875" style="553"/>
    <col min="4865" max="4865" width="0" style="553" hidden="1" customWidth="1"/>
    <col min="4866" max="4866" width="41.26953125" style="553" customWidth="1"/>
    <col min="4867" max="4867" width="0" style="553" hidden="1" customWidth="1"/>
    <col min="4868" max="4868" width="11" style="553" customWidth="1"/>
    <col min="4869" max="4869" width="10.81640625" style="553" customWidth="1"/>
    <col min="4870" max="4870" width="14" style="553" customWidth="1"/>
    <col min="4871" max="4871" width="9.1796875" style="553" customWidth="1"/>
    <col min="4872" max="4872" width="10.1796875" style="553" customWidth="1"/>
    <col min="4873" max="4874" width="0" style="553" hidden="1" customWidth="1"/>
    <col min="4875" max="5120" width="9.1796875" style="553"/>
    <col min="5121" max="5121" width="0" style="553" hidden="1" customWidth="1"/>
    <col min="5122" max="5122" width="41.26953125" style="553" customWidth="1"/>
    <col min="5123" max="5123" width="0" style="553" hidden="1" customWidth="1"/>
    <col min="5124" max="5124" width="11" style="553" customWidth="1"/>
    <col min="5125" max="5125" width="10.81640625" style="553" customWidth="1"/>
    <col min="5126" max="5126" width="14" style="553" customWidth="1"/>
    <col min="5127" max="5127" width="9.1796875" style="553" customWidth="1"/>
    <col min="5128" max="5128" width="10.1796875" style="553" customWidth="1"/>
    <col min="5129" max="5130" width="0" style="553" hidden="1" customWidth="1"/>
    <col min="5131" max="5376" width="9.1796875" style="553"/>
    <col min="5377" max="5377" width="0" style="553" hidden="1" customWidth="1"/>
    <col min="5378" max="5378" width="41.26953125" style="553" customWidth="1"/>
    <col min="5379" max="5379" width="0" style="553" hidden="1" customWidth="1"/>
    <col min="5380" max="5380" width="11" style="553" customWidth="1"/>
    <col min="5381" max="5381" width="10.81640625" style="553" customWidth="1"/>
    <col min="5382" max="5382" width="14" style="553" customWidth="1"/>
    <col min="5383" max="5383" width="9.1796875" style="553" customWidth="1"/>
    <col min="5384" max="5384" width="10.1796875" style="553" customWidth="1"/>
    <col min="5385" max="5386" width="0" style="553" hidden="1" customWidth="1"/>
    <col min="5387" max="5632" width="9.1796875" style="553"/>
    <col min="5633" max="5633" width="0" style="553" hidden="1" customWidth="1"/>
    <col min="5634" max="5634" width="41.26953125" style="553" customWidth="1"/>
    <col min="5635" max="5635" width="0" style="553" hidden="1" customWidth="1"/>
    <col min="5636" max="5636" width="11" style="553" customWidth="1"/>
    <col min="5637" max="5637" width="10.81640625" style="553" customWidth="1"/>
    <col min="5638" max="5638" width="14" style="553" customWidth="1"/>
    <col min="5639" max="5639" width="9.1796875" style="553" customWidth="1"/>
    <col min="5640" max="5640" width="10.1796875" style="553" customWidth="1"/>
    <col min="5641" max="5642" width="0" style="553" hidden="1" customWidth="1"/>
    <col min="5643" max="5888" width="9.1796875" style="553"/>
    <col min="5889" max="5889" width="0" style="553" hidden="1" customWidth="1"/>
    <col min="5890" max="5890" width="41.26953125" style="553" customWidth="1"/>
    <col min="5891" max="5891" width="0" style="553" hidden="1" customWidth="1"/>
    <col min="5892" max="5892" width="11" style="553" customWidth="1"/>
    <col min="5893" max="5893" width="10.81640625" style="553" customWidth="1"/>
    <col min="5894" max="5894" width="14" style="553" customWidth="1"/>
    <col min="5895" max="5895" width="9.1796875" style="553" customWidth="1"/>
    <col min="5896" max="5896" width="10.1796875" style="553" customWidth="1"/>
    <col min="5897" max="5898" width="0" style="553" hidden="1" customWidth="1"/>
    <col min="5899" max="6144" width="9.1796875" style="553"/>
    <col min="6145" max="6145" width="0" style="553" hidden="1" customWidth="1"/>
    <col min="6146" max="6146" width="41.26953125" style="553" customWidth="1"/>
    <col min="6147" max="6147" width="0" style="553" hidden="1" customWidth="1"/>
    <col min="6148" max="6148" width="11" style="553" customWidth="1"/>
    <col min="6149" max="6149" width="10.81640625" style="553" customWidth="1"/>
    <col min="6150" max="6150" width="14" style="553" customWidth="1"/>
    <col min="6151" max="6151" width="9.1796875" style="553" customWidth="1"/>
    <col min="6152" max="6152" width="10.1796875" style="553" customWidth="1"/>
    <col min="6153" max="6154" width="0" style="553" hidden="1" customWidth="1"/>
    <col min="6155" max="6400" width="9.1796875" style="553"/>
    <col min="6401" max="6401" width="0" style="553" hidden="1" customWidth="1"/>
    <col min="6402" max="6402" width="41.26953125" style="553" customWidth="1"/>
    <col min="6403" max="6403" width="0" style="553" hidden="1" customWidth="1"/>
    <col min="6404" max="6404" width="11" style="553" customWidth="1"/>
    <col min="6405" max="6405" width="10.81640625" style="553" customWidth="1"/>
    <col min="6406" max="6406" width="14" style="553" customWidth="1"/>
    <col min="6407" max="6407" width="9.1796875" style="553" customWidth="1"/>
    <col min="6408" max="6408" width="10.1796875" style="553" customWidth="1"/>
    <col min="6409" max="6410" width="0" style="553" hidden="1" customWidth="1"/>
    <col min="6411" max="6656" width="9.1796875" style="553"/>
    <col min="6657" max="6657" width="0" style="553" hidden="1" customWidth="1"/>
    <col min="6658" max="6658" width="41.26953125" style="553" customWidth="1"/>
    <col min="6659" max="6659" width="0" style="553" hidden="1" customWidth="1"/>
    <col min="6660" max="6660" width="11" style="553" customWidth="1"/>
    <col min="6661" max="6661" width="10.81640625" style="553" customWidth="1"/>
    <col min="6662" max="6662" width="14" style="553" customWidth="1"/>
    <col min="6663" max="6663" width="9.1796875" style="553" customWidth="1"/>
    <col min="6664" max="6664" width="10.1796875" style="553" customWidth="1"/>
    <col min="6665" max="6666" width="0" style="553" hidden="1" customWidth="1"/>
    <col min="6667" max="6912" width="9.1796875" style="553"/>
    <col min="6913" max="6913" width="0" style="553" hidden="1" customWidth="1"/>
    <col min="6914" max="6914" width="41.26953125" style="553" customWidth="1"/>
    <col min="6915" max="6915" width="0" style="553" hidden="1" customWidth="1"/>
    <col min="6916" max="6916" width="11" style="553" customWidth="1"/>
    <col min="6917" max="6917" width="10.81640625" style="553" customWidth="1"/>
    <col min="6918" max="6918" width="14" style="553" customWidth="1"/>
    <col min="6919" max="6919" width="9.1796875" style="553" customWidth="1"/>
    <col min="6920" max="6920" width="10.1796875" style="553" customWidth="1"/>
    <col min="6921" max="6922" width="0" style="553" hidden="1" customWidth="1"/>
    <col min="6923" max="7168" width="9.1796875" style="553"/>
    <col min="7169" max="7169" width="0" style="553" hidden="1" customWidth="1"/>
    <col min="7170" max="7170" width="41.26953125" style="553" customWidth="1"/>
    <col min="7171" max="7171" width="0" style="553" hidden="1" customWidth="1"/>
    <col min="7172" max="7172" width="11" style="553" customWidth="1"/>
    <col min="7173" max="7173" width="10.81640625" style="553" customWidth="1"/>
    <col min="7174" max="7174" width="14" style="553" customWidth="1"/>
    <col min="7175" max="7175" width="9.1796875" style="553" customWidth="1"/>
    <col min="7176" max="7176" width="10.1796875" style="553" customWidth="1"/>
    <col min="7177" max="7178" width="0" style="553" hidden="1" customWidth="1"/>
    <col min="7179" max="7424" width="9.1796875" style="553"/>
    <col min="7425" max="7425" width="0" style="553" hidden="1" customWidth="1"/>
    <col min="7426" max="7426" width="41.26953125" style="553" customWidth="1"/>
    <col min="7427" max="7427" width="0" style="553" hidden="1" customWidth="1"/>
    <col min="7428" max="7428" width="11" style="553" customWidth="1"/>
    <col min="7429" max="7429" width="10.81640625" style="553" customWidth="1"/>
    <col min="7430" max="7430" width="14" style="553" customWidth="1"/>
    <col min="7431" max="7431" width="9.1796875" style="553" customWidth="1"/>
    <col min="7432" max="7432" width="10.1796875" style="553" customWidth="1"/>
    <col min="7433" max="7434" width="0" style="553" hidden="1" customWidth="1"/>
    <col min="7435" max="7680" width="9.1796875" style="553"/>
    <col min="7681" max="7681" width="0" style="553" hidden="1" customWidth="1"/>
    <col min="7682" max="7682" width="41.26953125" style="553" customWidth="1"/>
    <col min="7683" max="7683" width="0" style="553" hidden="1" customWidth="1"/>
    <col min="7684" max="7684" width="11" style="553" customWidth="1"/>
    <col min="7685" max="7685" width="10.81640625" style="553" customWidth="1"/>
    <col min="7686" max="7686" width="14" style="553" customWidth="1"/>
    <col min="7687" max="7687" width="9.1796875" style="553" customWidth="1"/>
    <col min="7688" max="7688" width="10.1796875" style="553" customWidth="1"/>
    <col min="7689" max="7690" width="0" style="553" hidden="1" customWidth="1"/>
    <col min="7691" max="7936" width="9.1796875" style="553"/>
    <col min="7937" max="7937" width="0" style="553" hidden="1" customWidth="1"/>
    <col min="7938" max="7938" width="41.26953125" style="553" customWidth="1"/>
    <col min="7939" max="7939" width="0" style="553" hidden="1" customWidth="1"/>
    <col min="7940" max="7940" width="11" style="553" customWidth="1"/>
    <col min="7941" max="7941" width="10.81640625" style="553" customWidth="1"/>
    <col min="7942" max="7942" width="14" style="553" customWidth="1"/>
    <col min="7943" max="7943" width="9.1796875" style="553" customWidth="1"/>
    <col min="7944" max="7944" width="10.1796875" style="553" customWidth="1"/>
    <col min="7945" max="7946" width="0" style="553" hidden="1" customWidth="1"/>
    <col min="7947" max="8192" width="9.1796875" style="553"/>
    <col min="8193" max="8193" width="0" style="553" hidden="1" customWidth="1"/>
    <col min="8194" max="8194" width="41.26953125" style="553" customWidth="1"/>
    <col min="8195" max="8195" width="0" style="553" hidden="1" customWidth="1"/>
    <col min="8196" max="8196" width="11" style="553" customWidth="1"/>
    <col min="8197" max="8197" width="10.81640625" style="553" customWidth="1"/>
    <col min="8198" max="8198" width="14" style="553" customWidth="1"/>
    <col min="8199" max="8199" width="9.1796875" style="553" customWidth="1"/>
    <col min="8200" max="8200" width="10.1796875" style="553" customWidth="1"/>
    <col min="8201" max="8202" width="0" style="553" hidden="1" customWidth="1"/>
    <col min="8203" max="8448" width="9.1796875" style="553"/>
    <col min="8449" max="8449" width="0" style="553" hidden="1" customWidth="1"/>
    <col min="8450" max="8450" width="41.26953125" style="553" customWidth="1"/>
    <col min="8451" max="8451" width="0" style="553" hidden="1" customWidth="1"/>
    <col min="8452" max="8452" width="11" style="553" customWidth="1"/>
    <col min="8453" max="8453" width="10.81640625" style="553" customWidth="1"/>
    <col min="8454" max="8454" width="14" style="553" customWidth="1"/>
    <col min="8455" max="8455" width="9.1796875" style="553" customWidth="1"/>
    <col min="8456" max="8456" width="10.1796875" style="553" customWidth="1"/>
    <col min="8457" max="8458" width="0" style="553" hidden="1" customWidth="1"/>
    <col min="8459" max="8704" width="9.1796875" style="553"/>
    <col min="8705" max="8705" width="0" style="553" hidden="1" customWidth="1"/>
    <col min="8706" max="8706" width="41.26953125" style="553" customWidth="1"/>
    <col min="8707" max="8707" width="0" style="553" hidden="1" customWidth="1"/>
    <col min="8708" max="8708" width="11" style="553" customWidth="1"/>
    <col min="8709" max="8709" width="10.81640625" style="553" customWidth="1"/>
    <col min="8710" max="8710" width="14" style="553" customWidth="1"/>
    <col min="8711" max="8711" width="9.1796875" style="553" customWidth="1"/>
    <col min="8712" max="8712" width="10.1796875" style="553" customWidth="1"/>
    <col min="8713" max="8714" width="0" style="553" hidden="1" customWidth="1"/>
    <col min="8715" max="8960" width="9.1796875" style="553"/>
    <col min="8961" max="8961" width="0" style="553" hidden="1" customWidth="1"/>
    <col min="8962" max="8962" width="41.26953125" style="553" customWidth="1"/>
    <col min="8963" max="8963" width="0" style="553" hidden="1" customWidth="1"/>
    <col min="8964" max="8964" width="11" style="553" customWidth="1"/>
    <col min="8965" max="8965" width="10.81640625" style="553" customWidth="1"/>
    <col min="8966" max="8966" width="14" style="553" customWidth="1"/>
    <col min="8967" max="8967" width="9.1796875" style="553" customWidth="1"/>
    <col min="8968" max="8968" width="10.1796875" style="553" customWidth="1"/>
    <col min="8969" max="8970" width="0" style="553" hidden="1" customWidth="1"/>
    <col min="8971" max="9216" width="9.1796875" style="553"/>
    <col min="9217" max="9217" width="0" style="553" hidden="1" customWidth="1"/>
    <col min="9218" max="9218" width="41.26953125" style="553" customWidth="1"/>
    <col min="9219" max="9219" width="0" style="553" hidden="1" customWidth="1"/>
    <col min="9220" max="9220" width="11" style="553" customWidth="1"/>
    <col min="9221" max="9221" width="10.81640625" style="553" customWidth="1"/>
    <col min="9222" max="9222" width="14" style="553" customWidth="1"/>
    <col min="9223" max="9223" width="9.1796875" style="553" customWidth="1"/>
    <col min="9224" max="9224" width="10.1796875" style="553" customWidth="1"/>
    <col min="9225" max="9226" width="0" style="553" hidden="1" customWidth="1"/>
    <col min="9227" max="9472" width="9.1796875" style="553"/>
    <col min="9473" max="9473" width="0" style="553" hidden="1" customWidth="1"/>
    <col min="9474" max="9474" width="41.26953125" style="553" customWidth="1"/>
    <col min="9475" max="9475" width="0" style="553" hidden="1" customWidth="1"/>
    <col min="9476" max="9476" width="11" style="553" customWidth="1"/>
    <col min="9477" max="9477" width="10.81640625" style="553" customWidth="1"/>
    <col min="9478" max="9478" width="14" style="553" customWidth="1"/>
    <col min="9479" max="9479" width="9.1796875" style="553" customWidth="1"/>
    <col min="9480" max="9480" width="10.1796875" style="553" customWidth="1"/>
    <col min="9481" max="9482" width="0" style="553" hidden="1" customWidth="1"/>
    <col min="9483" max="9728" width="9.1796875" style="553"/>
    <col min="9729" max="9729" width="0" style="553" hidden="1" customWidth="1"/>
    <col min="9730" max="9730" width="41.26953125" style="553" customWidth="1"/>
    <col min="9731" max="9731" width="0" style="553" hidden="1" customWidth="1"/>
    <col min="9732" max="9732" width="11" style="553" customWidth="1"/>
    <col min="9733" max="9733" width="10.81640625" style="553" customWidth="1"/>
    <col min="9734" max="9734" width="14" style="553" customWidth="1"/>
    <col min="9735" max="9735" width="9.1796875" style="553" customWidth="1"/>
    <col min="9736" max="9736" width="10.1796875" style="553" customWidth="1"/>
    <col min="9737" max="9738" width="0" style="553" hidden="1" customWidth="1"/>
    <col min="9739" max="9984" width="9.1796875" style="553"/>
    <col min="9985" max="9985" width="0" style="553" hidden="1" customWidth="1"/>
    <col min="9986" max="9986" width="41.26953125" style="553" customWidth="1"/>
    <col min="9987" max="9987" width="0" style="553" hidden="1" customWidth="1"/>
    <col min="9988" max="9988" width="11" style="553" customWidth="1"/>
    <col min="9989" max="9989" width="10.81640625" style="553" customWidth="1"/>
    <col min="9990" max="9990" width="14" style="553" customWidth="1"/>
    <col min="9991" max="9991" width="9.1796875" style="553" customWidth="1"/>
    <col min="9992" max="9992" width="10.1796875" style="553" customWidth="1"/>
    <col min="9993" max="9994" width="0" style="553" hidden="1" customWidth="1"/>
    <col min="9995" max="10240" width="9.1796875" style="553"/>
    <col min="10241" max="10241" width="0" style="553" hidden="1" customWidth="1"/>
    <col min="10242" max="10242" width="41.26953125" style="553" customWidth="1"/>
    <col min="10243" max="10243" width="0" style="553" hidden="1" customWidth="1"/>
    <col min="10244" max="10244" width="11" style="553" customWidth="1"/>
    <col min="10245" max="10245" width="10.81640625" style="553" customWidth="1"/>
    <col min="10246" max="10246" width="14" style="553" customWidth="1"/>
    <col min="10247" max="10247" width="9.1796875" style="553" customWidth="1"/>
    <col min="10248" max="10248" width="10.1796875" style="553" customWidth="1"/>
    <col min="10249" max="10250" width="0" style="553" hidden="1" customWidth="1"/>
    <col min="10251" max="10496" width="9.1796875" style="553"/>
    <col min="10497" max="10497" width="0" style="553" hidden="1" customWidth="1"/>
    <col min="10498" max="10498" width="41.26953125" style="553" customWidth="1"/>
    <col min="10499" max="10499" width="0" style="553" hidden="1" customWidth="1"/>
    <col min="10500" max="10500" width="11" style="553" customWidth="1"/>
    <col min="10501" max="10501" width="10.81640625" style="553" customWidth="1"/>
    <col min="10502" max="10502" width="14" style="553" customWidth="1"/>
    <col min="10503" max="10503" width="9.1796875" style="553" customWidth="1"/>
    <col min="10504" max="10504" width="10.1796875" style="553" customWidth="1"/>
    <col min="10505" max="10506" width="0" style="553" hidden="1" customWidth="1"/>
    <col min="10507" max="10752" width="9.1796875" style="553"/>
    <col min="10753" max="10753" width="0" style="553" hidden="1" customWidth="1"/>
    <col min="10754" max="10754" width="41.26953125" style="553" customWidth="1"/>
    <col min="10755" max="10755" width="0" style="553" hidden="1" customWidth="1"/>
    <col min="10756" max="10756" width="11" style="553" customWidth="1"/>
    <col min="10757" max="10757" width="10.81640625" style="553" customWidth="1"/>
    <col min="10758" max="10758" width="14" style="553" customWidth="1"/>
    <col min="10759" max="10759" width="9.1796875" style="553" customWidth="1"/>
    <col min="10760" max="10760" width="10.1796875" style="553" customWidth="1"/>
    <col min="10761" max="10762" width="0" style="553" hidden="1" customWidth="1"/>
    <col min="10763" max="11008" width="9.1796875" style="553"/>
    <col min="11009" max="11009" width="0" style="553" hidden="1" customWidth="1"/>
    <col min="11010" max="11010" width="41.26953125" style="553" customWidth="1"/>
    <col min="11011" max="11011" width="0" style="553" hidden="1" customWidth="1"/>
    <col min="11012" max="11012" width="11" style="553" customWidth="1"/>
    <col min="11013" max="11013" width="10.81640625" style="553" customWidth="1"/>
    <col min="11014" max="11014" width="14" style="553" customWidth="1"/>
    <col min="11015" max="11015" width="9.1796875" style="553" customWidth="1"/>
    <col min="11016" max="11016" width="10.1796875" style="553" customWidth="1"/>
    <col min="11017" max="11018" width="0" style="553" hidden="1" customWidth="1"/>
    <col min="11019" max="11264" width="9.1796875" style="553"/>
    <col min="11265" max="11265" width="0" style="553" hidden="1" customWidth="1"/>
    <col min="11266" max="11266" width="41.26953125" style="553" customWidth="1"/>
    <col min="11267" max="11267" width="0" style="553" hidden="1" customWidth="1"/>
    <col min="11268" max="11268" width="11" style="553" customWidth="1"/>
    <col min="11269" max="11269" width="10.81640625" style="553" customWidth="1"/>
    <col min="11270" max="11270" width="14" style="553" customWidth="1"/>
    <col min="11271" max="11271" width="9.1796875" style="553" customWidth="1"/>
    <col min="11272" max="11272" width="10.1796875" style="553" customWidth="1"/>
    <col min="11273" max="11274" width="0" style="553" hidden="1" customWidth="1"/>
    <col min="11275" max="11520" width="9.1796875" style="553"/>
    <col min="11521" max="11521" width="0" style="553" hidden="1" customWidth="1"/>
    <col min="11522" max="11522" width="41.26953125" style="553" customWidth="1"/>
    <col min="11523" max="11523" width="0" style="553" hidden="1" customWidth="1"/>
    <col min="11524" max="11524" width="11" style="553" customWidth="1"/>
    <col min="11525" max="11525" width="10.81640625" style="553" customWidth="1"/>
    <col min="11526" max="11526" width="14" style="553" customWidth="1"/>
    <col min="11527" max="11527" width="9.1796875" style="553" customWidth="1"/>
    <col min="11528" max="11528" width="10.1796875" style="553" customWidth="1"/>
    <col min="11529" max="11530" width="0" style="553" hidden="1" customWidth="1"/>
    <col min="11531" max="11776" width="9.1796875" style="553"/>
    <col min="11777" max="11777" width="0" style="553" hidden="1" customWidth="1"/>
    <col min="11778" max="11778" width="41.26953125" style="553" customWidth="1"/>
    <col min="11779" max="11779" width="0" style="553" hidden="1" customWidth="1"/>
    <col min="11780" max="11780" width="11" style="553" customWidth="1"/>
    <col min="11781" max="11781" width="10.81640625" style="553" customWidth="1"/>
    <col min="11782" max="11782" width="14" style="553" customWidth="1"/>
    <col min="11783" max="11783" width="9.1796875" style="553" customWidth="1"/>
    <col min="11784" max="11784" width="10.1796875" style="553" customWidth="1"/>
    <col min="11785" max="11786" width="0" style="553" hidden="1" customWidth="1"/>
    <col min="11787" max="12032" width="9.1796875" style="553"/>
    <col min="12033" max="12033" width="0" style="553" hidden="1" customWidth="1"/>
    <col min="12034" max="12034" width="41.26953125" style="553" customWidth="1"/>
    <col min="12035" max="12035" width="0" style="553" hidden="1" customWidth="1"/>
    <col min="12036" max="12036" width="11" style="553" customWidth="1"/>
    <col min="12037" max="12037" width="10.81640625" style="553" customWidth="1"/>
    <col min="12038" max="12038" width="14" style="553" customWidth="1"/>
    <col min="12039" max="12039" width="9.1796875" style="553" customWidth="1"/>
    <col min="12040" max="12040" width="10.1796875" style="553" customWidth="1"/>
    <col min="12041" max="12042" width="0" style="553" hidden="1" customWidth="1"/>
    <col min="12043" max="12288" width="9.1796875" style="553"/>
    <col min="12289" max="12289" width="0" style="553" hidden="1" customWidth="1"/>
    <col min="12290" max="12290" width="41.26953125" style="553" customWidth="1"/>
    <col min="12291" max="12291" width="0" style="553" hidden="1" customWidth="1"/>
    <col min="12292" max="12292" width="11" style="553" customWidth="1"/>
    <col min="12293" max="12293" width="10.81640625" style="553" customWidth="1"/>
    <col min="12294" max="12294" width="14" style="553" customWidth="1"/>
    <col min="12295" max="12295" width="9.1796875" style="553" customWidth="1"/>
    <col min="12296" max="12296" width="10.1796875" style="553" customWidth="1"/>
    <col min="12297" max="12298" width="0" style="553" hidden="1" customWidth="1"/>
    <col min="12299" max="12544" width="9.1796875" style="553"/>
    <col min="12545" max="12545" width="0" style="553" hidden="1" customWidth="1"/>
    <col min="12546" max="12546" width="41.26953125" style="553" customWidth="1"/>
    <col min="12547" max="12547" width="0" style="553" hidden="1" customWidth="1"/>
    <col min="12548" max="12548" width="11" style="553" customWidth="1"/>
    <col min="12549" max="12549" width="10.81640625" style="553" customWidth="1"/>
    <col min="12550" max="12550" width="14" style="553" customWidth="1"/>
    <col min="12551" max="12551" width="9.1796875" style="553" customWidth="1"/>
    <col min="12552" max="12552" width="10.1796875" style="553" customWidth="1"/>
    <col min="12553" max="12554" width="0" style="553" hidden="1" customWidth="1"/>
    <col min="12555" max="12800" width="9.1796875" style="553"/>
    <col min="12801" max="12801" width="0" style="553" hidden="1" customWidth="1"/>
    <col min="12802" max="12802" width="41.26953125" style="553" customWidth="1"/>
    <col min="12803" max="12803" width="0" style="553" hidden="1" customWidth="1"/>
    <col min="12804" max="12804" width="11" style="553" customWidth="1"/>
    <col min="12805" max="12805" width="10.81640625" style="553" customWidth="1"/>
    <col min="12806" max="12806" width="14" style="553" customWidth="1"/>
    <col min="12807" max="12807" width="9.1796875" style="553" customWidth="1"/>
    <col min="12808" max="12808" width="10.1796875" style="553" customWidth="1"/>
    <col min="12809" max="12810" width="0" style="553" hidden="1" customWidth="1"/>
    <col min="12811" max="13056" width="9.1796875" style="553"/>
    <col min="13057" max="13057" width="0" style="553" hidden="1" customWidth="1"/>
    <col min="13058" max="13058" width="41.26953125" style="553" customWidth="1"/>
    <col min="13059" max="13059" width="0" style="553" hidden="1" customWidth="1"/>
    <col min="13060" max="13060" width="11" style="553" customWidth="1"/>
    <col min="13061" max="13061" width="10.81640625" style="553" customWidth="1"/>
    <col min="13062" max="13062" width="14" style="553" customWidth="1"/>
    <col min="13063" max="13063" width="9.1796875" style="553" customWidth="1"/>
    <col min="13064" max="13064" width="10.1796875" style="553" customWidth="1"/>
    <col min="13065" max="13066" width="0" style="553" hidden="1" customWidth="1"/>
    <col min="13067" max="13312" width="9.1796875" style="553"/>
    <col min="13313" max="13313" width="0" style="553" hidden="1" customWidth="1"/>
    <col min="13314" max="13314" width="41.26953125" style="553" customWidth="1"/>
    <col min="13315" max="13315" width="0" style="553" hidden="1" customWidth="1"/>
    <col min="13316" max="13316" width="11" style="553" customWidth="1"/>
    <col min="13317" max="13317" width="10.81640625" style="553" customWidth="1"/>
    <col min="13318" max="13318" width="14" style="553" customWidth="1"/>
    <col min="13319" max="13319" width="9.1796875" style="553" customWidth="1"/>
    <col min="13320" max="13320" width="10.1796875" style="553" customWidth="1"/>
    <col min="13321" max="13322" width="0" style="553" hidden="1" customWidth="1"/>
    <col min="13323" max="13568" width="9.1796875" style="553"/>
    <col min="13569" max="13569" width="0" style="553" hidden="1" customWidth="1"/>
    <col min="13570" max="13570" width="41.26953125" style="553" customWidth="1"/>
    <col min="13571" max="13571" width="0" style="553" hidden="1" customWidth="1"/>
    <col min="13572" max="13572" width="11" style="553" customWidth="1"/>
    <col min="13573" max="13573" width="10.81640625" style="553" customWidth="1"/>
    <col min="13574" max="13574" width="14" style="553" customWidth="1"/>
    <col min="13575" max="13575" width="9.1796875" style="553" customWidth="1"/>
    <col min="13576" max="13576" width="10.1796875" style="553" customWidth="1"/>
    <col min="13577" max="13578" width="0" style="553" hidden="1" customWidth="1"/>
    <col min="13579" max="13824" width="9.1796875" style="553"/>
    <col min="13825" max="13825" width="0" style="553" hidden="1" customWidth="1"/>
    <col min="13826" max="13826" width="41.26953125" style="553" customWidth="1"/>
    <col min="13827" max="13827" width="0" style="553" hidden="1" customWidth="1"/>
    <col min="13828" max="13828" width="11" style="553" customWidth="1"/>
    <col min="13829" max="13829" width="10.81640625" style="553" customWidth="1"/>
    <col min="13830" max="13830" width="14" style="553" customWidth="1"/>
    <col min="13831" max="13831" width="9.1796875" style="553" customWidth="1"/>
    <col min="13832" max="13832" width="10.1796875" style="553" customWidth="1"/>
    <col min="13833" max="13834" width="0" style="553" hidden="1" customWidth="1"/>
    <col min="13835" max="14080" width="9.1796875" style="553"/>
    <col min="14081" max="14081" width="0" style="553" hidden="1" customWidth="1"/>
    <col min="14082" max="14082" width="41.26953125" style="553" customWidth="1"/>
    <col min="14083" max="14083" width="0" style="553" hidden="1" customWidth="1"/>
    <col min="14084" max="14084" width="11" style="553" customWidth="1"/>
    <col min="14085" max="14085" width="10.81640625" style="553" customWidth="1"/>
    <col min="14086" max="14086" width="14" style="553" customWidth="1"/>
    <col min="14087" max="14087" width="9.1796875" style="553" customWidth="1"/>
    <col min="14088" max="14088" width="10.1796875" style="553" customWidth="1"/>
    <col min="14089" max="14090" width="0" style="553" hidden="1" customWidth="1"/>
    <col min="14091" max="14336" width="9.1796875" style="553"/>
    <col min="14337" max="14337" width="0" style="553" hidden="1" customWidth="1"/>
    <col min="14338" max="14338" width="41.26953125" style="553" customWidth="1"/>
    <col min="14339" max="14339" width="0" style="553" hidden="1" customWidth="1"/>
    <col min="14340" max="14340" width="11" style="553" customWidth="1"/>
    <col min="14341" max="14341" width="10.81640625" style="553" customWidth="1"/>
    <col min="14342" max="14342" width="14" style="553" customWidth="1"/>
    <col min="14343" max="14343" width="9.1796875" style="553" customWidth="1"/>
    <col min="14344" max="14344" width="10.1796875" style="553" customWidth="1"/>
    <col min="14345" max="14346" width="0" style="553" hidden="1" customWidth="1"/>
    <col min="14347" max="14592" width="9.1796875" style="553"/>
    <col min="14593" max="14593" width="0" style="553" hidden="1" customWidth="1"/>
    <col min="14594" max="14594" width="41.26953125" style="553" customWidth="1"/>
    <col min="14595" max="14595" width="0" style="553" hidden="1" customWidth="1"/>
    <col min="14596" max="14596" width="11" style="553" customWidth="1"/>
    <col min="14597" max="14597" width="10.81640625" style="553" customWidth="1"/>
    <col min="14598" max="14598" width="14" style="553" customWidth="1"/>
    <col min="14599" max="14599" width="9.1796875" style="553" customWidth="1"/>
    <col min="14600" max="14600" width="10.1796875" style="553" customWidth="1"/>
    <col min="14601" max="14602" width="0" style="553" hidden="1" customWidth="1"/>
    <col min="14603" max="14848" width="9.1796875" style="553"/>
    <col min="14849" max="14849" width="0" style="553" hidden="1" customWidth="1"/>
    <col min="14850" max="14850" width="41.26953125" style="553" customWidth="1"/>
    <col min="14851" max="14851" width="0" style="553" hidden="1" customWidth="1"/>
    <col min="14852" max="14852" width="11" style="553" customWidth="1"/>
    <col min="14853" max="14853" width="10.81640625" style="553" customWidth="1"/>
    <col min="14854" max="14854" width="14" style="553" customWidth="1"/>
    <col min="14855" max="14855" width="9.1796875" style="553" customWidth="1"/>
    <col min="14856" max="14856" width="10.1796875" style="553" customWidth="1"/>
    <col min="14857" max="14858" width="0" style="553" hidden="1" customWidth="1"/>
    <col min="14859" max="15104" width="9.1796875" style="553"/>
    <col min="15105" max="15105" width="0" style="553" hidden="1" customWidth="1"/>
    <col min="15106" max="15106" width="41.26953125" style="553" customWidth="1"/>
    <col min="15107" max="15107" width="0" style="553" hidden="1" customWidth="1"/>
    <col min="15108" max="15108" width="11" style="553" customWidth="1"/>
    <col min="15109" max="15109" width="10.81640625" style="553" customWidth="1"/>
    <col min="15110" max="15110" width="14" style="553" customWidth="1"/>
    <col min="15111" max="15111" width="9.1796875" style="553" customWidth="1"/>
    <col min="15112" max="15112" width="10.1796875" style="553" customWidth="1"/>
    <col min="15113" max="15114" width="0" style="553" hidden="1" customWidth="1"/>
    <col min="15115" max="15360" width="9.1796875" style="553"/>
    <col min="15361" max="15361" width="0" style="553" hidden="1" customWidth="1"/>
    <col min="15362" max="15362" width="41.26953125" style="553" customWidth="1"/>
    <col min="15363" max="15363" width="0" style="553" hidden="1" customWidth="1"/>
    <col min="15364" max="15364" width="11" style="553" customWidth="1"/>
    <col min="15365" max="15365" width="10.81640625" style="553" customWidth="1"/>
    <col min="15366" max="15366" width="14" style="553" customWidth="1"/>
    <col min="15367" max="15367" width="9.1796875" style="553" customWidth="1"/>
    <col min="15368" max="15368" width="10.1796875" style="553" customWidth="1"/>
    <col min="15369" max="15370" width="0" style="553" hidden="1" customWidth="1"/>
    <col min="15371" max="15616" width="9.1796875" style="553"/>
    <col min="15617" max="15617" width="0" style="553" hidden="1" customWidth="1"/>
    <col min="15618" max="15618" width="41.26953125" style="553" customWidth="1"/>
    <col min="15619" max="15619" width="0" style="553" hidden="1" customWidth="1"/>
    <col min="15620" max="15620" width="11" style="553" customWidth="1"/>
    <col min="15621" max="15621" width="10.81640625" style="553" customWidth="1"/>
    <col min="15622" max="15622" width="14" style="553" customWidth="1"/>
    <col min="15623" max="15623" width="9.1796875" style="553" customWidth="1"/>
    <col min="15624" max="15624" width="10.1796875" style="553" customWidth="1"/>
    <col min="15625" max="15626" width="0" style="553" hidden="1" customWidth="1"/>
    <col min="15627" max="15872" width="9.1796875" style="553"/>
    <col min="15873" max="15873" width="0" style="553" hidden="1" customWidth="1"/>
    <col min="15874" max="15874" width="41.26953125" style="553" customWidth="1"/>
    <col min="15875" max="15875" width="0" style="553" hidden="1" customWidth="1"/>
    <col min="15876" max="15876" width="11" style="553" customWidth="1"/>
    <col min="15877" max="15877" width="10.81640625" style="553" customWidth="1"/>
    <col min="15878" max="15878" width="14" style="553" customWidth="1"/>
    <col min="15879" max="15879" width="9.1796875" style="553" customWidth="1"/>
    <col min="15880" max="15880" width="10.1796875" style="553" customWidth="1"/>
    <col min="15881" max="15882" width="0" style="553" hidden="1" customWidth="1"/>
    <col min="15883" max="16128" width="9.1796875" style="553"/>
    <col min="16129" max="16129" width="0" style="553" hidden="1" customWidth="1"/>
    <col min="16130" max="16130" width="41.26953125" style="553" customWidth="1"/>
    <col min="16131" max="16131" width="0" style="553" hidden="1" customWidth="1"/>
    <col min="16132" max="16132" width="11" style="553" customWidth="1"/>
    <col min="16133" max="16133" width="10.81640625" style="553" customWidth="1"/>
    <col min="16134" max="16134" width="14" style="553" customWidth="1"/>
    <col min="16135" max="16135" width="9.1796875" style="553" customWidth="1"/>
    <col min="16136" max="16136" width="10.1796875" style="553" customWidth="1"/>
    <col min="16137" max="16138" width="0" style="553" hidden="1" customWidth="1"/>
    <col min="16139" max="16384" width="9.1796875" style="553"/>
  </cols>
  <sheetData>
    <row r="1" spans="1:15" ht="17.25" customHeight="1" x14ac:dyDescent="0.35">
      <c r="A1" s="551"/>
      <c r="B1" s="552"/>
      <c r="C1" s="552"/>
      <c r="D1" s="552"/>
      <c r="E1" s="552"/>
      <c r="F1" s="552"/>
      <c r="G1" s="3397" t="s">
        <v>978</v>
      </c>
      <c r="H1" s="3397"/>
      <c r="I1" s="3397"/>
      <c r="J1" s="3397"/>
    </row>
    <row r="2" spans="1:15" ht="15.5" x14ac:dyDescent="0.35">
      <c r="A2" s="554"/>
      <c r="B2" s="554"/>
      <c r="C2" s="554"/>
      <c r="D2" s="554"/>
      <c r="E2" s="554"/>
      <c r="F2" s="3397" t="s">
        <v>797</v>
      </c>
      <c r="G2" s="3397"/>
      <c r="H2" s="3397"/>
      <c r="I2" s="554"/>
      <c r="J2" s="554"/>
    </row>
    <row r="3" spans="1:15" ht="15.5" x14ac:dyDescent="0.35">
      <c r="A3" s="554"/>
      <c r="B3" s="3397" t="s">
        <v>449</v>
      </c>
      <c r="C3" s="3397"/>
      <c r="D3" s="3397"/>
      <c r="E3" s="3397"/>
      <c r="F3" s="3397"/>
      <c r="G3" s="3397"/>
      <c r="H3" s="3397"/>
      <c r="I3" s="3397"/>
      <c r="J3" s="3397"/>
      <c r="K3" s="554"/>
      <c r="L3" s="554"/>
      <c r="M3" s="554"/>
      <c r="N3" s="554"/>
      <c r="O3" s="554"/>
    </row>
    <row r="4" spans="1:15" ht="15.5" x14ac:dyDescent="0.35">
      <c r="A4" s="551"/>
      <c r="B4" s="554"/>
      <c r="C4" s="554"/>
      <c r="D4" s="3397" t="s">
        <v>798</v>
      </c>
      <c r="E4" s="3397"/>
      <c r="F4" s="3397"/>
      <c r="G4" s="3397"/>
      <c r="H4" s="3397"/>
      <c r="I4" s="554"/>
      <c r="J4" s="554"/>
      <c r="L4" s="554"/>
      <c r="M4" s="554"/>
      <c r="N4" s="554"/>
      <c r="O4" s="554"/>
    </row>
    <row r="5" spans="1:15" ht="18" customHeight="1" x14ac:dyDescent="0.35">
      <c r="A5" s="551"/>
      <c r="B5" s="552"/>
      <c r="C5" s="552"/>
      <c r="D5" s="552"/>
      <c r="E5" s="1770" t="s">
        <v>905</v>
      </c>
      <c r="F5" s="3212" t="s">
        <v>1224</v>
      </c>
      <c r="G5" s="3212"/>
      <c r="H5" s="3212"/>
      <c r="I5" s="552"/>
      <c r="J5" s="552"/>
      <c r="K5" s="552"/>
      <c r="L5" s="552"/>
      <c r="M5" s="552"/>
      <c r="N5" s="552"/>
    </row>
    <row r="6" spans="1:15" x14ac:dyDescent="0.25">
      <c r="F6" s="556"/>
      <c r="L6" s="555"/>
      <c r="M6" s="555"/>
      <c r="N6" s="556"/>
    </row>
    <row r="7" spans="1:15" ht="15.5" hidden="1" x14ac:dyDescent="0.25">
      <c r="F7" s="546"/>
      <c r="H7" s="2355" t="s">
        <v>446</v>
      </c>
      <c r="J7" s="546" t="s">
        <v>446</v>
      </c>
      <c r="L7" s="555"/>
      <c r="M7" s="555"/>
    </row>
    <row r="8" spans="1:15" ht="13" hidden="1" x14ac:dyDescent="0.25">
      <c r="F8" s="558"/>
      <c r="H8" s="384"/>
      <c r="L8" s="555"/>
      <c r="M8" s="555"/>
      <c r="N8" s="558"/>
    </row>
    <row r="9" spans="1:15" ht="15.5" hidden="1" x14ac:dyDescent="0.25">
      <c r="F9" s="546"/>
      <c r="H9" s="2355" t="s">
        <v>848</v>
      </c>
      <c r="J9" s="546" t="s">
        <v>445</v>
      </c>
      <c r="L9" s="555"/>
      <c r="M9" s="555"/>
    </row>
    <row r="10" spans="1:15" hidden="1" x14ac:dyDescent="0.25">
      <c r="F10" s="556"/>
    </row>
    <row r="11" spans="1:15" ht="12" customHeight="1" x14ac:dyDescent="0.25">
      <c r="F11" s="556"/>
    </row>
    <row r="12" spans="1:15" ht="13" hidden="1" x14ac:dyDescent="0.3">
      <c r="A12" s="3396"/>
      <c r="B12" s="3396"/>
      <c r="C12" s="3396"/>
      <c r="D12" s="3396"/>
      <c r="E12" s="3396"/>
      <c r="F12" s="3396"/>
    </row>
    <row r="13" spans="1:15" ht="69.75" customHeight="1" x14ac:dyDescent="0.3">
      <c r="A13" s="3391" t="s">
        <v>823</v>
      </c>
      <c r="B13" s="3391"/>
      <c r="C13" s="3391"/>
      <c r="D13" s="3391"/>
      <c r="E13" s="3391"/>
      <c r="F13" s="3391"/>
      <c r="G13" s="3391"/>
      <c r="H13" s="3391"/>
      <c r="I13" s="3391"/>
      <c r="J13" s="3391"/>
      <c r="L13" s="559" t="s">
        <v>106</v>
      </c>
    </row>
    <row r="14" spans="1:15" ht="15" customHeight="1" x14ac:dyDescent="0.3">
      <c r="A14" s="2357"/>
      <c r="B14" s="3391" t="s">
        <v>1202</v>
      </c>
      <c r="C14" s="3391"/>
      <c r="D14" s="3391"/>
      <c r="E14" s="3391"/>
      <c r="F14" s="3391"/>
      <c r="G14" s="3391"/>
      <c r="H14" s="3391"/>
      <c r="I14" s="3391"/>
      <c r="J14" s="3391"/>
      <c r="L14" s="559"/>
    </row>
    <row r="15" spans="1:15" ht="21" customHeight="1" thickBot="1" x14ac:dyDescent="0.35">
      <c r="A15" s="560"/>
      <c r="B15" s="560"/>
      <c r="C15" s="560"/>
      <c r="D15" s="560"/>
      <c r="E15" s="560"/>
      <c r="F15" s="560"/>
    </row>
    <row r="16" spans="1:15" s="564" customFormat="1" ht="45" x14ac:dyDescent="0.25">
      <c r="A16" s="561" t="s">
        <v>611</v>
      </c>
      <c r="B16" s="3392" t="s">
        <v>322</v>
      </c>
      <c r="C16" s="3392"/>
      <c r="D16" s="3392"/>
      <c r="E16" s="3392"/>
      <c r="F16" s="3392"/>
      <c r="G16" s="3392"/>
      <c r="H16" s="720" t="s">
        <v>827</v>
      </c>
      <c r="I16" s="562" t="s">
        <v>799</v>
      </c>
      <c r="J16" s="563" t="s">
        <v>800</v>
      </c>
    </row>
    <row r="17" spans="1:14" s="564" customFormat="1" ht="15" hidden="1" x14ac:dyDescent="0.25">
      <c r="A17" s="565"/>
      <c r="B17" s="721" t="s">
        <v>431</v>
      </c>
      <c r="C17" s="566" t="s">
        <v>430</v>
      </c>
      <c r="D17" s="567" t="s">
        <v>69</v>
      </c>
      <c r="E17" s="568"/>
      <c r="F17" s="568"/>
      <c r="G17" s="568"/>
      <c r="H17" s="722">
        <f>H18+H30</f>
        <v>806.84199999999998</v>
      </c>
      <c r="I17" s="569"/>
      <c r="J17" s="570"/>
    </row>
    <row r="18" spans="1:14" s="564" customFormat="1" ht="52" hidden="1" x14ac:dyDescent="0.25">
      <c r="A18" s="571"/>
      <c r="B18" s="669" t="s">
        <v>105</v>
      </c>
      <c r="C18" s="572" t="s">
        <v>106</v>
      </c>
      <c r="D18" s="572" t="s">
        <v>69</v>
      </c>
      <c r="E18" s="572" t="s">
        <v>103</v>
      </c>
      <c r="F18" s="573"/>
      <c r="G18" s="573"/>
      <c r="H18" s="723">
        <f>H22+H24+H27</f>
        <v>386.19200000000001</v>
      </c>
      <c r="I18" s="574"/>
      <c r="J18" s="575"/>
    </row>
    <row r="19" spans="1:14" s="564" customFormat="1" ht="52" hidden="1" x14ac:dyDescent="0.25">
      <c r="A19" s="571"/>
      <c r="B19" s="724" t="s">
        <v>583</v>
      </c>
      <c r="C19" s="572"/>
      <c r="D19" s="572" t="s">
        <v>69</v>
      </c>
      <c r="E19" s="572" t="s">
        <v>103</v>
      </c>
      <c r="F19" s="532" t="s">
        <v>157</v>
      </c>
      <c r="G19" s="573"/>
      <c r="H19" s="725">
        <f>H20</f>
        <v>57.192</v>
      </c>
      <c r="I19" s="574"/>
      <c r="J19" s="575"/>
    </row>
    <row r="20" spans="1:14" s="564" customFormat="1" ht="52" hidden="1" x14ac:dyDescent="0.25">
      <c r="A20" s="571"/>
      <c r="B20" s="2356" t="s">
        <v>156</v>
      </c>
      <c r="C20" s="572"/>
      <c r="D20" s="572" t="s">
        <v>69</v>
      </c>
      <c r="E20" s="572" t="s">
        <v>103</v>
      </c>
      <c r="F20" s="532" t="s">
        <v>155</v>
      </c>
      <c r="G20" s="573"/>
      <c r="H20" s="725">
        <f>H21</f>
        <v>57.192</v>
      </c>
      <c r="I20" s="574"/>
      <c r="J20" s="575"/>
    </row>
    <row r="21" spans="1:14" s="564" customFormat="1" ht="15.5" hidden="1" x14ac:dyDescent="0.25">
      <c r="A21" s="571"/>
      <c r="B21" s="724" t="s">
        <v>582</v>
      </c>
      <c r="C21" s="572"/>
      <c r="D21" s="572" t="s">
        <v>69</v>
      </c>
      <c r="E21" s="572" t="s">
        <v>103</v>
      </c>
      <c r="F21" s="532" t="s">
        <v>154</v>
      </c>
      <c r="G21" s="573"/>
      <c r="H21" s="725">
        <f>H22</f>
        <v>57.192</v>
      </c>
      <c r="I21" s="574"/>
      <c r="J21" s="575"/>
    </row>
    <row r="22" spans="1:14" s="580" customFormat="1" ht="38.5" customHeight="1" x14ac:dyDescent="0.35">
      <c r="A22" s="576"/>
      <c r="B22" s="3393" t="s">
        <v>824</v>
      </c>
      <c r="C22" s="3393"/>
      <c r="D22" s="3393"/>
      <c r="E22" s="3393"/>
      <c r="F22" s="3393"/>
      <c r="G22" s="3393"/>
      <c r="H22" s="729">
        <v>57.192</v>
      </c>
      <c r="I22" s="578"/>
      <c r="J22" s="579"/>
      <c r="M22" s="581"/>
      <c r="N22" s="1"/>
    </row>
    <row r="23" spans="1:14" s="580" customFormat="1" ht="15.5" hidden="1" x14ac:dyDescent="0.35">
      <c r="A23" s="576"/>
      <c r="B23" s="728" t="s">
        <v>123</v>
      </c>
      <c r="C23" s="669"/>
      <c r="D23" s="669"/>
      <c r="E23" s="669"/>
      <c r="F23" s="714"/>
      <c r="G23" s="715" t="s">
        <v>120</v>
      </c>
      <c r="H23" s="727">
        <v>43.95</v>
      </c>
      <c r="I23" s="578"/>
      <c r="J23" s="579"/>
      <c r="N23" s="1"/>
    </row>
    <row r="24" spans="1:14" s="580" customFormat="1" ht="54.65" customHeight="1" x14ac:dyDescent="0.35">
      <c r="A24" s="576"/>
      <c r="B24" s="3394" t="s">
        <v>826</v>
      </c>
      <c r="C24" s="3394"/>
      <c r="D24" s="3394"/>
      <c r="E24" s="3394"/>
      <c r="F24" s="3394"/>
      <c r="G24" s="3394"/>
      <c r="H24" s="729">
        <v>329</v>
      </c>
      <c r="I24" s="578">
        <f>I26</f>
        <v>0</v>
      </c>
      <c r="J24" s="579">
        <f>J26</f>
        <v>0</v>
      </c>
      <c r="N24" s="1"/>
    </row>
    <row r="25" spans="1:14" s="580" customFormat="1" ht="46.5" hidden="1" customHeight="1" x14ac:dyDescent="0.35">
      <c r="A25" s="576"/>
      <c r="B25" s="724" t="s">
        <v>575</v>
      </c>
      <c r="C25" s="715"/>
      <c r="D25" s="715"/>
      <c r="E25" s="715"/>
      <c r="F25" s="715"/>
      <c r="G25" s="715"/>
      <c r="H25" s="730"/>
      <c r="I25" s="583"/>
      <c r="J25" s="584"/>
      <c r="N25" s="1"/>
    </row>
    <row r="26" spans="1:14" s="580" customFormat="1" ht="15" hidden="1" customHeight="1" x14ac:dyDescent="0.35">
      <c r="A26" s="576"/>
      <c r="B26" s="728" t="s">
        <v>123</v>
      </c>
      <c r="C26" s="715"/>
      <c r="D26" s="715"/>
      <c r="E26" s="715"/>
      <c r="F26" s="312"/>
      <c r="G26" s="715" t="s">
        <v>120</v>
      </c>
      <c r="H26" s="730">
        <v>321.3</v>
      </c>
      <c r="I26" s="583"/>
      <c r="J26" s="584"/>
      <c r="N26" s="1"/>
    </row>
    <row r="27" spans="1:14" s="580" customFormat="1" ht="46.15" hidden="1" customHeight="1" x14ac:dyDescent="0.35">
      <c r="A27" s="576"/>
      <c r="B27" s="3395" t="s">
        <v>825</v>
      </c>
      <c r="C27" s="3395"/>
      <c r="D27" s="3395"/>
      <c r="E27" s="3395"/>
      <c r="F27" s="3395"/>
      <c r="G27" s="3395"/>
      <c r="H27" s="730">
        <v>0</v>
      </c>
      <c r="I27" s="583">
        <f>I28</f>
        <v>0</v>
      </c>
      <c r="J27" s="584">
        <f>J28</f>
        <v>0</v>
      </c>
      <c r="N27" s="1"/>
    </row>
    <row r="28" spans="1:14" s="580" customFormat="1" ht="15" hidden="1" customHeight="1" x14ac:dyDescent="0.35">
      <c r="A28" s="576"/>
      <c r="B28" s="728" t="s">
        <v>123</v>
      </c>
      <c r="C28" s="715"/>
      <c r="D28" s="715"/>
      <c r="E28" s="715"/>
      <c r="F28" s="312"/>
      <c r="G28" s="715" t="s">
        <v>120</v>
      </c>
      <c r="H28" s="730">
        <v>213</v>
      </c>
      <c r="I28" s="583">
        <v>0</v>
      </c>
      <c r="J28" s="584">
        <v>0</v>
      </c>
      <c r="N28" s="1"/>
    </row>
    <row r="29" spans="1:14" s="580" customFormat="1" ht="60.65" hidden="1" customHeight="1" x14ac:dyDescent="0.35">
      <c r="A29" s="576"/>
      <c r="B29" s="731" t="s">
        <v>134</v>
      </c>
      <c r="C29" s="669"/>
      <c r="D29" s="669"/>
      <c r="E29" s="669"/>
      <c r="F29" s="715"/>
      <c r="G29" s="715"/>
      <c r="H29" s="730"/>
      <c r="I29" s="583"/>
      <c r="J29" s="584"/>
      <c r="N29" s="1"/>
    </row>
    <row r="30" spans="1:14" s="580" customFormat="1" ht="49.15" hidden="1" customHeight="1" x14ac:dyDescent="0.35">
      <c r="A30" s="576"/>
      <c r="B30" s="669" t="s">
        <v>122</v>
      </c>
      <c r="C30" s="715"/>
      <c r="D30" s="669"/>
      <c r="E30" s="715"/>
      <c r="F30" s="669"/>
      <c r="G30" s="669" t="s">
        <v>71</v>
      </c>
      <c r="H30" s="729">
        <f>H31</f>
        <v>420.65</v>
      </c>
      <c r="I30" s="578">
        <f>I31</f>
        <v>0</v>
      </c>
      <c r="J30" s="579">
        <f>J31</f>
        <v>0</v>
      </c>
      <c r="N30" s="1"/>
    </row>
    <row r="31" spans="1:14" s="580" customFormat="1" ht="52" hidden="1" x14ac:dyDescent="0.35">
      <c r="A31" s="576"/>
      <c r="B31" s="724" t="s">
        <v>583</v>
      </c>
      <c r="C31" s="715"/>
      <c r="D31" s="669"/>
      <c r="E31" s="669"/>
      <c r="F31" s="714"/>
      <c r="G31" s="716"/>
      <c r="H31" s="729">
        <f>H32</f>
        <v>420.65</v>
      </c>
      <c r="I31" s="578">
        <f>I34</f>
        <v>0</v>
      </c>
      <c r="J31" s="579">
        <f>J34</f>
        <v>0</v>
      </c>
      <c r="N31" s="1"/>
    </row>
    <row r="32" spans="1:14" s="580" customFormat="1" ht="52" hidden="1" x14ac:dyDescent="0.35">
      <c r="A32" s="576"/>
      <c r="B32" s="2356" t="s">
        <v>156</v>
      </c>
      <c r="C32" s="715"/>
      <c r="D32" s="669"/>
      <c r="E32" s="669"/>
      <c r="F32" s="714"/>
      <c r="G32" s="716"/>
      <c r="H32" s="729">
        <f>H33</f>
        <v>420.65</v>
      </c>
      <c r="I32" s="578"/>
      <c r="J32" s="579"/>
      <c r="N32" s="1"/>
    </row>
    <row r="33" spans="1:14" s="580" customFormat="1" ht="15.5" hidden="1" x14ac:dyDescent="0.35">
      <c r="A33" s="576"/>
      <c r="B33" s="724" t="s">
        <v>582</v>
      </c>
      <c r="C33" s="715"/>
      <c r="D33" s="669"/>
      <c r="E33" s="669"/>
      <c r="F33" s="714"/>
      <c r="G33" s="716"/>
      <c r="H33" s="729">
        <f>H34</f>
        <v>420.65</v>
      </c>
      <c r="I33" s="578"/>
      <c r="J33" s="579"/>
      <c r="N33" s="1"/>
    </row>
    <row r="34" spans="1:14" s="580" customFormat="1" ht="54" customHeight="1" x14ac:dyDescent="0.35">
      <c r="A34" s="576"/>
      <c r="B34" s="3389" t="s">
        <v>586</v>
      </c>
      <c r="C34" s="3389"/>
      <c r="D34" s="3389"/>
      <c r="E34" s="3389"/>
      <c r="F34" s="3389"/>
      <c r="G34" s="3389"/>
      <c r="H34" s="730">
        <v>420.65</v>
      </c>
      <c r="I34" s="583">
        <f>I35</f>
        <v>0</v>
      </c>
      <c r="J34" s="584">
        <f>J35</f>
        <v>0</v>
      </c>
      <c r="N34" s="1"/>
    </row>
    <row r="35" spans="1:14" s="580" customFormat="1" ht="13.9" hidden="1" customHeight="1" thickBot="1" x14ac:dyDescent="0.4">
      <c r="A35" s="576"/>
      <c r="B35" s="582" t="s">
        <v>123</v>
      </c>
      <c r="C35" s="717"/>
      <c r="D35" s="718" t="s">
        <v>69</v>
      </c>
      <c r="E35" s="718" t="s">
        <v>119</v>
      </c>
      <c r="F35" s="440" t="s">
        <v>129</v>
      </c>
      <c r="G35" s="717" t="s">
        <v>120</v>
      </c>
      <c r="H35" s="719">
        <v>199.49199999999999</v>
      </c>
      <c r="I35" s="585">
        <v>0</v>
      </c>
      <c r="J35" s="586">
        <v>0</v>
      </c>
      <c r="N35" s="1"/>
    </row>
    <row r="36" spans="1:14" ht="13" x14ac:dyDescent="0.3">
      <c r="B36" s="3390" t="s">
        <v>828</v>
      </c>
      <c r="C36" s="3390"/>
      <c r="D36" s="3390"/>
      <c r="E36" s="3390"/>
      <c r="F36" s="3390"/>
      <c r="G36" s="3390"/>
      <c r="H36" s="924">
        <f>H22+H24+H27+H34</f>
        <v>806.84199999999998</v>
      </c>
    </row>
    <row r="186" ht="80.5" customHeight="1" x14ac:dyDescent="0.25"/>
  </sheetData>
  <mergeCells count="14">
    <mergeCell ref="B34:G34"/>
    <mergeCell ref="B36:G36"/>
    <mergeCell ref="A13:J13"/>
    <mergeCell ref="B14:J14"/>
    <mergeCell ref="B16:G16"/>
    <mergeCell ref="B22:G22"/>
    <mergeCell ref="B24:G24"/>
    <mergeCell ref="B27:G27"/>
    <mergeCell ref="A12:F12"/>
    <mergeCell ref="G1:J1"/>
    <mergeCell ref="F2:H2"/>
    <mergeCell ref="B3:J3"/>
    <mergeCell ref="D4:H4"/>
    <mergeCell ref="F5:H5"/>
  </mergeCells>
  <printOptions horizontalCentered="1"/>
  <pageMargins left="0.55118110236220474" right="0.19685039370078741" top="0.59055118110236227" bottom="0.59055118110236227" header="0.51181102362204722" footer="0.51181102362204722"/>
  <pageSetup paperSize="9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69"/>
  <sheetViews>
    <sheetView topLeftCell="B2" zoomScale="75" zoomScaleNormal="75" workbookViewId="0">
      <selection activeCell="K41" sqref="K41"/>
    </sheetView>
  </sheetViews>
  <sheetFormatPr defaultColWidth="9.1796875" defaultRowHeight="13" x14ac:dyDescent="0.3"/>
  <cols>
    <col min="1" max="1" width="34.54296875" style="1935" customWidth="1"/>
    <col min="2" max="2" width="24.7265625" style="1935" customWidth="1"/>
    <col min="3" max="3" width="19.26953125" style="2256" customWidth="1"/>
    <col min="4" max="5" width="14.1796875" style="1935" customWidth="1"/>
    <col min="6" max="6" width="17.54296875" style="1935" customWidth="1"/>
    <col min="7" max="7" width="17.81640625" style="1935" customWidth="1"/>
    <col min="8" max="8" width="14.54296875" style="1935" bestFit="1" customWidth="1"/>
    <col min="9" max="9" width="12.453125" style="1935" bestFit="1" customWidth="1"/>
    <col min="10" max="10" width="14.54296875" style="1935" bestFit="1" customWidth="1"/>
    <col min="11" max="256" width="9.1796875" style="1935"/>
    <col min="257" max="257" width="34.54296875" style="1935" customWidth="1"/>
    <col min="258" max="258" width="24.7265625" style="1935" customWidth="1"/>
    <col min="259" max="259" width="19.26953125" style="1935" customWidth="1"/>
    <col min="260" max="261" width="14.1796875" style="1935" customWidth="1"/>
    <col min="262" max="262" width="17.54296875" style="1935" customWidth="1"/>
    <col min="263" max="263" width="17.81640625" style="1935" customWidth="1"/>
    <col min="264" max="264" width="14.54296875" style="1935" bestFit="1" customWidth="1"/>
    <col min="265" max="265" width="12.453125" style="1935" bestFit="1" customWidth="1"/>
    <col min="266" max="266" width="14.54296875" style="1935" bestFit="1" customWidth="1"/>
    <col min="267" max="512" width="9.1796875" style="1935"/>
    <col min="513" max="513" width="34.54296875" style="1935" customWidth="1"/>
    <col min="514" max="514" width="24.7265625" style="1935" customWidth="1"/>
    <col min="515" max="515" width="19.26953125" style="1935" customWidth="1"/>
    <col min="516" max="517" width="14.1796875" style="1935" customWidth="1"/>
    <col min="518" max="518" width="17.54296875" style="1935" customWidth="1"/>
    <col min="519" max="519" width="17.81640625" style="1935" customWidth="1"/>
    <col min="520" max="520" width="14.54296875" style="1935" bestFit="1" customWidth="1"/>
    <col min="521" max="521" width="12.453125" style="1935" bestFit="1" customWidth="1"/>
    <col min="522" max="522" width="14.54296875" style="1935" bestFit="1" customWidth="1"/>
    <col min="523" max="768" width="9.1796875" style="1935"/>
    <col min="769" max="769" width="34.54296875" style="1935" customWidth="1"/>
    <col min="770" max="770" width="24.7265625" style="1935" customWidth="1"/>
    <col min="771" max="771" width="19.26953125" style="1935" customWidth="1"/>
    <col min="772" max="773" width="14.1796875" style="1935" customWidth="1"/>
    <col min="774" max="774" width="17.54296875" style="1935" customWidth="1"/>
    <col min="775" max="775" width="17.81640625" style="1935" customWidth="1"/>
    <col min="776" max="776" width="14.54296875" style="1935" bestFit="1" customWidth="1"/>
    <col min="777" max="777" width="12.453125" style="1935" bestFit="1" customWidth="1"/>
    <col min="778" max="778" width="14.54296875" style="1935" bestFit="1" customWidth="1"/>
    <col min="779" max="1024" width="9.1796875" style="1935"/>
    <col min="1025" max="1025" width="34.54296875" style="1935" customWidth="1"/>
    <col min="1026" max="1026" width="24.7265625" style="1935" customWidth="1"/>
    <col min="1027" max="1027" width="19.26953125" style="1935" customWidth="1"/>
    <col min="1028" max="1029" width="14.1796875" style="1935" customWidth="1"/>
    <col min="1030" max="1030" width="17.54296875" style="1935" customWidth="1"/>
    <col min="1031" max="1031" width="17.81640625" style="1935" customWidth="1"/>
    <col min="1032" max="1032" width="14.54296875" style="1935" bestFit="1" customWidth="1"/>
    <col min="1033" max="1033" width="12.453125" style="1935" bestFit="1" customWidth="1"/>
    <col min="1034" max="1034" width="14.54296875" style="1935" bestFit="1" customWidth="1"/>
    <col min="1035" max="1280" width="9.1796875" style="1935"/>
    <col min="1281" max="1281" width="34.54296875" style="1935" customWidth="1"/>
    <col min="1282" max="1282" width="24.7265625" style="1935" customWidth="1"/>
    <col min="1283" max="1283" width="19.26953125" style="1935" customWidth="1"/>
    <col min="1284" max="1285" width="14.1796875" style="1935" customWidth="1"/>
    <col min="1286" max="1286" width="17.54296875" style="1935" customWidth="1"/>
    <col min="1287" max="1287" width="17.81640625" style="1935" customWidth="1"/>
    <col min="1288" max="1288" width="14.54296875" style="1935" bestFit="1" customWidth="1"/>
    <col min="1289" max="1289" width="12.453125" style="1935" bestFit="1" customWidth="1"/>
    <col min="1290" max="1290" width="14.54296875" style="1935" bestFit="1" customWidth="1"/>
    <col min="1291" max="1536" width="9.1796875" style="1935"/>
    <col min="1537" max="1537" width="34.54296875" style="1935" customWidth="1"/>
    <col min="1538" max="1538" width="24.7265625" style="1935" customWidth="1"/>
    <col min="1539" max="1539" width="19.26953125" style="1935" customWidth="1"/>
    <col min="1540" max="1541" width="14.1796875" style="1935" customWidth="1"/>
    <col min="1542" max="1542" width="17.54296875" style="1935" customWidth="1"/>
    <col min="1543" max="1543" width="17.81640625" style="1935" customWidth="1"/>
    <col min="1544" max="1544" width="14.54296875" style="1935" bestFit="1" customWidth="1"/>
    <col min="1545" max="1545" width="12.453125" style="1935" bestFit="1" customWidth="1"/>
    <col min="1546" max="1546" width="14.54296875" style="1935" bestFit="1" customWidth="1"/>
    <col min="1547" max="1792" width="9.1796875" style="1935"/>
    <col min="1793" max="1793" width="34.54296875" style="1935" customWidth="1"/>
    <col min="1794" max="1794" width="24.7265625" style="1935" customWidth="1"/>
    <col min="1795" max="1795" width="19.26953125" style="1935" customWidth="1"/>
    <col min="1796" max="1797" width="14.1796875" style="1935" customWidth="1"/>
    <col min="1798" max="1798" width="17.54296875" style="1935" customWidth="1"/>
    <col min="1799" max="1799" width="17.81640625" style="1935" customWidth="1"/>
    <col min="1800" max="1800" width="14.54296875" style="1935" bestFit="1" customWidth="1"/>
    <col min="1801" max="1801" width="12.453125" style="1935" bestFit="1" customWidth="1"/>
    <col min="1802" max="1802" width="14.54296875" style="1935" bestFit="1" customWidth="1"/>
    <col min="1803" max="2048" width="9.1796875" style="1935"/>
    <col min="2049" max="2049" width="34.54296875" style="1935" customWidth="1"/>
    <col min="2050" max="2050" width="24.7265625" style="1935" customWidth="1"/>
    <col min="2051" max="2051" width="19.26953125" style="1935" customWidth="1"/>
    <col min="2052" max="2053" width="14.1796875" style="1935" customWidth="1"/>
    <col min="2054" max="2054" width="17.54296875" style="1935" customWidth="1"/>
    <col min="2055" max="2055" width="17.81640625" style="1935" customWidth="1"/>
    <col min="2056" max="2056" width="14.54296875" style="1935" bestFit="1" customWidth="1"/>
    <col min="2057" max="2057" width="12.453125" style="1935" bestFit="1" customWidth="1"/>
    <col min="2058" max="2058" width="14.54296875" style="1935" bestFit="1" customWidth="1"/>
    <col min="2059" max="2304" width="9.1796875" style="1935"/>
    <col min="2305" max="2305" width="34.54296875" style="1935" customWidth="1"/>
    <col min="2306" max="2306" width="24.7265625" style="1935" customWidth="1"/>
    <col min="2307" max="2307" width="19.26953125" style="1935" customWidth="1"/>
    <col min="2308" max="2309" width="14.1796875" style="1935" customWidth="1"/>
    <col min="2310" max="2310" width="17.54296875" style="1935" customWidth="1"/>
    <col min="2311" max="2311" width="17.81640625" style="1935" customWidth="1"/>
    <col min="2312" max="2312" width="14.54296875" style="1935" bestFit="1" customWidth="1"/>
    <col min="2313" max="2313" width="12.453125" style="1935" bestFit="1" customWidth="1"/>
    <col min="2314" max="2314" width="14.54296875" style="1935" bestFit="1" customWidth="1"/>
    <col min="2315" max="2560" width="9.1796875" style="1935"/>
    <col min="2561" max="2561" width="34.54296875" style="1935" customWidth="1"/>
    <col min="2562" max="2562" width="24.7265625" style="1935" customWidth="1"/>
    <col min="2563" max="2563" width="19.26953125" style="1935" customWidth="1"/>
    <col min="2564" max="2565" width="14.1796875" style="1935" customWidth="1"/>
    <col min="2566" max="2566" width="17.54296875" style="1935" customWidth="1"/>
    <col min="2567" max="2567" width="17.81640625" style="1935" customWidth="1"/>
    <col min="2568" max="2568" width="14.54296875" style="1935" bestFit="1" customWidth="1"/>
    <col min="2569" max="2569" width="12.453125" style="1935" bestFit="1" customWidth="1"/>
    <col min="2570" max="2570" width="14.54296875" style="1935" bestFit="1" customWidth="1"/>
    <col min="2571" max="2816" width="9.1796875" style="1935"/>
    <col min="2817" max="2817" width="34.54296875" style="1935" customWidth="1"/>
    <col min="2818" max="2818" width="24.7265625" style="1935" customWidth="1"/>
    <col min="2819" max="2819" width="19.26953125" style="1935" customWidth="1"/>
    <col min="2820" max="2821" width="14.1796875" style="1935" customWidth="1"/>
    <col min="2822" max="2822" width="17.54296875" style="1935" customWidth="1"/>
    <col min="2823" max="2823" width="17.81640625" style="1935" customWidth="1"/>
    <col min="2824" max="2824" width="14.54296875" style="1935" bestFit="1" customWidth="1"/>
    <col min="2825" max="2825" width="12.453125" style="1935" bestFit="1" customWidth="1"/>
    <col min="2826" max="2826" width="14.54296875" style="1935" bestFit="1" customWidth="1"/>
    <col min="2827" max="3072" width="9.1796875" style="1935"/>
    <col min="3073" max="3073" width="34.54296875" style="1935" customWidth="1"/>
    <col min="3074" max="3074" width="24.7265625" style="1935" customWidth="1"/>
    <col min="3075" max="3075" width="19.26953125" style="1935" customWidth="1"/>
    <col min="3076" max="3077" width="14.1796875" style="1935" customWidth="1"/>
    <col min="3078" max="3078" width="17.54296875" style="1935" customWidth="1"/>
    <col min="3079" max="3079" width="17.81640625" style="1935" customWidth="1"/>
    <col min="3080" max="3080" width="14.54296875" style="1935" bestFit="1" customWidth="1"/>
    <col min="3081" max="3081" width="12.453125" style="1935" bestFit="1" customWidth="1"/>
    <col min="3082" max="3082" width="14.54296875" style="1935" bestFit="1" customWidth="1"/>
    <col min="3083" max="3328" width="9.1796875" style="1935"/>
    <col min="3329" max="3329" width="34.54296875" style="1935" customWidth="1"/>
    <col min="3330" max="3330" width="24.7265625" style="1935" customWidth="1"/>
    <col min="3331" max="3331" width="19.26953125" style="1935" customWidth="1"/>
    <col min="3332" max="3333" width="14.1796875" style="1935" customWidth="1"/>
    <col min="3334" max="3334" width="17.54296875" style="1935" customWidth="1"/>
    <col min="3335" max="3335" width="17.81640625" style="1935" customWidth="1"/>
    <col min="3336" max="3336" width="14.54296875" style="1935" bestFit="1" customWidth="1"/>
    <col min="3337" max="3337" width="12.453125" style="1935" bestFit="1" customWidth="1"/>
    <col min="3338" max="3338" width="14.54296875" style="1935" bestFit="1" customWidth="1"/>
    <col min="3339" max="3584" width="9.1796875" style="1935"/>
    <col min="3585" max="3585" width="34.54296875" style="1935" customWidth="1"/>
    <col min="3586" max="3586" width="24.7265625" style="1935" customWidth="1"/>
    <col min="3587" max="3587" width="19.26953125" style="1935" customWidth="1"/>
    <col min="3588" max="3589" width="14.1796875" style="1935" customWidth="1"/>
    <col min="3590" max="3590" width="17.54296875" style="1935" customWidth="1"/>
    <col min="3591" max="3591" width="17.81640625" style="1935" customWidth="1"/>
    <col min="3592" max="3592" width="14.54296875" style="1935" bestFit="1" customWidth="1"/>
    <col min="3593" max="3593" width="12.453125" style="1935" bestFit="1" customWidth="1"/>
    <col min="3594" max="3594" width="14.54296875" style="1935" bestFit="1" customWidth="1"/>
    <col min="3595" max="3840" width="9.1796875" style="1935"/>
    <col min="3841" max="3841" width="34.54296875" style="1935" customWidth="1"/>
    <col min="3842" max="3842" width="24.7265625" style="1935" customWidth="1"/>
    <col min="3843" max="3843" width="19.26953125" style="1935" customWidth="1"/>
    <col min="3844" max="3845" width="14.1796875" style="1935" customWidth="1"/>
    <col min="3846" max="3846" width="17.54296875" style="1935" customWidth="1"/>
    <col min="3847" max="3847" width="17.81640625" style="1935" customWidth="1"/>
    <col min="3848" max="3848" width="14.54296875" style="1935" bestFit="1" customWidth="1"/>
    <col min="3849" max="3849" width="12.453125" style="1935" bestFit="1" customWidth="1"/>
    <col min="3850" max="3850" width="14.54296875" style="1935" bestFit="1" customWidth="1"/>
    <col min="3851" max="4096" width="9.1796875" style="1935"/>
    <col min="4097" max="4097" width="34.54296875" style="1935" customWidth="1"/>
    <col min="4098" max="4098" width="24.7265625" style="1935" customWidth="1"/>
    <col min="4099" max="4099" width="19.26953125" style="1935" customWidth="1"/>
    <col min="4100" max="4101" width="14.1796875" style="1935" customWidth="1"/>
    <col min="4102" max="4102" width="17.54296875" style="1935" customWidth="1"/>
    <col min="4103" max="4103" width="17.81640625" style="1935" customWidth="1"/>
    <col min="4104" max="4104" width="14.54296875" style="1935" bestFit="1" customWidth="1"/>
    <col min="4105" max="4105" width="12.453125" style="1935" bestFit="1" customWidth="1"/>
    <col min="4106" max="4106" width="14.54296875" style="1935" bestFit="1" customWidth="1"/>
    <col min="4107" max="4352" width="9.1796875" style="1935"/>
    <col min="4353" max="4353" width="34.54296875" style="1935" customWidth="1"/>
    <col min="4354" max="4354" width="24.7265625" style="1935" customWidth="1"/>
    <col min="4355" max="4355" width="19.26953125" style="1935" customWidth="1"/>
    <col min="4356" max="4357" width="14.1796875" style="1935" customWidth="1"/>
    <col min="4358" max="4358" width="17.54296875" style="1935" customWidth="1"/>
    <col min="4359" max="4359" width="17.81640625" style="1935" customWidth="1"/>
    <col min="4360" max="4360" width="14.54296875" style="1935" bestFit="1" customWidth="1"/>
    <col min="4361" max="4361" width="12.453125" style="1935" bestFit="1" customWidth="1"/>
    <col min="4362" max="4362" width="14.54296875" style="1935" bestFit="1" customWidth="1"/>
    <col min="4363" max="4608" width="9.1796875" style="1935"/>
    <col min="4609" max="4609" width="34.54296875" style="1935" customWidth="1"/>
    <col min="4610" max="4610" width="24.7265625" style="1935" customWidth="1"/>
    <col min="4611" max="4611" width="19.26953125" style="1935" customWidth="1"/>
    <col min="4612" max="4613" width="14.1796875" style="1935" customWidth="1"/>
    <col min="4614" max="4614" width="17.54296875" style="1935" customWidth="1"/>
    <col min="4615" max="4615" width="17.81640625" style="1935" customWidth="1"/>
    <col min="4616" max="4616" width="14.54296875" style="1935" bestFit="1" customWidth="1"/>
    <col min="4617" max="4617" width="12.453125" style="1935" bestFit="1" customWidth="1"/>
    <col min="4618" max="4618" width="14.54296875" style="1935" bestFit="1" customWidth="1"/>
    <col min="4619" max="4864" width="9.1796875" style="1935"/>
    <col min="4865" max="4865" width="34.54296875" style="1935" customWidth="1"/>
    <col min="4866" max="4866" width="24.7265625" style="1935" customWidth="1"/>
    <col min="4867" max="4867" width="19.26953125" style="1935" customWidth="1"/>
    <col min="4868" max="4869" width="14.1796875" style="1935" customWidth="1"/>
    <col min="4870" max="4870" width="17.54296875" style="1935" customWidth="1"/>
    <col min="4871" max="4871" width="17.81640625" style="1935" customWidth="1"/>
    <col min="4872" max="4872" width="14.54296875" style="1935" bestFit="1" customWidth="1"/>
    <col min="4873" max="4873" width="12.453125" style="1935" bestFit="1" customWidth="1"/>
    <col min="4874" max="4874" width="14.54296875" style="1935" bestFit="1" customWidth="1"/>
    <col min="4875" max="5120" width="9.1796875" style="1935"/>
    <col min="5121" max="5121" width="34.54296875" style="1935" customWidth="1"/>
    <col min="5122" max="5122" width="24.7265625" style="1935" customWidth="1"/>
    <col min="5123" max="5123" width="19.26953125" style="1935" customWidth="1"/>
    <col min="5124" max="5125" width="14.1796875" style="1935" customWidth="1"/>
    <col min="5126" max="5126" width="17.54296875" style="1935" customWidth="1"/>
    <col min="5127" max="5127" width="17.81640625" style="1935" customWidth="1"/>
    <col min="5128" max="5128" width="14.54296875" style="1935" bestFit="1" customWidth="1"/>
    <col min="5129" max="5129" width="12.453125" style="1935" bestFit="1" customWidth="1"/>
    <col min="5130" max="5130" width="14.54296875" style="1935" bestFit="1" customWidth="1"/>
    <col min="5131" max="5376" width="9.1796875" style="1935"/>
    <col min="5377" max="5377" width="34.54296875" style="1935" customWidth="1"/>
    <col min="5378" max="5378" width="24.7265625" style="1935" customWidth="1"/>
    <col min="5379" max="5379" width="19.26953125" style="1935" customWidth="1"/>
    <col min="5380" max="5381" width="14.1796875" style="1935" customWidth="1"/>
    <col min="5382" max="5382" width="17.54296875" style="1935" customWidth="1"/>
    <col min="5383" max="5383" width="17.81640625" style="1935" customWidth="1"/>
    <col min="5384" max="5384" width="14.54296875" style="1935" bestFit="1" customWidth="1"/>
    <col min="5385" max="5385" width="12.453125" style="1935" bestFit="1" customWidth="1"/>
    <col min="5386" max="5386" width="14.54296875" style="1935" bestFit="1" customWidth="1"/>
    <col min="5387" max="5632" width="9.1796875" style="1935"/>
    <col min="5633" max="5633" width="34.54296875" style="1935" customWidth="1"/>
    <col min="5634" max="5634" width="24.7265625" style="1935" customWidth="1"/>
    <col min="5635" max="5635" width="19.26953125" style="1935" customWidth="1"/>
    <col min="5636" max="5637" width="14.1796875" style="1935" customWidth="1"/>
    <col min="5638" max="5638" width="17.54296875" style="1935" customWidth="1"/>
    <col min="5639" max="5639" width="17.81640625" style="1935" customWidth="1"/>
    <col min="5640" max="5640" width="14.54296875" style="1935" bestFit="1" customWidth="1"/>
    <col min="5641" max="5641" width="12.453125" style="1935" bestFit="1" customWidth="1"/>
    <col min="5642" max="5642" width="14.54296875" style="1935" bestFit="1" customWidth="1"/>
    <col min="5643" max="5888" width="9.1796875" style="1935"/>
    <col min="5889" max="5889" width="34.54296875" style="1935" customWidth="1"/>
    <col min="5890" max="5890" width="24.7265625" style="1935" customWidth="1"/>
    <col min="5891" max="5891" width="19.26953125" style="1935" customWidth="1"/>
    <col min="5892" max="5893" width="14.1796875" style="1935" customWidth="1"/>
    <col min="5894" max="5894" width="17.54296875" style="1935" customWidth="1"/>
    <col min="5895" max="5895" width="17.81640625" style="1935" customWidth="1"/>
    <col min="5896" max="5896" width="14.54296875" style="1935" bestFit="1" customWidth="1"/>
    <col min="5897" max="5897" width="12.453125" style="1935" bestFit="1" customWidth="1"/>
    <col min="5898" max="5898" width="14.54296875" style="1935" bestFit="1" customWidth="1"/>
    <col min="5899" max="6144" width="9.1796875" style="1935"/>
    <col min="6145" max="6145" width="34.54296875" style="1935" customWidth="1"/>
    <col min="6146" max="6146" width="24.7265625" style="1935" customWidth="1"/>
    <col min="6147" max="6147" width="19.26953125" style="1935" customWidth="1"/>
    <col min="6148" max="6149" width="14.1796875" style="1935" customWidth="1"/>
    <col min="6150" max="6150" width="17.54296875" style="1935" customWidth="1"/>
    <col min="6151" max="6151" width="17.81640625" style="1935" customWidth="1"/>
    <col min="6152" max="6152" width="14.54296875" style="1935" bestFit="1" customWidth="1"/>
    <col min="6153" max="6153" width="12.453125" style="1935" bestFit="1" customWidth="1"/>
    <col min="6154" max="6154" width="14.54296875" style="1935" bestFit="1" customWidth="1"/>
    <col min="6155" max="6400" width="9.1796875" style="1935"/>
    <col min="6401" max="6401" width="34.54296875" style="1935" customWidth="1"/>
    <col min="6402" max="6402" width="24.7265625" style="1935" customWidth="1"/>
    <col min="6403" max="6403" width="19.26953125" style="1935" customWidth="1"/>
    <col min="6404" max="6405" width="14.1796875" style="1935" customWidth="1"/>
    <col min="6406" max="6406" width="17.54296875" style="1935" customWidth="1"/>
    <col min="6407" max="6407" width="17.81640625" style="1935" customWidth="1"/>
    <col min="6408" max="6408" width="14.54296875" style="1935" bestFit="1" customWidth="1"/>
    <col min="6409" max="6409" width="12.453125" style="1935" bestFit="1" customWidth="1"/>
    <col min="6410" max="6410" width="14.54296875" style="1935" bestFit="1" customWidth="1"/>
    <col min="6411" max="6656" width="9.1796875" style="1935"/>
    <col min="6657" max="6657" width="34.54296875" style="1935" customWidth="1"/>
    <col min="6658" max="6658" width="24.7265625" style="1935" customWidth="1"/>
    <col min="6659" max="6659" width="19.26953125" style="1935" customWidth="1"/>
    <col min="6660" max="6661" width="14.1796875" style="1935" customWidth="1"/>
    <col min="6662" max="6662" width="17.54296875" style="1935" customWidth="1"/>
    <col min="6663" max="6663" width="17.81640625" style="1935" customWidth="1"/>
    <col min="6664" max="6664" width="14.54296875" style="1935" bestFit="1" customWidth="1"/>
    <col min="6665" max="6665" width="12.453125" style="1935" bestFit="1" customWidth="1"/>
    <col min="6666" max="6666" width="14.54296875" style="1935" bestFit="1" customWidth="1"/>
    <col min="6667" max="6912" width="9.1796875" style="1935"/>
    <col min="6913" max="6913" width="34.54296875" style="1935" customWidth="1"/>
    <col min="6914" max="6914" width="24.7265625" style="1935" customWidth="1"/>
    <col min="6915" max="6915" width="19.26953125" style="1935" customWidth="1"/>
    <col min="6916" max="6917" width="14.1796875" style="1935" customWidth="1"/>
    <col min="6918" max="6918" width="17.54296875" style="1935" customWidth="1"/>
    <col min="6919" max="6919" width="17.81640625" style="1935" customWidth="1"/>
    <col min="6920" max="6920" width="14.54296875" style="1935" bestFit="1" customWidth="1"/>
    <col min="6921" max="6921" width="12.453125" style="1935" bestFit="1" customWidth="1"/>
    <col min="6922" max="6922" width="14.54296875" style="1935" bestFit="1" customWidth="1"/>
    <col min="6923" max="7168" width="9.1796875" style="1935"/>
    <col min="7169" max="7169" width="34.54296875" style="1935" customWidth="1"/>
    <col min="7170" max="7170" width="24.7265625" style="1935" customWidth="1"/>
    <col min="7171" max="7171" width="19.26953125" style="1935" customWidth="1"/>
    <col min="7172" max="7173" width="14.1796875" style="1935" customWidth="1"/>
    <col min="7174" max="7174" width="17.54296875" style="1935" customWidth="1"/>
    <col min="7175" max="7175" width="17.81640625" style="1935" customWidth="1"/>
    <col min="7176" max="7176" width="14.54296875" style="1935" bestFit="1" customWidth="1"/>
    <col min="7177" max="7177" width="12.453125" style="1935" bestFit="1" customWidth="1"/>
    <col min="7178" max="7178" width="14.54296875" style="1935" bestFit="1" customWidth="1"/>
    <col min="7179" max="7424" width="9.1796875" style="1935"/>
    <col min="7425" max="7425" width="34.54296875" style="1935" customWidth="1"/>
    <col min="7426" max="7426" width="24.7265625" style="1935" customWidth="1"/>
    <col min="7427" max="7427" width="19.26953125" style="1935" customWidth="1"/>
    <col min="7428" max="7429" width="14.1796875" style="1935" customWidth="1"/>
    <col min="7430" max="7430" width="17.54296875" style="1935" customWidth="1"/>
    <col min="7431" max="7431" width="17.81640625" style="1935" customWidth="1"/>
    <col min="7432" max="7432" width="14.54296875" style="1935" bestFit="1" customWidth="1"/>
    <col min="7433" max="7433" width="12.453125" style="1935" bestFit="1" customWidth="1"/>
    <col min="7434" max="7434" width="14.54296875" style="1935" bestFit="1" customWidth="1"/>
    <col min="7435" max="7680" width="9.1796875" style="1935"/>
    <col min="7681" max="7681" width="34.54296875" style="1935" customWidth="1"/>
    <col min="7682" max="7682" width="24.7265625" style="1935" customWidth="1"/>
    <col min="7683" max="7683" width="19.26953125" style="1935" customWidth="1"/>
    <col min="7684" max="7685" width="14.1796875" style="1935" customWidth="1"/>
    <col min="7686" max="7686" width="17.54296875" style="1935" customWidth="1"/>
    <col min="7687" max="7687" width="17.81640625" style="1935" customWidth="1"/>
    <col min="7688" max="7688" width="14.54296875" style="1935" bestFit="1" customWidth="1"/>
    <col min="7689" max="7689" width="12.453125" style="1935" bestFit="1" customWidth="1"/>
    <col min="7690" max="7690" width="14.54296875" style="1935" bestFit="1" customWidth="1"/>
    <col min="7691" max="7936" width="9.1796875" style="1935"/>
    <col min="7937" max="7937" width="34.54296875" style="1935" customWidth="1"/>
    <col min="7938" max="7938" width="24.7265625" style="1935" customWidth="1"/>
    <col min="7939" max="7939" width="19.26953125" style="1935" customWidth="1"/>
    <col min="7940" max="7941" width="14.1796875" style="1935" customWidth="1"/>
    <col min="7942" max="7942" width="17.54296875" style="1935" customWidth="1"/>
    <col min="7943" max="7943" width="17.81640625" style="1935" customWidth="1"/>
    <col min="7944" max="7944" width="14.54296875" style="1935" bestFit="1" customWidth="1"/>
    <col min="7945" max="7945" width="12.453125" style="1935" bestFit="1" customWidth="1"/>
    <col min="7946" max="7946" width="14.54296875" style="1935" bestFit="1" customWidth="1"/>
    <col min="7947" max="8192" width="9.1796875" style="1935"/>
    <col min="8193" max="8193" width="34.54296875" style="1935" customWidth="1"/>
    <col min="8194" max="8194" width="24.7265625" style="1935" customWidth="1"/>
    <col min="8195" max="8195" width="19.26953125" style="1935" customWidth="1"/>
    <col min="8196" max="8197" width="14.1796875" style="1935" customWidth="1"/>
    <col min="8198" max="8198" width="17.54296875" style="1935" customWidth="1"/>
    <col min="8199" max="8199" width="17.81640625" style="1935" customWidth="1"/>
    <col min="8200" max="8200" width="14.54296875" style="1935" bestFit="1" customWidth="1"/>
    <col min="8201" max="8201" width="12.453125" style="1935" bestFit="1" customWidth="1"/>
    <col min="8202" max="8202" width="14.54296875" style="1935" bestFit="1" customWidth="1"/>
    <col min="8203" max="8448" width="9.1796875" style="1935"/>
    <col min="8449" max="8449" width="34.54296875" style="1935" customWidth="1"/>
    <col min="8450" max="8450" width="24.7265625" style="1935" customWidth="1"/>
    <col min="8451" max="8451" width="19.26953125" style="1935" customWidth="1"/>
    <col min="8452" max="8453" width="14.1796875" style="1935" customWidth="1"/>
    <col min="8454" max="8454" width="17.54296875" style="1935" customWidth="1"/>
    <col min="8455" max="8455" width="17.81640625" style="1935" customWidth="1"/>
    <col min="8456" max="8456" width="14.54296875" style="1935" bestFit="1" customWidth="1"/>
    <col min="8457" max="8457" width="12.453125" style="1935" bestFit="1" customWidth="1"/>
    <col min="8458" max="8458" width="14.54296875" style="1935" bestFit="1" customWidth="1"/>
    <col min="8459" max="8704" width="9.1796875" style="1935"/>
    <col min="8705" max="8705" width="34.54296875" style="1935" customWidth="1"/>
    <col min="8706" max="8706" width="24.7265625" style="1935" customWidth="1"/>
    <col min="8707" max="8707" width="19.26953125" style="1935" customWidth="1"/>
    <col min="8708" max="8709" width="14.1796875" style="1935" customWidth="1"/>
    <col min="8710" max="8710" width="17.54296875" style="1935" customWidth="1"/>
    <col min="8711" max="8711" width="17.81640625" style="1935" customWidth="1"/>
    <col min="8712" max="8712" width="14.54296875" style="1935" bestFit="1" customWidth="1"/>
    <col min="8713" max="8713" width="12.453125" style="1935" bestFit="1" customWidth="1"/>
    <col min="8714" max="8714" width="14.54296875" style="1935" bestFit="1" customWidth="1"/>
    <col min="8715" max="8960" width="9.1796875" style="1935"/>
    <col min="8961" max="8961" width="34.54296875" style="1935" customWidth="1"/>
    <col min="8962" max="8962" width="24.7265625" style="1935" customWidth="1"/>
    <col min="8963" max="8963" width="19.26953125" style="1935" customWidth="1"/>
    <col min="8964" max="8965" width="14.1796875" style="1935" customWidth="1"/>
    <col min="8966" max="8966" width="17.54296875" style="1935" customWidth="1"/>
    <col min="8967" max="8967" width="17.81640625" style="1935" customWidth="1"/>
    <col min="8968" max="8968" width="14.54296875" style="1935" bestFit="1" customWidth="1"/>
    <col min="8969" max="8969" width="12.453125" style="1935" bestFit="1" customWidth="1"/>
    <col min="8970" max="8970" width="14.54296875" style="1935" bestFit="1" customWidth="1"/>
    <col min="8971" max="9216" width="9.1796875" style="1935"/>
    <col min="9217" max="9217" width="34.54296875" style="1935" customWidth="1"/>
    <col min="9218" max="9218" width="24.7265625" style="1935" customWidth="1"/>
    <col min="9219" max="9219" width="19.26953125" style="1935" customWidth="1"/>
    <col min="9220" max="9221" width="14.1796875" style="1935" customWidth="1"/>
    <col min="9222" max="9222" width="17.54296875" style="1935" customWidth="1"/>
    <col min="9223" max="9223" width="17.81640625" style="1935" customWidth="1"/>
    <col min="9224" max="9224" width="14.54296875" style="1935" bestFit="1" customWidth="1"/>
    <col min="9225" max="9225" width="12.453125" style="1935" bestFit="1" customWidth="1"/>
    <col min="9226" max="9226" width="14.54296875" style="1935" bestFit="1" customWidth="1"/>
    <col min="9227" max="9472" width="9.1796875" style="1935"/>
    <col min="9473" max="9473" width="34.54296875" style="1935" customWidth="1"/>
    <col min="9474" max="9474" width="24.7265625" style="1935" customWidth="1"/>
    <col min="9475" max="9475" width="19.26953125" style="1935" customWidth="1"/>
    <col min="9476" max="9477" width="14.1796875" style="1935" customWidth="1"/>
    <col min="9478" max="9478" width="17.54296875" style="1935" customWidth="1"/>
    <col min="9479" max="9479" width="17.81640625" style="1935" customWidth="1"/>
    <col min="9480" max="9480" width="14.54296875" style="1935" bestFit="1" customWidth="1"/>
    <col min="9481" max="9481" width="12.453125" style="1935" bestFit="1" customWidth="1"/>
    <col min="9482" max="9482" width="14.54296875" style="1935" bestFit="1" customWidth="1"/>
    <col min="9483" max="9728" width="9.1796875" style="1935"/>
    <col min="9729" max="9729" width="34.54296875" style="1935" customWidth="1"/>
    <col min="9730" max="9730" width="24.7265625" style="1935" customWidth="1"/>
    <col min="9731" max="9731" width="19.26953125" style="1935" customWidth="1"/>
    <col min="9732" max="9733" width="14.1796875" style="1935" customWidth="1"/>
    <col min="9734" max="9734" width="17.54296875" style="1935" customWidth="1"/>
    <col min="9735" max="9735" width="17.81640625" style="1935" customWidth="1"/>
    <col min="9736" max="9736" width="14.54296875" style="1935" bestFit="1" customWidth="1"/>
    <col min="9737" max="9737" width="12.453125" style="1935" bestFit="1" customWidth="1"/>
    <col min="9738" max="9738" width="14.54296875" style="1935" bestFit="1" customWidth="1"/>
    <col min="9739" max="9984" width="9.1796875" style="1935"/>
    <col min="9985" max="9985" width="34.54296875" style="1935" customWidth="1"/>
    <col min="9986" max="9986" width="24.7265625" style="1935" customWidth="1"/>
    <col min="9987" max="9987" width="19.26953125" style="1935" customWidth="1"/>
    <col min="9988" max="9989" width="14.1796875" style="1935" customWidth="1"/>
    <col min="9990" max="9990" width="17.54296875" style="1935" customWidth="1"/>
    <col min="9991" max="9991" width="17.81640625" style="1935" customWidth="1"/>
    <col min="9992" max="9992" width="14.54296875" style="1935" bestFit="1" customWidth="1"/>
    <col min="9993" max="9993" width="12.453125" style="1935" bestFit="1" customWidth="1"/>
    <col min="9994" max="9994" width="14.54296875" style="1935" bestFit="1" customWidth="1"/>
    <col min="9995" max="10240" width="9.1796875" style="1935"/>
    <col min="10241" max="10241" width="34.54296875" style="1935" customWidth="1"/>
    <col min="10242" max="10242" width="24.7265625" style="1935" customWidth="1"/>
    <col min="10243" max="10243" width="19.26953125" style="1935" customWidth="1"/>
    <col min="10244" max="10245" width="14.1796875" style="1935" customWidth="1"/>
    <col min="10246" max="10246" width="17.54296875" style="1935" customWidth="1"/>
    <col min="10247" max="10247" width="17.81640625" style="1935" customWidth="1"/>
    <col min="10248" max="10248" width="14.54296875" style="1935" bestFit="1" customWidth="1"/>
    <col min="10249" max="10249" width="12.453125" style="1935" bestFit="1" customWidth="1"/>
    <col min="10250" max="10250" width="14.54296875" style="1935" bestFit="1" customWidth="1"/>
    <col min="10251" max="10496" width="9.1796875" style="1935"/>
    <col min="10497" max="10497" width="34.54296875" style="1935" customWidth="1"/>
    <col min="10498" max="10498" width="24.7265625" style="1935" customWidth="1"/>
    <col min="10499" max="10499" width="19.26953125" style="1935" customWidth="1"/>
    <col min="10500" max="10501" width="14.1796875" style="1935" customWidth="1"/>
    <col min="10502" max="10502" width="17.54296875" style="1935" customWidth="1"/>
    <col min="10503" max="10503" width="17.81640625" style="1935" customWidth="1"/>
    <col min="10504" max="10504" width="14.54296875" style="1935" bestFit="1" customWidth="1"/>
    <col min="10505" max="10505" width="12.453125" style="1935" bestFit="1" customWidth="1"/>
    <col min="10506" max="10506" width="14.54296875" style="1935" bestFit="1" customWidth="1"/>
    <col min="10507" max="10752" width="9.1796875" style="1935"/>
    <col min="10753" max="10753" width="34.54296875" style="1935" customWidth="1"/>
    <col min="10754" max="10754" width="24.7265625" style="1935" customWidth="1"/>
    <col min="10755" max="10755" width="19.26953125" style="1935" customWidth="1"/>
    <col min="10756" max="10757" width="14.1796875" style="1935" customWidth="1"/>
    <col min="10758" max="10758" width="17.54296875" style="1935" customWidth="1"/>
    <col min="10759" max="10759" width="17.81640625" style="1935" customWidth="1"/>
    <col min="10760" max="10760" width="14.54296875" style="1935" bestFit="1" customWidth="1"/>
    <col min="10761" max="10761" width="12.453125" style="1935" bestFit="1" customWidth="1"/>
    <col min="10762" max="10762" width="14.54296875" style="1935" bestFit="1" customWidth="1"/>
    <col min="10763" max="11008" width="9.1796875" style="1935"/>
    <col min="11009" max="11009" width="34.54296875" style="1935" customWidth="1"/>
    <col min="11010" max="11010" width="24.7265625" style="1935" customWidth="1"/>
    <col min="11011" max="11011" width="19.26953125" style="1935" customWidth="1"/>
    <col min="11012" max="11013" width="14.1796875" style="1935" customWidth="1"/>
    <col min="11014" max="11014" width="17.54296875" style="1935" customWidth="1"/>
    <col min="11015" max="11015" width="17.81640625" style="1935" customWidth="1"/>
    <col min="11016" max="11016" width="14.54296875" style="1935" bestFit="1" customWidth="1"/>
    <col min="11017" max="11017" width="12.453125" style="1935" bestFit="1" customWidth="1"/>
    <col min="11018" max="11018" width="14.54296875" style="1935" bestFit="1" customWidth="1"/>
    <col min="11019" max="11264" width="9.1796875" style="1935"/>
    <col min="11265" max="11265" width="34.54296875" style="1935" customWidth="1"/>
    <col min="11266" max="11266" width="24.7265625" style="1935" customWidth="1"/>
    <col min="11267" max="11267" width="19.26953125" style="1935" customWidth="1"/>
    <col min="11268" max="11269" width="14.1796875" style="1935" customWidth="1"/>
    <col min="11270" max="11270" width="17.54296875" style="1935" customWidth="1"/>
    <col min="11271" max="11271" width="17.81640625" style="1935" customWidth="1"/>
    <col min="11272" max="11272" width="14.54296875" style="1935" bestFit="1" customWidth="1"/>
    <col min="11273" max="11273" width="12.453125" style="1935" bestFit="1" customWidth="1"/>
    <col min="11274" max="11274" width="14.54296875" style="1935" bestFit="1" customWidth="1"/>
    <col min="11275" max="11520" width="9.1796875" style="1935"/>
    <col min="11521" max="11521" width="34.54296875" style="1935" customWidth="1"/>
    <col min="11522" max="11522" width="24.7265625" style="1935" customWidth="1"/>
    <col min="11523" max="11523" width="19.26953125" style="1935" customWidth="1"/>
    <col min="11524" max="11525" width="14.1796875" style="1935" customWidth="1"/>
    <col min="11526" max="11526" width="17.54296875" style="1935" customWidth="1"/>
    <col min="11527" max="11527" width="17.81640625" style="1935" customWidth="1"/>
    <col min="11528" max="11528" width="14.54296875" style="1935" bestFit="1" customWidth="1"/>
    <col min="11529" max="11529" width="12.453125" style="1935" bestFit="1" customWidth="1"/>
    <col min="11530" max="11530" width="14.54296875" style="1935" bestFit="1" customWidth="1"/>
    <col min="11531" max="11776" width="9.1796875" style="1935"/>
    <col min="11777" max="11777" width="34.54296875" style="1935" customWidth="1"/>
    <col min="11778" max="11778" width="24.7265625" style="1935" customWidth="1"/>
    <col min="11779" max="11779" width="19.26953125" style="1935" customWidth="1"/>
    <col min="11780" max="11781" width="14.1796875" style="1935" customWidth="1"/>
    <col min="11782" max="11782" width="17.54296875" style="1935" customWidth="1"/>
    <col min="11783" max="11783" width="17.81640625" style="1935" customWidth="1"/>
    <col min="11784" max="11784" width="14.54296875" style="1935" bestFit="1" customWidth="1"/>
    <col min="11785" max="11785" width="12.453125" style="1935" bestFit="1" customWidth="1"/>
    <col min="11786" max="11786" width="14.54296875" style="1935" bestFit="1" customWidth="1"/>
    <col min="11787" max="12032" width="9.1796875" style="1935"/>
    <col min="12033" max="12033" width="34.54296875" style="1935" customWidth="1"/>
    <col min="12034" max="12034" width="24.7265625" style="1935" customWidth="1"/>
    <col min="12035" max="12035" width="19.26953125" style="1935" customWidth="1"/>
    <col min="12036" max="12037" width="14.1796875" style="1935" customWidth="1"/>
    <col min="12038" max="12038" width="17.54296875" style="1935" customWidth="1"/>
    <col min="12039" max="12039" width="17.81640625" style="1935" customWidth="1"/>
    <col min="12040" max="12040" width="14.54296875" style="1935" bestFit="1" customWidth="1"/>
    <col min="12041" max="12041" width="12.453125" style="1935" bestFit="1" customWidth="1"/>
    <col min="12042" max="12042" width="14.54296875" style="1935" bestFit="1" customWidth="1"/>
    <col min="12043" max="12288" width="9.1796875" style="1935"/>
    <col min="12289" max="12289" width="34.54296875" style="1935" customWidth="1"/>
    <col min="12290" max="12290" width="24.7265625" style="1935" customWidth="1"/>
    <col min="12291" max="12291" width="19.26953125" style="1935" customWidth="1"/>
    <col min="12292" max="12293" width="14.1796875" style="1935" customWidth="1"/>
    <col min="12294" max="12294" width="17.54296875" style="1935" customWidth="1"/>
    <col min="12295" max="12295" width="17.81640625" style="1935" customWidth="1"/>
    <col min="12296" max="12296" width="14.54296875" style="1935" bestFit="1" customWidth="1"/>
    <col min="12297" max="12297" width="12.453125" style="1935" bestFit="1" customWidth="1"/>
    <col min="12298" max="12298" width="14.54296875" style="1935" bestFit="1" customWidth="1"/>
    <col min="12299" max="12544" width="9.1796875" style="1935"/>
    <col min="12545" max="12545" width="34.54296875" style="1935" customWidth="1"/>
    <col min="12546" max="12546" width="24.7265625" style="1935" customWidth="1"/>
    <col min="12547" max="12547" width="19.26953125" style="1935" customWidth="1"/>
    <col min="12548" max="12549" width="14.1796875" style="1935" customWidth="1"/>
    <col min="12550" max="12550" width="17.54296875" style="1935" customWidth="1"/>
    <col min="12551" max="12551" width="17.81640625" style="1935" customWidth="1"/>
    <col min="12552" max="12552" width="14.54296875" style="1935" bestFit="1" customWidth="1"/>
    <col min="12553" max="12553" width="12.453125" style="1935" bestFit="1" customWidth="1"/>
    <col min="12554" max="12554" width="14.54296875" style="1935" bestFit="1" customWidth="1"/>
    <col min="12555" max="12800" width="9.1796875" style="1935"/>
    <col min="12801" max="12801" width="34.54296875" style="1935" customWidth="1"/>
    <col min="12802" max="12802" width="24.7265625" style="1935" customWidth="1"/>
    <col min="12803" max="12803" width="19.26953125" style="1935" customWidth="1"/>
    <col min="12804" max="12805" width="14.1796875" style="1935" customWidth="1"/>
    <col min="12806" max="12806" width="17.54296875" style="1935" customWidth="1"/>
    <col min="12807" max="12807" width="17.81640625" style="1935" customWidth="1"/>
    <col min="12808" max="12808" width="14.54296875" style="1935" bestFit="1" customWidth="1"/>
    <col min="12809" max="12809" width="12.453125" style="1935" bestFit="1" customWidth="1"/>
    <col min="12810" max="12810" width="14.54296875" style="1935" bestFit="1" customWidth="1"/>
    <col min="12811" max="13056" width="9.1796875" style="1935"/>
    <col min="13057" max="13057" width="34.54296875" style="1935" customWidth="1"/>
    <col min="13058" max="13058" width="24.7265625" style="1935" customWidth="1"/>
    <col min="13059" max="13059" width="19.26953125" style="1935" customWidth="1"/>
    <col min="13060" max="13061" width="14.1796875" style="1935" customWidth="1"/>
    <col min="13062" max="13062" width="17.54296875" style="1935" customWidth="1"/>
    <col min="13063" max="13063" width="17.81640625" style="1935" customWidth="1"/>
    <col min="13064" max="13064" width="14.54296875" style="1935" bestFit="1" customWidth="1"/>
    <col min="13065" max="13065" width="12.453125" style="1935" bestFit="1" customWidth="1"/>
    <col min="13066" max="13066" width="14.54296875" style="1935" bestFit="1" customWidth="1"/>
    <col min="13067" max="13312" width="9.1796875" style="1935"/>
    <col min="13313" max="13313" width="34.54296875" style="1935" customWidth="1"/>
    <col min="13314" max="13314" width="24.7265625" style="1935" customWidth="1"/>
    <col min="13315" max="13315" width="19.26953125" style="1935" customWidth="1"/>
    <col min="13316" max="13317" width="14.1796875" style="1935" customWidth="1"/>
    <col min="13318" max="13318" width="17.54296875" style="1935" customWidth="1"/>
    <col min="13319" max="13319" width="17.81640625" style="1935" customWidth="1"/>
    <col min="13320" max="13320" width="14.54296875" style="1935" bestFit="1" customWidth="1"/>
    <col min="13321" max="13321" width="12.453125" style="1935" bestFit="1" customWidth="1"/>
    <col min="13322" max="13322" width="14.54296875" style="1935" bestFit="1" customWidth="1"/>
    <col min="13323" max="13568" width="9.1796875" style="1935"/>
    <col min="13569" max="13569" width="34.54296875" style="1935" customWidth="1"/>
    <col min="13570" max="13570" width="24.7265625" style="1935" customWidth="1"/>
    <col min="13571" max="13571" width="19.26953125" style="1935" customWidth="1"/>
    <col min="13572" max="13573" width="14.1796875" style="1935" customWidth="1"/>
    <col min="13574" max="13574" width="17.54296875" style="1935" customWidth="1"/>
    <col min="13575" max="13575" width="17.81640625" style="1935" customWidth="1"/>
    <col min="13576" max="13576" width="14.54296875" style="1935" bestFit="1" customWidth="1"/>
    <col min="13577" max="13577" width="12.453125" style="1935" bestFit="1" customWidth="1"/>
    <col min="13578" max="13578" width="14.54296875" style="1935" bestFit="1" customWidth="1"/>
    <col min="13579" max="13824" width="9.1796875" style="1935"/>
    <col min="13825" max="13825" width="34.54296875" style="1935" customWidth="1"/>
    <col min="13826" max="13826" width="24.7265625" style="1935" customWidth="1"/>
    <col min="13827" max="13827" width="19.26953125" style="1935" customWidth="1"/>
    <col min="13828" max="13829" width="14.1796875" style="1935" customWidth="1"/>
    <col min="13830" max="13830" width="17.54296875" style="1935" customWidth="1"/>
    <col min="13831" max="13831" width="17.81640625" style="1935" customWidth="1"/>
    <col min="13832" max="13832" width="14.54296875" style="1935" bestFit="1" customWidth="1"/>
    <col min="13833" max="13833" width="12.453125" style="1935" bestFit="1" customWidth="1"/>
    <col min="13834" max="13834" width="14.54296875" style="1935" bestFit="1" customWidth="1"/>
    <col min="13835" max="14080" width="9.1796875" style="1935"/>
    <col min="14081" max="14081" width="34.54296875" style="1935" customWidth="1"/>
    <col min="14082" max="14082" width="24.7265625" style="1935" customWidth="1"/>
    <col min="14083" max="14083" width="19.26953125" style="1935" customWidth="1"/>
    <col min="14084" max="14085" width="14.1796875" style="1935" customWidth="1"/>
    <col min="14086" max="14086" width="17.54296875" style="1935" customWidth="1"/>
    <col min="14087" max="14087" width="17.81640625" style="1935" customWidth="1"/>
    <col min="14088" max="14088" width="14.54296875" style="1935" bestFit="1" customWidth="1"/>
    <col min="14089" max="14089" width="12.453125" style="1935" bestFit="1" customWidth="1"/>
    <col min="14090" max="14090" width="14.54296875" style="1935" bestFit="1" customWidth="1"/>
    <col min="14091" max="14336" width="9.1796875" style="1935"/>
    <col min="14337" max="14337" width="34.54296875" style="1935" customWidth="1"/>
    <col min="14338" max="14338" width="24.7265625" style="1935" customWidth="1"/>
    <col min="14339" max="14339" width="19.26953125" style="1935" customWidth="1"/>
    <col min="14340" max="14341" width="14.1796875" style="1935" customWidth="1"/>
    <col min="14342" max="14342" width="17.54296875" style="1935" customWidth="1"/>
    <col min="14343" max="14343" width="17.81640625" style="1935" customWidth="1"/>
    <col min="14344" max="14344" width="14.54296875" style="1935" bestFit="1" customWidth="1"/>
    <col min="14345" max="14345" width="12.453125" style="1935" bestFit="1" customWidth="1"/>
    <col min="14346" max="14346" width="14.54296875" style="1935" bestFit="1" customWidth="1"/>
    <col min="14347" max="14592" width="9.1796875" style="1935"/>
    <col min="14593" max="14593" width="34.54296875" style="1935" customWidth="1"/>
    <col min="14594" max="14594" width="24.7265625" style="1935" customWidth="1"/>
    <col min="14595" max="14595" width="19.26953125" style="1935" customWidth="1"/>
    <col min="14596" max="14597" width="14.1796875" style="1935" customWidth="1"/>
    <col min="14598" max="14598" width="17.54296875" style="1935" customWidth="1"/>
    <col min="14599" max="14599" width="17.81640625" style="1935" customWidth="1"/>
    <col min="14600" max="14600" width="14.54296875" style="1935" bestFit="1" customWidth="1"/>
    <col min="14601" max="14601" width="12.453125" style="1935" bestFit="1" customWidth="1"/>
    <col min="14602" max="14602" width="14.54296875" style="1935" bestFit="1" customWidth="1"/>
    <col min="14603" max="14848" width="9.1796875" style="1935"/>
    <col min="14849" max="14849" width="34.54296875" style="1935" customWidth="1"/>
    <col min="14850" max="14850" width="24.7265625" style="1935" customWidth="1"/>
    <col min="14851" max="14851" width="19.26953125" style="1935" customWidth="1"/>
    <col min="14852" max="14853" width="14.1796875" style="1935" customWidth="1"/>
    <col min="14854" max="14854" width="17.54296875" style="1935" customWidth="1"/>
    <col min="14855" max="14855" width="17.81640625" style="1935" customWidth="1"/>
    <col min="14856" max="14856" width="14.54296875" style="1935" bestFit="1" customWidth="1"/>
    <col min="14857" max="14857" width="12.453125" style="1935" bestFit="1" customWidth="1"/>
    <col min="14858" max="14858" width="14.54296875" style="1935" bestFit="1" customWidth="1"/>
    <col min="14859" max="15104" width="9.1796875" style="1935"/>
    <col min="15105" max="15105" width="34.54296875" style="1935" customWidth="1"/>
    <col min="15106" max="15106" width="24.7265625" style="1935" customWidth="1"/>
    <col min="15107" max="15107" width="19.26953125" style="1935" customWidth="1"/>
    <col min="15108" max="15109" width="14.1796875" style="1935" customWidth="1"/>
    <col min="15110" max="15110" width="17.54296875" style="1935" customWidth="1"/>
    <col min="15111" max="15111" width="17.81640625" style="1935" customWidth="1"/>
    <col min="15112" max="15112" width="14.54296875" style="1935" bestFit="1" customWidth="1"/>
    <col min="15113" max="15113" width="12.453125" style="1935" bestFit="1" customWidth="1"/>
    <col min="15114" max="15114" width="14.54296875" style="1935" bestFit="1" customWidth="1"/>
    <col min="15115" max="15360" width="9.1796875" style="1935"/>
    <col min="15361" max="15361" width="34.54296875" style="1935" customWidth="1"/>
    <col min="15362" max="15362" width="24.7265625" style="1935" customWidth="1"/>
    <col min="15363" max="15363" width="19.26953125" style="1935" customWidth="1"/>
    <col min="15364" max="15365" width="14.1796875" style="1935" customWidth="1"/>
    <col min="15366" max="15366" width="17.54296875" style="1935" customWidth="1"/>
    <col min="15367" max="15367" width="17.81640625" style="1935" customWidth="1"/>
    <col min="15368" max="15368" width="14.54296875" style="1935" bestFit="1" customWidth="1"/>
    <col min="15369" max="15369" width="12.453125" style="1935" bestFit="1" customWidth="1"/>
    <col min="15370" max="15370" width="14.54296875" style="1935" bestFit="1" customWidth="1"/>
    <col min="15371" max="15616" width="9.1796875" style="1935"/>
    <col min="15617" max="15617" width="34.54296875" style="1935" customWidth="1"/>
    <col min="15618" max="15618" width="24.7265625" style="1935" customWidth="1"/>
    <col min="15619" max="15619" width="19.26953125" style="1935" customWidth="1"/>
    <col min="15620" max="15621" width="14.1796875" style="1935" customWidth="1"/>
    <col min="15622" max="15622" width="17.54296875" style="1935" customWidth="1"/>
    <col min="15623" max="15623" width="17.81640625" style="1935" customWidth="1"/>
    <col min="15624" max="15624" width="14.54296875" style="1935" bestFit="1" customWidth="1"/>
    <col min="15625" max="15625" width="12.453125" style="1935" bestFit="1" customWidth="1"/>
    <col min="15626" max="15626" width="14.54296875" style="1935" bestFit="1" customWidth="1"/>
    <col min="15627" max="15872" width="9.1796875" style="1935"/>
    <col min="15873" max="15873" width="34.54296875" style="1935" customWidth="1"/>
    <col min="15874" max="15874" width="24.7265625" style="1935" customWidth="1"/>
    <col min="15875" max="15875" width="19.26953125" style="1935" customWidth="1"/>
    <col min="15876" max="15877" width="14.1796875" style="1935" customWidth="1"/>
    <col min="15878" max="15878" width="17.54296875" style="1935" customWidth="1"/>
    <col min="15879" max="15879" width="17.81640625" style="1935" customWidth="1"/>
    <col min="15880" max="15880" width="14.54296875" style="1935" bestFit="1" customWidth="1"/>
    <col min="15881" max="15881" width="12.453125" style="1935" bestFit="1" customWidth="1"/>
    <col min="15882" max="15882" width="14.54296875" style="1935" bestFit="1" customWidth="1"/>
    <col min="15883" max="16128" width="9.1796875" style="1935"/>
    <col min="16129" max="16129" width="34.54296875" style="1935" customWidth="1"/>
    <col min="16130" max="16130" width="24.7265625" style="1935" customWidth="1"/>
    <col min="16131" max="16131" width="19.26953125" style="1935" customWidth="1"/>
    <col min="16132" max="16133" width="14.1796875" style="1935" customWidth="1"/>
    <col min="16134" max="16134" width="17.54296875" style="1935" customWidth="1"/>
    <col min="16135" max="16135" width="17.81640625" style="1935" customWidth="1"/>
    <col min="16136" max="16136" width="14.54296875" style="1935" bestFit="1" customWidth="1"/>
    <col min="16137" max="16137" width="12.453125" style="1935" bestFit="1" customWidth="1"/>
    <col min="16138" max="16138" width="14.54296875" style="1935" bestFit="1" customWidth="1"/>
    <col min="16139" max="16384" width="9.1796875" style="1935"/>
  </cols>
  <sheetData>
    <row r="1" spans="1:18" ht="14.15" customHeight="1" x14ac:dyDescent="0.35">
      <c r="E1" s="3502" t="s">
        <v>946</v>
      </c>
      <c r="F1" s="3502"/>
      <c r="G1" s="3502"/>
    </row>
    <row r="2" spans="1:18" ht="14.15" customHeight="1" x14ac:dyDescent="0.35">
      <c r="E2" s="3502" t="s">
        <v>450</v>
      </c>
      <c r="F2" s="3502"/>
      <c r="G2" s="3502"/>
    </row>
    <row r="3" spans="1:18" ht="15.65" customHeight="1" x14ac:dyDescent="0.35">
      <c r="E3" s="3502" t="s">
        <v>449</v>
      </c>
      <c r="F3" s="3502"/>
      <c r="G3" s="3502"/>
    </row>
    <row r="4" spans="1:18" ht="15.65" customHeight="1" x14ac:dyDescent="0.35">
      <c r="E4" s="3502" t="s">
        <v>448</v>
      </c>
      <c r="F4" s="3502"/>
      <c r="G4" s="3502"/>
    </row>
    <row r="5" spans="1:18" ht="12.65" customHeight="1" x14ac:dyDescent="0.35">
      <c r="E5" s="3502" t="str">
        <f>'прил 5 2021-2023.'!$V$5</f>
        <v xml:space="preserve">    от  "13"  мая  2021 года № 216 </v>
      </c>
      <c r="F5" s="3502"/>
      <c r="G5" s="3502"/>
    </row>
    <row r="6" spans="1:18" ht="13.5" customHeight="1" x14ac:dyDescent="0.35">
      <c r="E6" s="2261"/>
      <c r="F6" s="2261"/>
      <c r="G6" s="2261"/>
    </row>
    <row r="7" spans="1:18" ht="15.5" x14ac:dyDescent="0.35">
      <c r="E7" s="2261"/>
      <c r="F7" s="3512" t="s">
        <v>616</v>
      </c>
      <c r="G7" s="3512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</row>
    <row r="8" spans="1:18" ht="15.5" x14ac:dyDescent="0.35">
      <c r="E8" s="2331"/>
      <c r="F8" s="2331"/>
      <c r="G8" s="2292" t="s">
        <v>450</v>
      </c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</row>
    <row r="9" spans="1:18" ht="15.5" x14ac:dyDescent="0.35">
      <c r="E9" s="2331"/>
      <c r="F9" s="2331"/>
      <c r="G9" s="2292" t="s">
        <v>449</v>
      </c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</row>
    <row r="10" spans="1:18" ht="15.5" x14ac:dyDescent="0.35">
      <c r="E10" s="2331"/>
      <c r="F10" s="2331"/>
      <c r="G10" s="2292" t="s">
        <v>448</v>
      </c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</row>
    <row r="11" spans="1:18" ht="15.5" x14ac:dyDescent="0.35">
      <c r="E11" s="2331"/>
      <c r="F11" s="2331"/>
      <c r="G11" s="2288" t="s">
        <v>1225</v>
      </c>
      <c r="H11" s="1824"/>
      <c r="I11" s="1824"/>
      <c r="J11" s="1824"/>
      <c r="K11" s="1824"/>
      <c r="L11" s="1824"/>
      <c r="N11" s="1824"/>
      <c r="O11" s="1824"/>
      <c r="P11" s="1824"/>
      <c r="Q11" s="1824"/>
      <c r="R11" s="1824"/>
    </row>
    <row r="12" spans="1:18" ht="15.5" hidden="1" x14ac:dyDescent="0.3">
      <c r="E12" s="2174"/>
      <c r="F12" s="2174"/>
      <c r="G12" s="2247"/>
      <c r="H12" s="1824"/>
      <c r="I12" s="1824"/>
      <c r="J12" s="1824"/>
      <c r="K12" s="1824"/>
      <c r="L12" s="1824"/>
      <c r="N12" s="1824"/>
      <c r="O12" s="1824"/>
      <c r="P12" s="1824"/>
      <c r="Q12" s="1824"/>
      <c r="R12" s="1824"/>
    </row>
    <row r="13" spans="1:18" ht="15.5" x14ac:dyDescent="0.3">
      <c r="A13" s="3504" t="s">
        <v>868</v>
      </c>
      <c r="B13" s="3504"/>
      <c r="C13" s="3504"/>
      <c r="D13" s="3504"/>
      <c r="E13" s="3504"/>
      <c r="F13" s="3504"/>
      <c r="G13" s="3504"/>
      <c r="H13" s="2257"/>
      <c r="I13" s="2257"/>
      <c r="J13" s="2257"/>
      <c r="K13" s="1824"/>
      <c r="L13" s="1824"/>
      <c r="N13" s="1824"/>
      <c r="O13" s="1824"/>
      <c r="P13" s="1824"/>
      <c r="Q13" s="1824"/>
      <c r="R13" s="1824"/>
    </row>
    <row r="14" spans="1:18" ht="15" x14ac:dyDescent="0.3">
      <c r="A14" s="3504" t="s">
        <v>869</v>
      </c>
      <c r="B14" s="3504"/>
      <c r="C14" s="3504"/>
      <c r="D14" s="3504"/>
      <c r="E14" s="3504"/>
      <c r="F14" s="3504"/>
      <c r="G14" s="3504"/>
      <c r="H14" s="2257"/>
      <c r="I14" s="2257"/>
      <c r="J14" s="2257"/>
    </row>
    <row r="15" spans="1:18" ht="15" x14ac:dyDescent="0.3">
      <c r="A15" s="3504" t="s">
        <v>1200</v>
      </c>
      <c r="B15" s="3504"/>
      <c r="C15" s="3504"/>
      <c r="D15" s="3504"/>
      <c r="E15" s="3504"/>
      <c r="F15" s="3504"/>
      <c r="G15" s="3504"/>
      <c r="H15" s="2257"/>
      <c r="I15" s="2257"/>
      <c r="J15" s="2257"/>
    </row>
    <row r="16" spans="1:18" s="2261" customFormat="1" ht="18.75" hidden="1" customHeight="1" x14ac:dyDescent="0.35">
      <c r="A16" s="2258"/>
      <c r="B16" s="2258"/>
      <c r="C16" s="2258"/>
      <c r="D16" s="2259"/>
      <c r="E16" s="2259"/>
      <c r="F16" s="2259"/>
      <c r="G16" s="2260"/>
      <c r="H16" s="2260"/>
    </row>
    <row r="17" spans="1:10" s="2261" customFormat="1" ht="16" thickBot="1" x14ac:dyDescent="0.4">
      <c r="A17" s="3505"/>
      <c r="B17" s="3505"/>
      <c r="C17" s="3505"/>
      <c r="D17" s="3505"/>
      <c r="E17" s="3505"/>
      <c r="F17" s="3505"/>
      <c r="G17" s="2262" t="s">
        <v>1092</v>
      </c>
    </row>
    <row r="18" spans="1:10" ht="29.25" customHeight="1" x14ac:dyDescent="0.3">
      <c r="A18" s="3506" t="s">
        <v>1073</v>
      </c>
      <c r="B18" s="3508" t="s">
        <v>1074</v>
      </c>
      <c r="C18" s="3508" t="s">
        <v>1075</v>
      </c>
      <c r="D18" s="3508" t="s">
        <v>1076</v>
      </c>
      <c r="E18" s="3508"/>
      <c r="F18" s="3508"/>
      <c r="G18" s="3510" t="s">
        <v>1077</v>
      </c>
    </row>
    <row r="19" spans="1:10" ht="29.25" customHeight="1" thickBot="1" x14ac:dyDescent="0.35">
      <c r="A19" s="3507"/>
      <c r="B19" s="3509"/>
      <c r="C19" s="3509"/>
      <c r="D19" s="2263" t="s">
        <v>899</v>
      </c>
      <c r="E19" s="2263" t="s">
        <v>997</v>
      </c>
      <c r="F19" s="2263" t="s">
        <v>1198</v>
      </c>
      <c r="G19" s="3511"/>
    </row>
    <row r="20" spans="1:10" ht="33.75" customHeight="1" thickBot="1" x14ac:dyDescent="0.35">
      <c r="A20" s="3516" t="s">
        <v>884</v>
      </c>
      <c r="B20" s="3517"/>
      <c r="C20" s="3517"/>
      <c r="D20" s="3517"/>
      <c r="E20" s="3517"/>
      <c r="F20" s="3517"/>
      <c r="G20" s="3518"/>
    </row>
    <row r="21" spans="1:10" ht="33.75" customHeight="1" thickBot="1" x14ac:dyDescent="0.35">
      <c r="A21" s="2264" t="s">
        <v>1131</v>
      </c>
      <c r="B21" s="2265"/>
      <c r="C21" s="2269"/>
      <c r="D21" s="2266">
        <f>D24+D41</f>
        <v>9302.8870000000006</v>
      </c>
      <c r="E21" s="2267">
        <f>E24+E41</f>
        <v>172.47</v>
      </c>
      <c r="F21" s="2268">
        <f>F24+F41</f>
        <v>124.16</v>
      </c>
      <c r="G21" s="2265"/>
    </row>
    <row r="22" spans="1:10" ht="27.75" customHeight="1" x14ac:dyDescent="0.3">
      <c r="A22" s="3519" t="s">
        <v>1132</v>
      </c>
      <c r="B22" s="3522" t="s">
        <v>1090</v>
      </c>
      <c r="C22" s="2393" t="s">
        <v>1080</v>
      </c>
      <c r="D22" s="2429">
        <f>119.8-33.24</f>
        <v>86.56</v>
      </c>
      <c r="E22" s="2429">
        <f>1514.38-1514.38</f>
        <v>0</v>
      </c>
      <c r="F22" s="2430">
        <v>0</v>
      </c>
      <c r="G22" s="3513">
        <v>2022</v>
      </c>
    </row>
    <row r="23" spans="1:10" ht="27.75" customHeight="1" thickBot="1" x14ac:dyDescent="0.35">
      <c r="A23" s="3520"/>
      <c r="B23" s="3523"/>
      <c r="C23" s="2390" t="s">
        <v>1081</v>
      </c>
      <c r="D23" s="2431">
        <f>5868.75-1628.99</f>
        <v>4239.76</v>
      </c>
      <c r="E23" s="2431">
        <f>14400-14400</f>
        <v>0</v>
      </c>
      <c r="F23" s="2432">
        <v>0</v>
      </c>
      <c r="G23" s="3514"/>
    </row>
    <row r="24" spans="1:10" ht="43" customHeight="1" thickBot="1" x14ac:dyDescent="0.35">
      <c r="A24" s="3521"/>
      <c r="B24" s="3524"/>
      <c r="C24" s="2394" t="s">
        <v>1082</v>
      </c>
      <c r="D24" s="2433">
        <f>SUM(D22:D23)</f>
        <v>4326.3200000000006</v>
      </c>
      <c r="E24" s="2434">
        <f>SUM(E22:E23)</f>
        <v>0</v>
      </c>
      <c r="F24" s="2433">
        <f>SUM(F22:F23)</f>
        <v>0</v>
      </c>
      <c r="G24" s="3515"/>
    </row>
    <row r="25" spans="1:10" ht="34" hidden="1" customHeight="1" x14ac:dyDescent="0.3">
      <c r="A25" s="3525"/>
      <c r="B25" s="3526"/>
      <c r="C25" s="3526"/>
      <c r="D25" s="3526"/>
      <c r="E25" s="3526"/>
      <c r="F25" s="3527"/>
      <c r="G25" s="3513">
        <v>2022</v>
      </c>
    </row>
    <row r="26" spans="1:10" ht="35.5" hidden="1" customHeight="1" x14ac:dyDescent="0.3">
      <c r="A26" s="3528" t="s">
        <v>1083</v>
      </c>
      <c r="B26" s="3529" t="s">
        <v>1079</v>
      </c>
      <c r="C26" s="2250" t="s">
        <v>1080</v>
      </c>
      <c r="D26" s="2270">
        <v>0</v>
      </c>
      <c r="E26" s="2270">
        <v>0</v>
      </c>
      <c r="F26" s="2271">
        <v>0</v>
      </c>
      <c r="G26" s="3514"/>
      <c r="H26" s="2275"/>
      <c r="I26" s="2275"/>
      <c r="J26" s="2275"/>
    </row>
    <row r="27" spans="1:10" ht="35.5" hidden="1" customHeight="1" x14ac:dyDescent="0.3">
      <c r="A27" s="3528"/>
      <c r="B27" s="3529"/>
      <c r="C27" s="2250" t="s">
        <v>1081</v>
      </c>
      <c r="D27" s="2270">
        <v>0</v>
      </c>
      <c r="E27" s="2270">
        <v>0</v>
      </c>
      <c r="F27" s="2271">
        <v>0</v>
      </c>
      <c r="G27" s="3514"/>
      <c r="H27" s="2275"/>
      <c r="I27" s="2275"/>
      <c r="J27" s="2275"/>
    </row>
    <row r="28" spans="1:10" ht="35.5" hidden="1" customHeight="1" x14ac:dyDescent="0.3">
      <c r="A28" s="3528"/>
      <c r="B28" s="3529"/>
      <c r="C28" s="2250" t="s">
        <v>1082</v>
      </c>
      <c r="D28" s="2270">
        <f>SUM(D26:D27)</f>
        <v>0</v>
      </c>
      <c r="E28" s="2270">
        <f>SUM(E26:E27)</f>
        <v>0</v>
      </c>
      <c r="F28" s="2271">
        <f>SUM(F26:F27)</f>
        <v>0</v>
      </c>
      <c r="G28" s="3514"/>
      <c r="H28" s="2275"/>
      <c r="I28" s="2275"/>
      <c r="J28" s="2275"/>
    </row>
    <row r="29" spans="1:10" ht="28.5" hidden="1" customHeight="1" x14ac:dyDescent="0.3">
      <c r="A29" s="3528" t="s">
        <v>1084</v>
      </c>
      <c r="B29" s="3529" t="s">
        <v>1079</v>
      </c>
      <c r="C29" s="2250" t="s">
        <v>1080</v>
      </c>
      <c r="D29" s="2270">
        <v>0</v>
      </c>
      <c r="E29" s="2270">
        <v>0</v>
      </c>
      <c r="F29" s="2271">
        <v>0</v>
      </c>
      <c r="G29" s="3514"/>
      <c r="H29" s="2275"/>
      <c r="I29" s="2275"/>
      <c r="J29" s="2275"/>
    </row>
    <row r="30" spans="1:10" ht="28.5" hidden="1" customHeight="1" x14ac:dyDescent="0.3">
      <c r="A30" s="3528"/>
      <c r="B30" s="3529"/>
      <c r="C30" s="2250" t="s">
        <v>1081</v>
      </c>
      <c r="D30" s="2270">
        <v>0</v>
      </c>
      <c r="E30" s="2270">
        <v>0</v>
      </c>
      <c r="F30" s="2271">
        <v>0</v>
      </c>
      <c r="G30" s="3514"/>
      <c r="H30" s="2275"/>
      <c r="I30" s="2275"/>
      <c r="J30" s="2275"/>
    </row>
    <row r="31" spans="1:10" ht="28.5" hidden="1" customHeight="1" x14ac:dyDescent="0.3">
      <c r="A31" s="3528"/>
      <c r="B31" s="3529"/>
      <c r="C31" s="2250" t="s">
        <v>1082</v>
      </c>
      <c r="D31" s="2270">
        <f>SUM(D29:D30)</f>
        <v>0</v>
      </c>
      <c r="E31" s="2270">
        <f>SUM(E29:E30)</f>
        <v>0</v>
      </c>
      <c r="F31" s="2271">
        <f>SUM(F29:F30)</f>
        <v>0</v>
      </c>
      <c r="G31" s="3514"/>
      <c r="H31" s="2275"/>
      <c r="I31" s="2275"/>
      <c r="J31" s="2275"/>
    </row>
    <row r="32" spans="1:10" ht="28.5" hidden="1" customHeight="1" x14ac:dyDescent="0.3">
      <c r="A32" s="3528" t="s">
        <v>1085</v>
      </c>
      <c r="B32" s="3529" t="s">
        <v>1079</v>
      </c>
      <c r="C32" s="2250" t="s">
        <v>1080</v>
      </c>
      <c r="D32" s="2270">
        <v>0</v>
      </c>
      <c r="E32" s="2270">
        <v>0</v>
      </c>
      <c r="F32" s="2271">
        <v>0</v>
      </c>
      <c r="G32" s="3514"/>
      <c r="H32" s="2275"/>
      <c r="I32" s="2275"/>
      <c r="J32" s="2275"/>
    </row>
    <row r="33" spans="1:10" ht="28.5" hidden="1" customHeight="1" x14ac:dyDescent="0.3">
      <c r="A33" s="3528"/>
      <c r="B33" s="3529"/>
      <c r="C33" s="2250" t="s">
        <v>1081</v>
      </c>
      <c r="D33" s="2270">
        <v>0</v>
      </c>
      <c r="E33" s="2270">
        <v>0</v>
      </c>
      <c r="F33" s="2271">
        <v>0</v>
      </c>
      <c r="G33" s="3514"/>
      <c r="H33" s="2275"/>
      <c r="I33" s="2275"/>
      <c r="J33" s="2275"/>
    </row>
    <row r="34" spans="1:10" ht="28.5" hidden="1" customHeight="1" x14ac:dyDescent="0.3">
      <c r="A34" s="3528"/>
      <c r="B34" s="3530"/>
      <c r="C34" s="2250" t="s">
        <v>1082</v>
      </c>
      <c r="D34" s="2270">
        <f>SUM(D32:D33)</f>
        <v>0</v>
      </c>
      <c r="E34" s="2270">
        <f>SUM(E32:E33)</f>
        <v>0</v>
      </c>
      <c r="F34" s="2271">
        <f>SUM(F32:F33)</f>
        <v>0</v>
      </c>
      <c r="G34" s="3514"/>
      <c r="H34" s="2275"/>
      <c r="I34" s="2275"/>
      <c r="J34" s="2275"/>
    </row>
    <row r="35" spans="1:10" s="2277" customFormat="1" ht="28.5" customHeight="1" x14ac:dyDescent="0.3">
      <c r="A35" s="3531" t="s">
        <v>1133</v>
      </c>
      <c r="B35" s="3534" t="s">
        <v>1090</v>
      </c>
      <c r="C35" s="337" t="s">
        <v>1080</v>
      </c>
      <c r="D35" s="2435">
        <f>33.112+139.358+600+826.097</f>
        <v>1598.567</v>
      </c>
      <c r="E35" s="2435">
        <f>33.112+139.358</f>
        <v>172.47</v>
      </c>
      <c r="F35" s="2436"/>
      <c r="G35" s="3514"/>
      <c r="H35" s="2276"/>
      <c r="I35" s="2276"/>
      <c r="J35" s="2276"/>
    </row>
    <row r="36" spans="1:10" s="2277" customFormat="1" ht="28.5" customHeight="1" thickBot="1" x14ac:dyDescent="0.35">
      <c r="A36" s="3532"/>
      <c r="B36" s="3535"/>
      <c r="C36" s="2390" t="s">
        <v>1081</v>
      </c>
      <c r="D36" s="2431">
        <v>3278</v>
      </c>
      <c r="E36" s="2431">
        <v>3278</v>
      </c>
      <c r="F36" s="2432">
        <f t="shared" ref="F36" si="0">F27+F30+F33</f>
        <v>0</v>
      </c>
      <c r="G36" s="3514"/>
      <c r="H36" s="2276"/>
      <c r="I36" s="2276"/>
      <c r="J36" s="2276"/>
    </row>
    <row r="37" spans="1:10" s="2277" customFormat="1" ht="74.25" customHeight="1" thickBot="1" x14ac:dyDescent="0.35">
      <c r="A37" s="3533"/>
      <c r="B37" s="3535"/>
      <c r="C37" s="2391" t="s">
        <v>1134</v>
      </c>
      <c r="D37" s="2437">
        <f>D35+D36</f>
        <v>4876.567</v>
      </c>
      <c r="E37" s="2437">
        <f>E35</f>
        <v>172.47</v>
      </c>
      <c r="F37" s="2438">
        <f>F35</f>
        <v>0</v>
      </c>
      <c r="G37" s="3515"/>
      <c r="H37" s="2276"/>
      <c r="I37" s="2276"/>
      <c r="J37" s="2276"/>
    </row>
    <row r="38" spans="1:10" s="2277" customFormat="1" ht="32.5" customHeight="1" x14ac:dyDescent="0.3">
      <c r="A38" s="3531" t="s">
        <v>1135</v>
      </c>
      <c r="B38" s="3535"/>
      <c r="C38" s="2392" t="s">
        <v>1080</v>
      </c>
      <c r="D38" s="2439">
        <f>0.96+4.04</f>
        <v>5</v>
      </c>
      <c r="E38" s="2439"/>
      <c r="F38" s="2440">
        <f>23.92+100.24</f>
        <v>124.16</v>
      </c>
      <c r="G38" s="3513">
        <v>2023</v>
      </c>
      <c r="H38" s="2276"/>
      <c r="I38" s="2276"/>
      <c r="J38" s="2276"/>
    </row>
    <row r="39" spans="1:10" s="2277" customFormat="1" ht="30.65" customHeight="1" thickBot="1" x14ac:dyDescent="0.35">
      <c r="A39" s="3532"/>
      <c r="B39" s="3535"/>
      <c r="C39" s="2390" t="s">
        <v>1081</v>
      </c>
      <c r="D39" s="2431">
        <f>95</f>
        <v>95</v>
      </c>
      <c r="E39" s="2431"/>
      <c r="F39" s="2432">
        <v>2368</v>
      </c>
      <c r="G39" s="3514"/>
      <c r="H39" s="2276"/>
      <c r="I39" s="2276"/>
      <c r="J39" s="2276"/>
    </row>
    <row r="40" spans="1:10" s="2277" customFormat="1" ht="32.5" customHeight="1" thickBot="1" x14ac:dyDescent="0.35">
      <c r="A40" s="3532"/>
      <c r="B40" s="3535"/>
      <c r="C40" s="2394" t="s">
        <v>1134</v>
      </c>
      <c r="D40" s="2433">
        <f>D38+D39</f>
        <v>100</v>
      </c>
      <c r="E40" s="2433">
        <f>E38</f>
        <v>0</v>
      </c>
      <c r="F40" s="2441">
        <f>F38</f>
        <v>124.16</v>
      </c>
      <c r="G40" s="3514"/>
      <c r="H40" s="2276"/>
      <c r="I40" s="2276"/>
      <c r="J40" s="2276"/>
    </row>
    <row r="41" spans="1:10" s="2277" customFormat="1" ht="32.5" customHeight="1" thickBot="1" x14ac:dyDescent="0.35">
      <c r="A41" s="3537"/>
      <c r="B41" s="3536"/>
      <c r="C41" s="2398" t="s">
        <v>1082</v>
      </c>
      <c r="D41" s="2433">
        <f>D37+D40</f>
        <v>4976.567</v>
      </c>
      <c r="E41" s="2442">
        <f>E37+E40</f>
        <v>172.47</v>
      </c>
      <c r="F41" s="2433">
        <f>F37+F40</f>
        <v>124.16</v>
      </c>
      <c r="G41" s="3515"/>
      <c r="H41" s="2276"/>
      <c r="I41" s="2276"/>
      <c r="J41" s="2276"/>
    </row>
    <row r="42" spans="1:10" s="2277" customFormat="1" ht="13" hidden="1" customHeight="1" x14ac:dyDescent="0.3">
      <c r="A42" s="3538" t="s">
        <v>1178</v>
      </c>
      <c r="B42" s="3539"/>
      <c r="C42" s="3539"/>
      <c r="D42" s="3539"/>
      <c r="E42" s="3539"/>
      <c r="F42" s="3539"/>
      <c r="G42" s="3540"/>
      <c r="H42" s="2276"/>
      <c r="I42" s="2276"/>
      <c r="J42" s="2276"/>
    </row>
    <row r="43" spans="1:10" s="2277" customFormat="1" ht="13" hidden="1" customHeight="1" x14ac:dyDescent="0.3">
      <c r="A43" s="3541"/>
      <c r="B43" s="3542"/>
      <c r="C43" s="3542"/>
      <c r="D43" s="3542"/>
      <c r="E43" s="3542"/>
      <c r="F43" s="3542"/>
      <c r="G43" s="3543"/>
      <c r="H43" s="2276"/>
      <c r="I43" s="2276"/>
      <c r="J43" s="2276"/>
    </row>
    <row r="44" spans="1:10" s="2277" customFormat="1" ht="13.75" hidden="1" customHeight="1" thickBot="1" x14ac:dyDescent="0.35">
      <c r="A44" s="2278"/>
      <c r="B44" s="2279"/>
      <c r="C44" s="2279"/>
      <c r="D44" s="2279"/>
      <c r="E44" s="2279"/>
      <c r="F44" s="2280"/>
      <c r="G44" s="2281"/>
      <c r="H44" s="2276"/>
      <c r="I44" s="2276"/>
      <c r="J44" s="2276"/>
    </row>
    <row r="45" spans="1:10" s="2277" customFormat="1" ht="22.5" hidden="1" customHeight="1" thickBot="1" x14ac:dyDescent="0.35">
      <c r="A45" s="2335" t="s">
        <v>1131</v>
      </c>
      <c r="B45" s="2265"/>
      <c r="C45" s="2269"/>
      <c r="D45" s="2266">
        <v>0</v>
      </c>
      <c r="E45" s="2267">
        <f>E48+E51+E54+E57</f>
        <v>0</v>
      </c>
      <c r="F45" s="2268">
        <f>F46+F49+F52+F55</f>
        <v>0</v>
      </c>
      <c r="G45" s="2265"/>
      <c r="H45" s="2276"/>
      <c r="I45" s="2276"/>
      <c r="J45" s="2276"/>
    </row>
    <row r="46" spans="1:10" s="2277" customFormat="1" ht="25.15" hidden="1" customHeight="1" thickTop="1" x14ac:dyDescent="0.3">
      <c r="A46" s="3553" t="s">
        <v>1179</v>
      </c>
      <c r="B46" s="3556" t="s">
        <v>1090</v>
      </c>
      <c r="C46" s="2282" t="s">
        <v>1080</v>
      </c>
      <c r="D46" s="2283">
        <v>0</v>
      </c>
      <c r="E46" s="2283">
        <v>0</v>
      </c>
      <c r="F46" s="2353">
        <v>0</v>
      </c>
      <c r="G46" s="3560" t="s">
        <v>1182</v>
      </c>
      <c r="H46" s="2276"/>
      <c r="I46" s="2276"/>
      <c r="J46" s="2276"/>
    </row>
    <row r="47" spans="1:10" s="2277" customFormat="1" ht="23.25" hidden="1" customHeight="1" thickBot="1" x14ac:dyDescent="0.35">
      <c r="A47" s="3554"/>
      <c r="B47" s="3557"/>
      <c r="C47" s="2336" t="s">
        <v>1081</v>
      </c>
      <c r="D47" s="2337">
        <v>0</v>
      </c>
      <c r="E47" s="2337">
        <v>0</v>
      </c>
      <c r="F47" s="2338">
        <v>0</v>
      </c>
      <c r="G47" s="3514"/>
      <c r="H47" s="2276"/>
      <c r="I47" s="2276"/>
      <c r="J47" s="2276"/>
    </row>
    <row r="48" spans="1:10" s="2277" customFormat="1" ht="28.5" hidden="1" customHeight="1" thickBot="1" x14ac:dyDescent="0.35">
      <c r="A48" s="3555"/>
      <c r="B48" s="3558"/>
      <c r="C48" s="2345" t="s">
        <v>1082</v>
      </c>
      <c r="D48" s="2346">
        <f>D46+D47</f>
        <v>0</v>
      </c>
      <c r="E48" s="2346">
        <f>E46+E47</f>
        <v>0</v>
      </c>
      <c r="F48" s="2346">
        <f>F46+F47</f>
        <v>0</v>
      </c>
      <c r="G48" s="3514"/>
      <c r="H48" s="2276"/>
      <c r="I48" s="2276"/>
      <c r="J48" s="2276"/>
    </row>
    <row r="49" spans="1:10" s="2277" customFormat="1" ht="23.25" hidden="1" customHeight="1" x14ac:dyDescent="0.3">
      <c r="A49" s="3559" t="s">
        <v>1180</v>
      </c>
      <c r="B49" s="3530" t="s">
        <v>1090</v>
      </c>
      <c r="C49" s="2284" t="s">
        <v>1080</v>
      </c>
      <c r="D49" s="2337">
        <v>0</v>
      </c>
      <c r="E49" s="2343">
        <v>0</v>
      </c>
      <c r="F49" s="2344">
        <v>0</v>
      </c>
      <c r="G49" s="3514"/>
      <c r="H49" s="2276"/>
      <c r="I49" s="2276"/>
      <c r="J49" s="2276"/>
    </row>
    <row r="50" spans="1:10" s="2277" customFormat="1" ht="23.25" hidden="1" customHeight="1" thickBot="1" x14ac:dyDescent="0.35">
      <c r="A50" s="3554"/>
      <c r="B50" s="3557"/>
      <c r="C50" s="2336" t="s">
        <v>1081</v>
      </c>
      <c r="D50" s="2337">
        <v>0</v>
      </c>
      <c r="E50" s="2337">
        <v>0</v>
      </c>
      <c r="F50" s="2337">
        <v>0</v>
      </c>
      <c r="G50" s="3514"/>
      <c r="H50" s="2276"/>
      <c r="I50" s="2276"/>
      <c r="J50" s="2276"/>
    </row>
    <row r="51" spans="1:10" s="2277" customFormat="1" ht="30" hidden="1" customHeight="1" thickBot="1" x14ac:dyDescent="0.35">
      <c r="A51" s="3555"/>
      <c r="B51" s="3558"/>
      <c r="C51" s="2345" t="s">
        <v>1082</v>
      </c>
      <c r="D51" s="2347">
        <f>D49+D50</f>
        <v>0</v>
      </c>
      <c r="E51" s="2347">
        <f>E49+E50</f>
        <v>0</v>
      </c>
      <c r="F51" s="2347">
        <f>F49+F50</f>
        <v>0</v>
      </c>
      <c r="G51" s="3514"/>
      <c r="H51" s="2276"/>
      <c r="I51" s="2276"/>
      <c r="J51" s="2276"/>
    </row>
    <row r="52" spans="1:10" s="2277" customFormat="1" ht="23.25" hidden="1" customHeight="1" x14ac:dyDescent="0.3">
      <c r="A52" s="3559" t="s">
        <v>1181</v>
      </c>
      <c r="B52" s="3530" t="s">
        <v>1090</v>
      </c>
      <c r="C52" s="2284" t="s">
        <v>1080</v>
      </c>
      <c r="D52" s="2337">
        <v>0</v>
      </c>
      <c r="E52" s="2343">
        <v>0</v>
      </c>
      <c r="F52" s="2344">
        <v>0</v>
      </c>
      <c r="G52" s="3514"/>
      <c r="H52" s="2276"/>
      <c r="I52" s="2276"/>
      <c r="J52" s="2276"/>
    </row>
    <row r="53" spans="1:10" s="2277" customFormat="1" ht="23.25" hidden="1" customHeight="1" thickBot="1" x14ac:dyDescent="0.35">
      <c r="A53" s="3554"/>
      <c r="B53" s="3557"/>
      <c r="C53" s="2336" t="s">
        <v>1081</v>
      </c>
      <c r="D53" s="2337">
        <v>0</v>
      </c>
      <c r="E53" s="2337">
        <v>0</v>
      </c>
      <c r="F53" s="2337">
        <v>0</v>
      </c>
      <c r="G53" s="3514"/>
      <c r="H53" s="2276"/>
      <c r="I53" s="2276"/>
      <c r="J53" s="2276"/>
    </row>
    <row r="54" spans="1:10" s="2277" customFormat="1" ht="29.25" hidden="1" customHeight="1" thickBot="1" x14ac:dyDescent="0.35">
      <c r="A54" s="3555"/>
      <c r="B54" s="3558"/>
      <c r="C54" s="2345" t="s">
        <v>1082</v>
      </c>
      <c r="D54" s="2347">
        <f>D52+D53</f>
        <v>0</v>
      </c>
      <c r="E54" s="2347">
        <v>0</v>
      </c>
      <c r="F54" s="2347">
        <f>F52+F53</f>
        <v>0</v>
      </c>
      <c r="G54" s="3514"/>
      <c r="H54" s="2276"/>
      <c r="I54" s="2276"/>
      <c r="J54" s="2276"/>
    </row>
    <row r="55" spans="1:10" s="2277" customFormat="1" ht="23.25" hidden="1" customHeight="1" x14ac:dyDescent="0.3">
      <c r="A55" s="3559" t="s">
        <v>1184</v>
      </c>
      <c r="B55" s="3530" t="s">
        <v>1090</v>
      </c>
      <c r="C55" s="2284" t="s">
        <v>1080</v>
      </c>
      <c r="D55" s="2337">
        <v>0</v>
      </c>
      <c r="E55" s="2343">
        <v>0</v>
      </c>
      <c r="F55" s="2344">
        <v>0</v>
      </c>
      <c r="G55" s="3514" t="s">
        <v>1183</v>
      </c>
      <c r="H55" s="2276"/>
      <c r="I55" s="2276"/>
      <c r="J55" s="2276"/>
    </row>
    <row r="56" spans="1:10" s="2277" customFormat="1" ht="23.25" hidden="1" customHeight="1" thickBot="1" x14ac:dyDescent="0.35">
      <c r="A56" s="3554"/>
      <c r="B56" s="3557"/>
      <c r="C56" s="2336" t="s">
        <v>1081</v>
      </c>
      <c r="D56" s="2337">
        <v>0</v>
      </c>
      <c r="E56" s="2337">
        <v>0</v>
      </c>
      <c r="F56" s="2337">
        <v>0</v>
      </c>
      <c r="G56" s="3514"/>
      <c r="H56" s="2276"/>
      <c r="I56" s="2276"/>
      <c r="J56" s="2276"/>
    </row>
    <row r="57" spans="1:10" s="2277" customFormat="1" ht="29.25" hidden="1" customHeight="1" thickBot="1" x14ac:dyDescent="0.35">
      <c r="A57" s="3555"/>
      <c r="B57" s="3558"/>
      <c r="C57" s="2352" t="s">
        <v>1082</v>
      </c>
      <c r="D57" s="2347">
        <f>D55+D56</f>
        <v>0</v>
      </c>
      <c r="E57" s="2347">
        <f>E55+E56</f>
        <v>0</v>
      </c>
      <c r="F57" s="2348">
        <f>F55+F56</f>
        <v>0</v>
      </c>
      <c r="G57" s="3514"/>
      <c r="H57" s="2276"/>
      <c r="I57" s="2276"/>
      <c r="J57" s="2276"/>
    </row>
    <row r="58" spans="1:10" s="2277" customFormat="1" ht="23.25" hidden="1" customHeight="1" x14ac:dyDescent="0.3">
      <c r="A58" s="2339"/>
      <c r="B58" s="2341"/>
      <c r="C58" s="2351"/>
      <c r="D58" s="2343"/>
      <c r="E58" s="2343"/>
      <c r="F58" s="2344"/>
      <c r="G58" s="2349"/>
      <c r="H58" s="2276"/>
      <c r="I58" s="2276"/>
      <c r="J58" s="2276"/>
    </row>
    <row r="59" spans="1:10" s="2277" customFormat="1" ht="23.25" hidden="1" customHeight="1" x14ac:dyDescent="0.3">
      <c r="A59" s="2339"/>
      <c r="B59" s="2341"/>
      <c r="C59" s="2336"/>
      <c r="D59" s="2337"/>
      <c r="E59" s="2337"/>
      <c r="F59" s="2338"/>
      <c r="G59" s="2349"/>
      <c r="H59" s="2276"/>
      <c r="I59" s="2276"/>
      <c r="J59" s="2276"/>
    </row>
    <row r="60" spans="1:10" s="2277" customFormat="1" ht="23.25" hidden="1" customHeight="1" x14ac:dyDescent="0.3">
      <c r="A60" s="2339"/>
      <c r="B60" s="2341"/>
      <c r="C60" s="2336"/>
      <c r="D60" s="2337"/>
      <c r="E60" s="2337"/>
      <c r="F60" s="2338"/>
      <c r="G60" s="2349"/>
      <c r="H60" s="2276"/>
      <c r="I60" s="2276"/>
      <c r="J60" s="2276"/>
    </row>
    <row r="61" spans="1:10" s="2277" customFormat="1" ht="23.25" hidden="1" customHeight="1" x14ac:dyDescent="0.3">
      <c r="A61" s="2339"/>
      <c r="B61" s="2341"/>
      <c r="C61" s="2336"/>
      <c r="D61" s="2337"/>
      <c r="E61" s="2337"/>
      <c r="F61" s="2338"/>
      <c r="G61" s="2349"/>
      <c r="H61" s="2276"/>
      <c r="I61" s="2276"/>
      <c r="J61" s="2276"/>
    </row>
    <row r="62" spans="1:10" s="2277" customFormat="1" ht="23.25" hidden="1" customHeight="1" x14ac:dyDescent="0.3">
      <c r="A62" s="2339"/>
      <c r="B62" s="2341"/>
      <c r="C62" s="2336"/>
      <c r="D62" s="2337"/>
      <c r="E62" s="2337"/>
      <c r="F62" s="2338"/>
      <c r="G62" s="2349"/>
      <c r="H62" s="2276"/>
      <c r="I62" s="2276"/>
      <c r="J62" s="2276"/>
    </row>
    <row r="63" spans="1:10" s="2277" customFormat="1" ht="23.25" hidden="1" customHeight="1" x14ac:dyDescent="0.3">
      <c r="A63" s="2339"/>
      <c r="B63" s="2341"/>
      <c r="C63" s="2336"/>
      <c r="D63" s="2337"/>
      <c r="E63" s="2337"/>
      <c r="F63" s="2338"/>
      <c r="G63" s="2349"/>
      <c r="H63" s="2276"/>
      <c r="I63" s="2276"/>
      <c r="J63" s="2276"/>
    </row>
    <row r="64" spans="1:10" s="2277" customFormat="1" ht="31.5" hidden="1" customHeight="1" thickBot="1" x14ac:dyDescent="0.35">
      <c r="A64" s="2340"/>
      <c r="B64" s="2342"/>
      <c r="C64" s="2272" t="s">
        <v>1082</v>
      </c>
      <c r="D64" s="2273">
        <f>SUM(D46:D47)</f>
        <v>0</v>
      </c>
      <c r="E64" s="2273">
        <f>SUM(E46:E47)</f>
        <v>0</v>
      </c>
      <c r="F64" s="2274">
        <f>SUM(F46:F47)</f>
        <v>0</v>
      </c>
      <c r="G64" s="2350"/>
      <c r="H64" s="2276"/>
      <c r="I64" s="2276"/>
      <c r="J64" s="2276"/>
    </row>
    <row r="65" spans="1:10" s="2286" customFormat="1" ht="28.5" customHeight="1" thickBot="1" x14ac:dyDescent="0.35">
      <c r="A65" s="3544" t="s">
        <v>1210</v>
      </c>
      <c r="B65" s="3547" t="s">
        <v>828</v>
      </c>
      <c r="C65" s="2395" t="s">
        <v>1080</v>
      </c>
      <c r="D65" s="2443">
        <f t="shared" ref="D65:F66" si="1">D22+D35+D38</f>
        <v>1690.127</v>
      </c>
      <c r="E65" s="2444">
        <f t="shared" si="1"/>
        <v>172.47</v>
      </c>
      <c r="F65" s="2445">
        <f t="shared" si="1"/>
        <v>124.16</v>
      </c>
      <c r="G65" s="3550" t="s">
        <v>1087</v>
      </c>
      <c r="H65" s="2285"/>
      <c r="I65" s="2285"/>
      <c r="J65" s="2285"/>
    </row>
    <row r="66" spans="1:10" s="2286" customFormat="1" ht="28.5" customHeight="1" thickBot="1" x14ac:dyDescent="0.35">
      <c r="A66" s="3545"/>
      <c r="B66" s="3548"/>
      <c r="C66" s="2396" t="s">
        <v>1081</v>
      </c>
      <c r="D66" s="2434">
        <f t="shared" si="1"/>
        <v>7612.76</v>
      </c>
      <c r="E66" s="2433">
        <f t="shared" si="1"/>
        <v>3278</v>
      </c>
      <c r="F66" s="2441">
        <f t="shared" si="1"/>
        <v>2368</v>
      </c>
      <c r="G66" s="3551"/>
      <c r="H66" s="2285"/>
      <c r="I66" s="2285"/>
      <c r="J66" s="2285"/>
    </row>
    <row r="67" spans="1:10" s="2286" customFormat="1" ht="26.5" thickBot="1" x14ac:dyDescent="0.35">
      <c r="A67" s="3546"/>
      <c r="B67" s="3549"/>
      <c r="C67" s="2397" t="s">
        <v>1088</v>
      </c>
      <c r="D67" s="2446">
        <f>D65+D66</f>
        <v>9302.8870000000006</v>
      </c>
      <c r="E67" s="2447">
        <f>E65+E66</f>
        <v>3450.47</v>
      </c>
      <c r="F67" s="2446">
        <f>F65+F66</f>
        <v>2492.16</v>
      </c>
      <c r="G67" s="3552"/>
      <c r="H67" s="2285"/>
      <c r="I67" s="2285"/>
      <c r="J67" s="2285"/>
    </row>
    <row r="68" spans="1:10" x14ac:dyDescent="0.3">
      <c r="D68" s="2003"/>
      <c r="E68" s="2003"/>
      <c r="F68" s="2003"/>
    </row>
    <row r="69" spans="1:10" s="2261" customFormat="1" ht="15.5" x14ac:dyDescent="0.35">
      <c r="C69" s="2287"/>
    </row>
  </sheetData>
  <mergeCells count="45">
    <mergeCell ref="A42:G43"/>
    <mergeCell ref="A65:A67"/>
    <mergeCell ref="B65:B67"/>
    <mergeCell ref="G65:G67"/>
    <mergeCell ref="A46:A48"/>
    <mergeCell ref="B46:B48"/>
    <mergeCell ref="A49:A51"/>
    <mergeCell ref="B49:B51"/>
    <mergeCell ref="A52:A54"/>
    <mergeCell ref="B52:B54"/>
    <mergeCell ref="A55:A57"/>
    <mergeCell ref="B55:B57"/>
    <mergeCell ref="G46:G54"/>
    <mergeCell ref="G55:G57"/>
    <mergeCell ref="G38:G41"/>
    <mergeCell ref="A20:G20"/>
    <mergeCell ref="A22:A24"/>
    <mergeCell ref="B22:B24"/>
    <mergeCell ref="G22:G24"/>
    <mergeCell ref="A25:F25"/>
    <mergeCell ref="G25:G37"/>
    <mergeCell ref="A26:A28"/>
    <mergeCell ref="B26:B28"/>
    <mergeCell ref="A29:A31"/>
    <mergeCell ref="B29:B31"/>
    <mergeCell ref="A32:A34"/>
    <mergeCell ref="B32:B34"/>
    <mergeCell ref="A35:A37"/>
    <mergeCell ref="B35:B41"/>
    <mergeCell ref="A38:A41"/>
    <mergeCell ref="F7:G7"/>
    <mergeCell ref="E1:G1"/>
    <mergeCell ref="E2:G2"/>
    <mergeCell ref="E3:G3"/>
    <mergeCell ref="E4:G4"/>
    <mergeCell ref="E5:G5"/>
    <mergeCell ref="A13:G13"/>
    <mergeCell ref="A14:G14"/>
    <mergeCell ref="A15:G15"/>
    <mergeCell ref="A17:F17"/>
    <mergeCell ref="A18:A19"/>
    <mergeCell ref="B18:B19"/>
    <mergeCell ref="C18:C19"/>
    <mergeCell ref="D18:F18"/>
    <mergeCell ref="G18:G19"/>
  </mergeCells>
  <pageMargins left="0.70866141732283472" right="0.70866141732283472" top="0.35" bottom="0.31" header="0.31496062992125984" footer="0.31496062992125984"/>
  <pageSetup paperSize="9" scale="6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F139"/>
  <sheetViews>
    <sheetView topLeftCell="A11" zoomScale="70" zoomScaleNormal="70" workbookViewId="0">
      <selection activeCell="K16" sqref="K16:X16"/>
    </sheetView>
  </sheetViews>
  <sheetFormatPr defaultColWidth="9.1796875" defaultRowHeight="15.5" x14ac:dyDescent="0.35"/>
  <cols>
    <col min="1" max="2" width="9.1796875" style="547" customWidth="1"/>
    <col min="3" max="3" width="15.54296875" style="547" customWidth="1"/>
    <col min="4" max="5" width="9.1796875" style="547" customWidth="1"/>
    <col min="6" max="6" width="19" style="547" customWidth="1"/>
    <col min="7" max="7" width="15.453125" style="547" customWidth="1"/>
    <col min="8" max="8" width="18.26953125" style="547" customWidth="1"/>
    <col min="9" max="9" width="9.1796875" style="547" customWidth="1"/>
    <col min="10" max="10" width="26.453125" style="547" customWidth="1"/>
    <col min="11" max="11" width="9.1796875" style="443" customWidth="1"/>
    <col min="12" max="12" width="8.54296875" style="443" customWidth="1"/>
    <col min="13" max="16" width="17.453125" style="2215" hidden="1" customWidth="1"/>
    <col min="17" max="17" width="18.26953125" style="549" hidden="1" customWidth="1"/>
    <col min="18" max="18" width="9.1796875" style="547" hidden="1" customWidth="1"/>
    <col min="19" max="19" width="17.1796875" style="547" hidden="1" customWidth="1"/>
    <col min="20" max="20" width="4.26953125" style="547" hidden="1" customWidth="1"/>
    <col min="21" max="21" width="2.1796875" style="547" hidden="1" customWidth="1"/>
    <col min="22" max="22" width="17" style="547" customWidth="1"/>
    <col min="23" max="23" width="18.1796875" style="547" customWidth="1"/>
    <col min="24" max="26" width="0" style="547" hidden="1" customWidth="1"/>
    <col min="27" max="27" width="1.453125" style="547" hidden="1" customWidth="1"/>
    <col min="28" max="28" width="13.26953125" style="547" hidden="1" customWidth="1"/>
    <col min="29" max="30" width="0" style="547" hidden="1" customWidth="1"/>
    <col min="31" max="31" width="9.1796875" style="547"/>
    <col min="32" max="32" width="14.26953125" style="547" bestFit="1" customWidth="1"/>
    <col min="33" max="255" width="9.1796875" style="547"/>
    <col min="256" max="257" width="9.1796875" style="547" customWidth="1"/>
    <col min="258" max="258" width="15.54296875" style="547" customWidth="1"/>
    <col min="259" max="260" width="9.1796875" style="547" customWidth="1"/>
    <col min="261" max="261" width="19" style="547" customWidth="1"/>
    <col min="262" max="262" width="15.453125" style="547" customWidth="1"/>
    <col min="263" max="263" width="18.26953125" style="547" customWidth="1"/>
    <col min="264" max="264" width="9.1796875" style="547" customWidth="1"/>
    <col min="265" max="265" width="26.453125" style="547" customWidth="1"/>
    <col min="266" max="266" width="9.1796875" style="547" customWidth="1"/>
    <col min="267" max="267" width="7.54296875" style="547" customWidth="1"/>
    <col min="268" max="276" width="0" style="547" hidden="1" customWidth="1"/>
    <col min="277" max="277" width="9.1796875" style="547" customWidth="1"/>
    <col min="278" max="278" width="21" style="547" customWidth="1"/>
    <col min="279" max="511" width="9.1796875" style="547"/>
    <col min="512" max="513" width="9.1796875" style="547" customWidth="1"/>
    <col min="514" max="514" width="15.54296875" style="547" customWidth="1"/>
    <col min="515" max="516" width="9.1796875" style="547" customWidth="1"/>
    <col min="517" max="517" width="19" style="547" customWidth="1"/>
    <col min="518" max="518" width="15.453125" style="547" customWidth="1"/>
    <col min="519" max="519" width="18.26953125" style="547" customWidth="1"/>
    <col min="520" max="520" width="9.1796875" style="547" customWidth="1"/>
    <col min="521" max="521" width="26.453125" style="547" customWidth="1"/>
    <col min="522" max="522" width="9.1796875" style="547" customWidth="1"/>
    <col min="523" max="523" width="7.54296875" style="547" customWidth="1"/>
    <col min="524" max="532" width="0" style="547" hidden="1" customWidth="1"/>
    <col min="533" max="533" width="9.1796875" style="547" customWidth="1"/>
    <col min="534" max="534" width="21" style="547" customWidth="1"/>
    <col min="535" max="767" width="9.1796875" style="547"/>
    <col min="768" max="769" width="9.1796875" style="547" customWidth="1"/>
    <col min="770" max="770" width="15.54296875" style="547" customWidth="1"/>
    <col min="771" max="772" width="9.1796875" style="547" customWidth="1"/>
    <col min="773" max="773" width="19" style="547" customWidth="1"/>
    <col min="774" max="774" width="15.453125" style="547" customWidth="1"/>
    <col min="775" max="775" width="18.26953125" style="547" customWidth="1"/>
    <col min="776" max="776" width="9.1796875" style="547" customWidth="1"/>
    <col min="777" max="777" width="26.453125" style="547" customWidth="1"/>
    <col min="778" max="778" width="9.1796875" style="547" customWidth="1"/>
    <col min="779" max="779" width="7.54296875" style="547" customWidth="1"/>
    <col min="780" max="788" width="0" style="547" hidden="1" customWidth="1"/>
    <col min="789" max="789" width="9.1796875" style="547" customWidth="1"/>
    <col min="790" max="790" width="21" style="547" customWidth="1"/>
    <col min="791" max="1023" width="9.1796875" style="547"/>
    <col min="1024" max="1025" width="9.1796875" style="547" customWidth="1"/>
    <col min="1026" max="1026" width="15.54296875" style="547" customWidth="1"/>
    <col min="1027" max="1028" width="9.1796875" style="547" customWidth="1"/>
    <col min="1029" max="1029" width="19" style="547" customWidth="1"/>
    <col min="1030" max="1030" width="15.453125" style="547" customWidth="1"/>
    <col min="1031" max="1031" width="18.26953125" style="547" customWidth="1"/>
    <col min="1032" max="1032" width="9.1796875" style="547" customWidth="1"/>
    <col min="1033" max="1033" width="26.453125" style="547" customWidth="1"/>
    <col min="1034" max="1034" width="9.1796875" style="547" customWidth="1"/>
    <col min="1035" max="1035" width="7.54296875" style="547" customWidth="1"/>
    <col min="1036" max="1044" width="0" style="547" hidden="1" customWidth="1"/>
    <col min="1045" max="1045" width="9.1796875" style="547" customWidth="1"/>
    <col min="1046" max="1046" width="21" style="547" customWidth="1"/>
    <col min="1047" max="1279" width="9.1796875" style="547"/>
    <col min="1280" max="1281" width="9.1796875" style="547" customWidth="1"/>
    <col min="1282" max="1282" width="15.54296875" style="547" customWidth="1"/>
    <col min="1283" max="1284" width="9.1796875" style="547" customWidth="1"/>
    <col min="1285" max="1285" width="19" style="547" customWidth="1"/>
    <col min="1286" max="1286" width="15.453125" style="547" customWidth="1"/>
    <col min="1287" max="1287" width="18.26953125" style="547" customWidth="1"/>
    <col min="1288" max="1288" width="9.1796875" style="547" customWidth="1"/>
    <col min="1289" max="1289" width="26.453125" style="547" customWidth="1"/>
    <col min="1290" max="1290" width="9.1796875" style="547" customWidth="1"/>
    <col min="1291" max="1291" width="7.54296875" style="547" customWidth="1"/>
    <col min="1292" max="1300" width="0" style="547" hidden="1" customWidth="1"/>
    <col min="1301" max="1301" width="9.1796875" style="547" customWidth="1"/>
    <col min="1302" max="1302" width="21" style="547" customWidth="1"/>
    <col min="1303" max="1535" width="9.1796875" style="547"/>
    <col min="1536" max="1537" width="9.1796875" style="547" customWidth="1"/>
    <col min="1538" max="1538" width="15.54296875" style="547" customWidth="1"/>
    <col min="1539" max="1540" width="9.1796875" style="547" customWidth="1"/>
    <col min="1541" max="1541" width="19" style="547" customWidth="1"/>
    <col min="1542" max="1542" width="15.453125" style="547" customWidth="1"/>
    <col min="1543" max="1543" width="18.26953125" style="547" customWidth="1"/>
    <col min="1544" max="1544" width="9.1796875" style="547" customWidth="1"/>
    <col min="1545" max="1545" width="26.453125" style="547" customWidth="1"/>
    <col min="1546" max="1546" width="9.1796875" style="547" customWidth="1"/>
    <col min="1547" max="1547" width="7.54296875" style="547" customWidth="1"/>
    <col min="1548" max="1556" width="0" style="547" hidden="1" customWidth="1"/>
    <col min="1557" max="1557" width="9.1796875" style="547" customWidth="1"/>
    <col min="1558" max="1558" width="21" style="547" customWidth="1"/>
    <col min="1559" max="1791" width="9.1796875" style="547"/>
    <col min="1792" max="1793" width="9.1796875" style="547" customWidth="1"/>
    <col min="1794" max="1794" width="15.54296875" style="547" customWidth="1"/>
    <col min="1795" max="1796" width="9.1796875" style="547" customWidth="1"/>
    <col min="1797" max="1797" width="19" style="547" customWidth="1"/>
    <col min="1798" max="1798" width="15.453125" style="547" customWidth="1"/>
    <col min="1799" max="1799" width="18.26953125" style="547" customWidth="1"/>
    <col min="1800" max="1800" width="9.1796875" style="547" customWidth="1"/>
    <col min="1801" max="1801" width="26.453125" style="547" customWidth="1"/>
    <col min="1802" max="1802" width="9.1796875" style="547" customWidth="1"/>
    <col min="1803" max="1803" width="7.54296875" style="547" customWidth="1"/>
    <col min="1804" max="1812" width="0" style="547" hidden="1" customWidth="1"/>
    <col min="1813" max="1813" width="9.1796875" style="547" customWidth="1"/>
    <col min="1814" max="1814" width="21" style="547" customWidth="1"/>
    <col min="1815" max="2047" width="9.1796875" style="547"/>
    <col min="2048" max="2049" width="9.1796875" style="547" customWidth="1"/>
    <col min="2050" max="2050" width="15.54296875" style="547" customWidth="1"/>
    <col min="2051" max="2052" width="9.1796875" style="547" customWidth="1"/>
    <col min="2053" max="2053" width="19" style="547" customWidth="1"/>
    <col min="2054" max="2054" width="15.453125" style="547" customWidth="1"/>
    <col min="2055" max="2055" width="18.26953125" style="547" customWidth="1"/>
    <col min="2056" max="2056" width="9.1796875" style="547" customWidth="1"/>
    <col min="2057" max="2057" width="26.453125" style="547" customWidth="1"/>
    <col min="2058" max="2058" width="9.1796875" style="547" customWidth="1"/>
    <col min="2059" max="2059" width="7.54296875" style="547" customWidth="1"/>
    <col min="2060" max="2068" width="0" style="547" hidden="1" customWidth="1"/>
    <col min="2069" max="2069" width="9.1796875" style="547" customWidth="1"/>
    <col min="2070" max="2070" width="21" style="547" customWidth="1"/>
    <col min="2071" max="2303" width="9.1796875" style="547"/>
    <col min="2304" max="2305" width="9.1796875" style="547" customWidth="1"/>
    <col min="2306" max="2306" width="15.54296875" style="547" customWidth="1"/>
    <col min="2307" max="2308" width="9.1796875" style="547" customWidth="1"/>
    <col min="2309" max="2309" width="19" style="547" customWidth="1"/>
    <col min="2310" max="2310" width="15.453125" style="547" customWidth="1"/>
    <col min="2311" max="2311" width="18.26953125" style="547" customWidth="1"/>
    <col min="2312" max="2312" width="9.1796875" style="547" customWidth="1"/>
    <col min="2313" max="2313" width="26.453125" style="547" customWidth="1"/>
    <col min="2314" max="2314" width="9.1796875" style="547" customWidth="1"/>
    <col min="2315" max="2315" width="7.54296875" style="547" customWidth="1"/>
    <col min="2316" max="2324" width="0" style="547" hidden="1" customWidth="1"/>
    <col min="2325" max="2325" width="9.1796875" style="547" customWidth="1"/>
    <col min="2326" max="2326" width="21" style="547" customWidth="1"/>
    <col min="2327" max="2559" width="9.1796875" style="547"/>
    <col min="2560" max="2561" width="9.1796875" style="547" customWidth="1"/>
    <col min="2562" max="2562" width="15.54296875" style="547" customWidth="1"/>
    <col min="2563" max="2564" width="9.1796875" style="547" customWidth="1"/>
    <col min="2565" max="2565" width="19" style="547" customWidth="1"/>
    <col min="2566" max="2566" width="15.453125" style="547" customWidth="1"/>
    <col min="2567" max="2567" width="18.26953125" style="547" customWidth="1"/>
    <col min="2568" max="2568" width="9.1796875" style="547" customWidth="1"/>
    <col min="2569" max="2569" width="26.453125" style="547" customWidth="1"/>
    <col min="2570" max="2570" width="9.1796875" style="547" customWidth="1"/>
    <col min="2571" max="2571" width="7.54296875" style="547" customWidth="1"/>
    <col min="2572" max="2580" width="0" style="547" hidden="1" customWidth="1"/>
    <col min="2581" max="2581" width="9.1796875" style="547" customWidth="1"/>
    <col min="2582" max="2582" width="21" style="547" customWidth="1"/>
    <col min="2583" max="2815" width="9.1796875" style="547"/>
    <col min="2816" max="2817" width="9.1796875" style="547" customWidth="1"/>
    <col min="2818" max="2818" width="15.54296875" style="547" customWidth="1"/>
    <col min="2819" max="2820" width="9.1796875" style="547" customWidth="1"/>
    <col min="2821" max="2821" width="19" style="547" customWidth="1"/>
    <col min="2822" max="2822" width="15.453125" style="547" customWidth="1"/>
    <col min="2823" max="2823" width="18.26953125" style="547" customWidth="1"/>
    <col min="2824" max="2824" width="9.1796875" style="547" customWidth="1"/>
    <col min="2825" max="2825" width="26.453125" style="547" customWidth="1"/>
    <col min="2826" max="2826" width="9.1796875" style="547" customWidth="1"/>
    <col min="2827" max="2827" width="7.54296875" style="547" customWidth="1"/>
    <col min="2828" max="2836" width="0" style="547" hidden="1" customWidth="1"/>
    <col min="2837" max="2837" width="9.1796875" style="547" customWidth="1"/>
    <col min="2838" max="2838" width="21" style="547" customWidth="1"/>
    <col min="2839" max="3071" width="9.1796875" style="547"/>
    <col min="3072" max="3073" width="9.1796875" style="547" customWidth="1"/>
    <col min="3074" max="3074" width="15.54296875" style="547" customWidth="1"/>
    <col min="3075" max="3076" width="9.1796875" style="547" customWidth="1"/>
    <col min="3077" max="3077" width="19" style="547" customWidth="1"/>
    <col min="3078" max="3078" width="15.453125" style="547" customWidth="1"/>
    <col min="3079" max="3079" width="18.26953125" style="547" customWidth="1"/>
    <col min="3080" max="3080" width="9.1796875" style="547" customWidth="1"/>
    <col min="3081" max="3081" width="26.453125" style="547" customWidth="1"/>
    <col min="3082" max="3082" width="9.1796875" style="547" customWidth="1"/>
    <col min="3083" max="3083" width="7.54296875" style="547" customWidth="1"/>
    <col min="3084" max="3092" width="0" style="547" hidden="1" customWidth="1"/>
    <col min="3093" max="3093" width="9.1796875" style="547" customWidth="1"/>
    <col min="3094" max="3094" width="21" style="547" customWidth="1"/>
    <col min="3095" max="3327" width="9.1796875" style="547"/>
    <col min="3328" max="3329" width="9.1796875" style="547" customWidth="1"/>
    <col min="3330" max="3330" width="15.54296875" style="547" customWidth="1"/>
    <col min="3331" max="3332" width="9.1796875" style="547" customWidth="1"/>
    <col min="3333" max="3333" width="19" style="547" customWidth="1"/>
    <col min="3334" max="3334" width="15.453125" style="547" customWidth="1"/>
    <col min="3335" max="3335" width="18.26953125" style="547" customWidth="1"/>
    <col min="3336" max="3336" width="9.1796875" style="547" customWidth="1"/>
    <col min="3337" max="3337" width="26.453125" style="547" customWidth="1"/>
    <col min="3338" max="3338" width="9.1796875" style="547" customWidth="1"/>
    <col min="3339" max="3339" width="7.54296875" style="547" customWidth="1"/>
    <col min="3340" max="3348" width="0" style="547" hidden="1" customWidth="1"/>
    <col min="3349" max="3349" width="9.1796875" style="547" customWidth="1"/>
    <col min="3350" max="3350" width="21" style="547" customWidth="1"/>
    <col min="3351" max="3583" width="9.1796875" style="547"/>
    <col min="3584" max="3585" width="9.1796875" style="547" customWidth="1"/>
    <col min="3586" max="3586" width="15.54296875" style="547" customWidth="1"/>
    <col min="3587" max="3588" width="9.1796875" style="547" customWidth="1"/>
    <col min="3589" max="3589" width="19" style="547" customWidth="1"/>
    <col min="3590" max="3590" width="15.453125" style="547" customWidth="1"/>
    <col min="3591" max="3591" width="18.26953125" style="547" customWidth="1"/>
    <col min="3592" max="3592" width="9.1796875" style="547" customWidth="1"/>
    <col min="3593" max="3593" width="26.453125" style="547" customWidth="1"/>
    <col min="3594" max="3594" width="9.1796875" style="547" customWidth="1"/>
    <col min="3595" max="3595" width="7.54296875" style="547" customWidth="1"/>
    <col min="3596" max="3604" width="0" style="547" hidden="1" customWidth="1"/>
    <col min="3605" max="3605" width="9.1796875" style="547" customWidth="1"/>
    <col min="3606" max="3606" width="21" style="547" customWidth="1"/>
    <col min="3607" max="3839" width="9.1796875" style="547"/>
    <col min="3840" max="3841" width="9.1796875" style="547" customWidth="1"/>
    <col min="3842" max="3842" width="15.54296875" style="547" customWidth="1"/>
    <col min="3843" max="3844" width="9.1796875" style="547" customWidth="1"/>
    <col min="3845" max="3845" width="19" style="547" customWidth="1"/>
    <col min="3846" max="3846" width="15.453125" style="547" customWidth="1"/>
    <col min="3847" max="3847" width="18.26953125" style="547" customWidth="1"/>
    <col min="3848" max="3848" width="9.1796875" style="547" customWidth="1"/>
    <col min="3849" max="3849" width="26.453125" style="547" customWidth="1"/>
    <col min="3850" max="3850" width="9.1796875" style="547" customWidth="1"/>
    <col min="3851" max="3851" width="7.54296875" style="547" customWidth="1"/>
    <col min="3852" max="3860" width="0" style="547" hidden="1" customWidth="1"/>
    <col min="3861" max="3861" width="9.1796875" style="547" customWidth="1"/>
    <col min="3862" max="3862" width="21" style="547" customWidth="1"/>
    <col min="3863" max="4095" width="9.1796875" style="547"/>
    <col min="4096" max="4097" width="9.1796875" style="547" customWidth="1"/>
    <col min="4098" max="4098" width="15.54296875" style="547" customWidth="1"/>
    <col min="4099" max="4100" width="9.1796875" style="547" customWidth="1"/>
    <col min="4101" max="4101" width="19" style="547" customWidth="1"/>
    <col min="4102" max="4102" width="15.453125" style="547" customWidth="1"/>
    <col min="4103" max="4103" width="18.26953125" style="547" customWidth="1"/>
    <col min="4104" max="4104" width="9.1796875" style="547" customWidth="1"/>
    <col min="4105" max="4105" width="26.453125" style="547" customWidth="1"/>
    <col min="4106" max="4106" width="9.1796875" style="547" customWidth="1"/>
    <col min="4107" max="4107" width="7.54296875" style="547" customWidth="1"/>
    <col min="4108" max="4116" width="0" style="547" hidden="1" customWidth="1"/>
    <col min="4117" max="4117" width="9.1796875" style="547" customWidth="1"/>
    <col min="4118" max="4118" width="21" style="547" customWidth="1"/>
    <col min="4119" max="4351" width="9.1796875" style="547"/>
    <col min="4352" max="4353" width="9.1796875" style="547" customWidth="1"/>
    <col min="4354" max="4354" width="15.54296875" style="547" customWidth="1"/>
    <col min="4355" max="4356" width="9.1796875" style="547" customWidth="1"/>
    <col min="4357" max="4357" width="19" style="547" customWidth="1"/>
    <col min="4358" max="4358" width="15.453125" style="547" customWidth="1"/>
    <col min="4359" max="4359" width="18.26953125" style="547" customWidth="1"/>
    <col min="4360" max="4360" width="9.1796875" style="547" customWidth="1"/>
    <col min="4361" max="4361" width="26.453125" style="547" customWidth="1"/>
    <col min="4362" max="4362" width="9.1796875" style="547" customWidth="1"/>
    <col min="4363" max="4363" width="7.54296875" style="547" customWidth="1"/>
    <col min="4364" max="4372" width="0" style="547" hidden="1" customWidth="1"/>
    <col min="4373" max="4373" width="9.1796875" style="547" customWidth="1"/>
    <col min="4374" max="4374" width="21" style="547" customWidth="1"/>
    <col min="4375" max="4607" width="9.1796875" style="547"/>
    <col min="4608" max="4609" width="9.1796875" style="547" customWidth="1"/>
    <col min="4610" max="4610" width="15.54296875" style="547" customWidth="1"/>
    <col min="4611" max="4612" width="9.1796875" style="547" customWidth="1"/>
    <col min="4613" max="4613" width="19" style="547" customWidth="1"/>
    <col min="4614" max="4614" width="15.453125" style="547" customWidth="1"/>
    <col min="4615" max="4615" width="18.26953125" style="547" customWidth="1"/>
    <col min="4616" max="4616" width="9.1796875" style="547" customWidth="1"/>
    <col min="4617" max="4617" width="26.453125" style="547" customWidth="1"/>
    <col min="4618" max="4618" width="9.1796875" style="547" customWidth="1"/>
    <col min="4619" max="4619" width="7.54296875" style="547" customWidth="1"/>
    <col min="4620" max="4628" width="0" style="547" hidden="1" customWidth="1"/>
    <col min="4629" max="4629" width="9.1796875" style="547" customWidth="1"/>
    <col min="4630" max="4630" width="21" style="547" customWidth="1"/>
    <col min="4631" max="4863" width="9.1796875" style="547"/>
    <col min="4864" max="4865" width="9.1796875" style="547" customWidth="1"/>
    <col min="4866" max="4866" width="15.54296875" style="547" customWidth="1"/>
    <col min="4867" max="4868" width="9.1796875" style="547" customWidth="1"/>
    <col min="4869" max="4869" width="19" style="547" customWidth="1"/>
    <col min="4870" max="4870" width="15.453125" style="547" customWidth="1"/>
    <col min="4871" max="4871" width="18.26953125" style="547" customWidth="1"/>
    <col min="4872" max="4872" width="9.1796875" style="547" customWidth="1"/>
    <col min="4873" max="4873" width="26.453125" style="547" customWidth="1"/>
    <col min="4874" max="4874" width="9.1796875" style="547" customWidth="1"/>
    <col min="4875" max="4875" width="7.54296875" style="547" customWidth="1"/>
    <col min="4876" max="4884" width="0" style="547" hidden="1" customWidth="1"/>
    <col min="4885" max="4885" width="9.1796875" style="547" customWidth="1"/>
    <col min="4886" max="4886" width="21" style="547" customWidth="1"/>
    <col min="4887" max="5119" width="9.1796875" style="547"/>
    <col min="5120" max="5121" width="9.1796875" style="547" customWidth="1"/>
    <col min="5122" max="5122" width="15.54296875" style="547" customWidth="1"/>
    <col min="5123" max="5124" width="9.1796875" style="547" customWidth="1"/>
    <col min="5125" max="5125" width="19" style="547" customWidth="1"/>
    <col min="5126" max="5126" width="15.453125" style="547" customWidth="1"/>
    <col min="5127" max="5127" width="18.26953125" style="547" customWidth="1"/>
    <col min="5128" max="5128" width="9.1796875" style="547" customWidth="1"/>
    <col min="5129" max="5129" width="26.453125" style="547" customWidth="1"/>
    <col min="5130" max="5130" width="9.1796875" style="547" customWidth="1"/>
    <col min="5131" max="5131" width="7.54296875" style="547" customWidth="1"/>
    <col min="5132" max="5140" width="0" style="547" hidden="1" customWidth="1"/>
    <col min="5141" max="5141" width="9.1796875" style="547" customWidth="1"/>
    <col min="5142" max="5142" width="21" style="547" customWidth="1"/>
    <col min="5143" max="5375" width="9.1796875" style="547"/>
    <col min="5376" max="5377" width="9.1796875" style="547" customWidth="1"/>
    <col min="5378" max="5378" width="15.54296875" style="547" customWidth="1"/>
    <col min="5379" max="5380" width="9.1796875" style="547" customWidth="1"/>
    <col min="5381" max="5381" width="19" style="547" customWidth="1"/>
    <col min="5382" max="5382" width="15.453125" style="547" customWidth="1"/>
    <col min="5383" max="5383" width="18.26953125" style="547" customWidth="1"/>
    <col min="5384" max="5384" width="9.1796875" style="547" customWidth="1"/>
    <col min="5385" max="5385" width="26.453125" style="547" customWidth="1"/>
    <col min="5386" max="5386" width="9.1796875" style="547" customWidth="1"/>
    <col min="5387" max="5387" width="7.54296875" style="547" customWidth="1"/>
    <col min="5388" max="5396" width="0" style="547" hidden="1" customWidth="1"/>
    <col min="5397" max="5397" width="9.1796875" style="547" customWidth="1"/>
    <col min="5398" max="5398" width="21" style="547" customWidth="1"/>
    <col min="5399" max="5631" width="9.1796875" style="547"/>
    <col min="5632" max="5633" width="9.1796875" style="547" customWidth="1"/>
    <col min="5634" max="5634" width="15.54296875" style="547" customWidth="1"/>
    <col min="5635" max="5636" width="9.1796875" style="547" customWidth="1"/>
    <col min="5637" max="5637" width="19" style="547" customWidth="1"/>
    <col min="5638" max="5638" width="15.453125" style="547" customWidth="1"/>
    <col min="5639" max="5639" width="18.26953125" style="547" customWidth="1"/>
    <col min="5640" max="5640" width="9.1796875" style="547" customWidth="1"/>
    <col min="5641" max="5641" width="26.453125" style="547" customWidth="1"/>
    <col min="5642" max="5642" width="9.1796875" style="547" customWidth="1"/>
    <col min="5643" max="5643" width="7.54296875" style="547" customWidth="1"/>
    <col min="5644" max="5652" width="0" style="547" hidden="1" customWidth="1"/>
    <col min="5653" max="5653" width="9.1796875" style="547" customWidth="1"/>
    <col min="5654" max="5654" width="21" style="547" customWidth="1"/>
    <col min="5655" max="5887" width="9.1796875" style="547"/>
    <col min="5888" max="5889" width="9.1796875" style="547" customWidth="1"/>
    <col min="5890" max="5890" width="15.54296875" style="547" customWidth="1"/>
    <col min="5891" max="5892" width="9.1796875" style="547" customWidth="1"/>
    <col min="5893" max="5893" width="19" style="547" customWidth="1"/>
    <col min="5894" max="5894" width="15.453125" style="547" customWidth="1"/>
    <col min="5895" max="5895" width="18.26953125" style="547" customWidth="1"/>
    <col min="5896" max="5896" width="9.1796875" style="547" customWidth="1"/>
    <col min="5897" max="5897" width="26.453125" style="547" customWidth="1"/>
    <col min="5898" max="5898" width="9.1796875" style="547" customWidth="1"/>
    <col min="5899" max="5899" width="7.54296875" style="547" customWidth="1"/>
    <col min="5900" max="5908" width="0" style="547" hidden="1" customWidth="1"/>
    <col min="5909" max="5909" width="9.1796875" style="547" customWidth="1"/>
    <col min="5910" max="5910" width="21" style="547" customWidth="1"/>
    <col min="5911" max="6143" width="9.1796875" style="547"/>
    <col min="6144" max="6145" width="9.1796875" style="547" customWidth="1"/>
    <col min="6146" max="6146" width="15.54296875" style="547" customWidth="1"/>
    <col min="6147" max="6148" width="9.1796875" style="547" customWidth="1"/>
    <col min="6149" max="6149" width="19" style="547" customWidth="1"/>
    <col min="6150" max="6150" width="15.453125" style="547" customWidth="1"/>
    <col min="6151" max="6151" width="18.26953125" style="547" customWidth="1"/>
    <col min="6152" max="6152" width="9.1796875" style="547" customWidth="1"/>
    <col min="6153" max="6153" width="26.453125" style="547" customWidth="1"/>
    <col min="6154" max="6154" width="9.1796875" style="547" customWidth="1"/>
    <col min="6155" max="6155" width="7.54296875" style="547" customWidth="1"/>
    <col min="6156" max="6164" width="0" style="547" hidden="1" customWidth="1"/>
    <col min="6165" max="6165" width="9.1796875" style="547" customWidth="1"/>
    <col min="6166" max="6166" width="21" style="547" customWidth="1"/>
    <col min="6167" max="6399" width="9.1796875" style="547"/>
    <col min="6400" max="6401" width="9.1796875" style="547" customWidth="1"/>
    <col min="6402" max="6402" width="15.54296875" style="547" customWidth="1"/>
    <col min="6403" max="6404" width="9.1796875" style="547" customWidth="1"/>
    <col min="6405" max="6405" width="19" style="547" customWidth="1"/>
    <col min="6406" max="6406" width="15.453125" style="547" customWidth="1"/>
    <col min="6407" max="6407" width="18.26953125" style="547" customWidth="1"/>
    <col min="6408" max="6408" width="9.1796875" style="547" customWidth="1"/>
    <col min="6409" max="6409" width="26.453125" style="547" customWidth="1"/>
    <col min="6410" max="6410" width="9.1796875" style="547" customWidth="1"/>
    <col min="6411" max="6411" width="7.54296875" style="547" customWidth="1"/>
    <col min="6412" max="6420" width="0" style="547" hidden="1" customWidth="1"/>
    <col min="6421" max="6421" width="9.1796875" style="547" customWidth="1"/>
    <col min="6422" max="6422" width="21" style="547" customWidth="1"/>
    <col min="6423" max="6655" width="9.1796875" style="547"/>
    <col min="6656" max="6657" width="9.1796875" style="547" customWidth="1"/>
    <col min="6658" max="6658" width="15.54296875" style="547" customWidth="1"/>
    <col min="6659" max="6660" width="9.1796875" style="547" customWidth="1"/>
    <col min="6661" max="6661" width="19" style="547" customWidth="1"/>
    <col min="6662" max="6662" width="15.453125" style="547" customWidth="1"/>
    <col min="6663" max="6663" width="18.26953125" style="547" customWidth="1"/>
    <col min="6664" max="6664" width="9.1796875" style="547" customWidth="1"/>
    <col min="6665" max="6665" width="26.453125" style="547" customWidth="1"/>
    <col min="6666" max="6666" width="9.1796875" style="547" customWidth="1"/>
    <col min="6667" max="6667" width="7.54296875" style="547" customWidth="1"/>
    <col min="6668" max="6676" width="0" style="547" hidden="1" customWidth="1"/>
    <col min="6677" max="6677" width="9.1796875" style="547" customWidth="1"/>
    <col min="6678" max="6678" width="21" style="547" customWidth="1"/>
    <col min="6679" max="6911" width="9.1796875" style="547"/>
    <col min="6912" max="6913" width="9.1796875" style="547" customWidth="1"/>
    <col min="6914" max="6914" width="15.54296875" style="547" customWidth="1"/>
    <col min="6915" max="6916" width="9.1796875" style="547" customWidth="1"/>
    <col min="6917" max="6917" width="19" style="547" customWidth="1"/>
    <col min="6918" max="6918" width="15.453125" style="547" customWidth="1"/>
    <col min="6919" max="6919" width="18.26953125" style="547" customWidth="1"/>
    <col min="6920" max="6920" width="9.1796875" style="547" customWidth="1"/>
    <col min="6921" max="6921" width="26.453125" style="547" customWidth="1"/>
    <col min="6922" max="6922" width="9.1796875" style="547" customWidth="1"/>
    <col min="6923" max="6923" width="7.54296875" style="547" customWidth="1"/>
    <col min="6924" max="6932" width="0" style="547" hidden="1" customWidth="1"/>
    <col min="6933" max="6933" width="9.1796875" style="547" customWidth="1"/>
    <col min="6934" max="6934" width="21" style="547" customWidth="1"/>
    <col min="6935" max="7167" width="9.1796875" style="547"/>
    <col min="7168" max="7169" width="9.1796875" style="547" customWidth="1"/>
    <col min="7170" max="7170" width="15.54296875" style="547" customWidth="1"/>
    <col min="7171" max="7172" width="9.1796875" style="547" customWidth="1"/>
    <col min="7173" max="7173" width="19" style="547" customWidth="1"/>
    <col min="7174" max="7174" width="15.453125" style="547" customWidth="1"/>
    <col min="7175" max="7175" width="18.26953125" style="547" customWidth="1"/>
    <col min="7176" max="7176" width="9.1796875" style="547" customWidth="1"/>
    <col min="7177" max="7177" width="26.453125" style="547" customWidth="1"/>
    <col min="7178" max="7178" width="9.1796875" style="547" customWidth="1"/>
    <col min="7179" max="7179" width="7.54296875" style="547" customWidth="1"/>
    <col min="7180" max="7188" width="0" style="547" hidden="1" customWidth="1"/>
    <col min="7189" max="7189" width="9.1796875" style="547" customWidth="1"/>
    <col min="7190" max="7190" width="21" style="547" customWidth="1"/>
    <col min="7191" max="7423" width="9.1796875" style="547"/>
    <col min="7424" max="7425" width="9.1796875" style="547" customWidth="1"/>
    <col min="7426" max="7426" width="15.54296875" style="547" customWidth="1"/>
    <col min="7427" max="7428" width="9.1796875" style="547" customWidth="1"/>
    <col min="7429" max="7429" width="19" style="547" customWidth="1"/>
    <col min="7430" max="7430" width="15.453125" style="547" customWidth="1"/>
    <col min="7431" max="7431" width="18.26953125" style="547" customWidth="1"/>
    <col min="7432" max="7432" width="9.1796875" style="547" customWidth="1"/>
    <col min="7433" max="7433" width="26.453125" style="547" customWidth="1"/>
    <col min="7434" max="7434" width="9.1796875" style="547" customWidth="1"/>
    <col min="7435" max="7435" width="7.54296875" style="547" customWidth="1"/>
    <col min="7436" max="7444" width="0" style="547" hidden="1" customWidth="1"/>
    <col min="7445" max="7445" width="9.1796875" style="547" customWidth="1"/>
    <col min="7446" max="7446" width="21" style="547" customWidth="1"/>
    <col min="7447" max="7679" width="9.1796875" style="547"/>
    <col min="7680" max="7681" width="9.1796875" style="547" customWidth="1"/>
    <col min="7682" max="7682" width="15.54296875" style="547" customWidth="1"/>
    <col min="7683" max="7684" width="9.1796875" style="547" customWidth="1"/>
    <col min="7685" max="7685" width="19" style="547" customWidth="1"/>
    <col min="7686" max="7686" width="15.453125" style="547" customWidth="1"/>
    <col min="7687" max="7687" width="18.26953125" style="547" customWidth="1"/>
    <col min="7688" max="7688" width="9.1796875" style="547" customWidth="1"/>
    <col min="7689" max="7689" width="26.453125" style="547" customWidth="1"/>
    <col min="7690" max="7690" width="9.1796875" style="547" customWidth="1"/>
    <col min="7691" max="7691" width="7.54296875" style="547" customWidth="1"/>
    <col min="7692" max="7700" width="0" style="547" hidden="1" customWidth="1"/>
    <col min="7701" max="7701" width="9.1796875" style="547" customWidth="1"/>
    <col min="7702" max="7702" width="21" style="547" customWidth="1"/>
    <col min="7703" max="7935" width="9.1796875" style="547"/>
    <col min="7936" max="7937" width="9.1796875" style="547" customWidth="1"/>
    <col min="7938" max="7938" width="15.54296875" style="547" customWidth="1"/>
    <col min="7939" max="7940" width="9.1796875" style="547" customWidth="1"/>
    <col min="7941" max="7941" width="19" style="547" customWidth="1"/>
    <col min="7942" max="7942" width="15.453125" style="547" customWidth="1"/>
    <col min="7943" max="7943" width="18.26953125" style="547" customWidth="1"/>
    <col min="7944" max="7944" width="9.1796875" style="547" customWidth="1"/>
    <col min="7945" max="7945" width="26.453125" style="547" customWidth="1"/>
    <col min="7946" max="7946" width="9.1796875" style="547" customWidth="1"/>
    <col min="7947" max="7947" width="7.54296875" style="547" customWidth="1"/>
    <col min="7948" max="7956" width="0" style="547" hidden="1" customWidth="1"/>
    <col min="7957" max="7957" width="9.1796875" style="547" customWidth="1"/>
    <col min="7958" max="7958" width="21" style="547" customWidth="1"/>
    <col min="7959" max="8191" width="9.1796875" style="547"/>
    <col min="8192" max="8193" width="9.1796875" style="547" customWidth="1"/>
    <col min="8194" max="8194" width="15.54296875" style="547" customWidth="1"/>
    <col min="8195" max="8196" width="9.1796875" style="547" customWidth="1"/>
    <col min="8197" max="8197" width="19" style="547" customWidth="1"/>
    <col min="8198" max="8198" width="15.453125" style="547" customWidth="1"/>
    <col min="8199" max="8199" width="18.26953125" style="547" customWidth="1"/>
    <col min="8200" max="8200" width="9.1796875" style="547" customWidth="1"/>
    <col min="8201" max="8201" width="26.453125" style="547" customWidth="1"/>
    <col min="8202" max="8202" width="9.1796875" style="547" customWidth="1"/>
    <col min="8203" max="8203" width="7.54296875" style="547" customWidth="1"/>
    <col min="8204" max="8212" width="0" style="547" hidden="1" customWidth="1"/>
    <col min="8213" max="8213" width="9.1796875" style="547" customWidth="1"/>
    <col min="8214" max="8214" width="21" style="547" customWidth="1"/>
    <col min="8215" max="8447" width="9.1796875" style="547"/>
    <col min="8448" max="8449" width="9.1796875" style="547" customWidth="1"/>
    <col min="8450" max="8450" width="15.54296875" style="547" customWidth="1"/>
    <col min="8451" max="8452" width="9.1796875" style="547" customWidth="1"/>
    <col min="8453" max="8453" width="19" style="547" customWidth="1"/>
    <col min="8454" max="8454" width="15.453125" style="547" customWidth="1"/>
    <col min="8455" max="8455" width="18.26953125" style="547" customWidth="1"/>
    <col min="8456" max="8456" width="9.1796875" style="547" customWidth="1"/>
    <col min="8457" max="8457" width="26.453125" style="547" customWidth="1"/>
    <col min="8458" max="8458" width="9.1796875" style="547" customWidth="1"/>
    <col min="8459" max="8459" width="7.54296875" style="547" customWidth="1"/>
    <col min="8460" max="8468" width="0" style="547" hidden="1" customWidth="1"/>
    <col min="8469" max="8469" width="9.1796875" style="547" customWidth="1"/>
    <col min="8470" max="8470" width="21" style="547" customWidth="1"/>
    <col min="8471" max="8703" width="9.1796875" style="547"/>
    <col min="8704" max="8705" width="9.1796875" style="547" customWidth="1"/>
    <col min="8706" max="8706" width="15.54296875" style="547" customWidth="1"/>
    <col min="8707" max="8708" width="9.1796875" style="547" customWidth="1"/>
    <col min="8709" max="8709" width="19" style="547" customWidth="1"/>
    <col min="8710" max="8710" width="15.453125" style="547" customWidth="1"/>
    <col min="8711" max="8711" width="18.26953125" style="547" customWidth="1"/>
    <col min="8712" max="8712" width="9.1796875" style="547" customWidth="1"/>
    <col min="8713" max="8713" width="26.453125" style="547" customWidth="1"/>
    <col min="8714" max="8714" width="9.1796875" style="547" customWidth="1"/>
    <col min="8715" max="8715" width="7.54296875" style="547" customWidth="1"/>
    <col min="8716" max="8724" width="0" style="547" hidden="1" customWidth="1"/>
    <col min="8725" max="8725" width="9.1796875" style="547" customWidth="1"/>
    <col min="8726" max="8726" width="21" style="547" customWidth="1"/>
    <col min="8727" max="8959" width="9.1796875" style="547"/>
    <col min="8960" max="8961" width="9.1796875" style="547" customWidth="1"/>
    <col min="8962" max="8962" width="15.54296875" style="547" customWidth="1"/>
    <col min="8963" max="8964" width="9.1796875" style="547" customWidth="1"/>
    <col min="8965" max="8965" width="19" style="547" customWidth="1"/>
    <col min="8966" max="8966" width="15.453125" style="547" customWidth="1"/>
    <col min="8967" max="8967" width="18.26953125" style="547" customWidth="1"/>
    <col min="8968" max="8968" width="9.1796875" style="547" customWidth="1"/>
    <col min="8969" max="8969" width="26.453125" style="547" customWidth="1"/>
    <col min="8970" max="8970" width="9.1796875" style="547" customWidth="1"/>
    <col min="8971" max="8971" width="7.54296875" style="547" customWidth="1"/>
    <col min="8972" max="8980" width="0" style="547" hidden="1" customWidth="1"/>
    <col min="8981" max="8981" width="9.1796875" style="547" customWidth="1"/>
    <col min="8982" max="8982" width="21" style="547" customWidth="1"/>
    <col min="8983" max="9215" width="9.1796875" style="547"/>
    <col min="9216" max="9217" width="9.1796875" style="547" customWidth="1"/>
    <col min="9218" max="9218" width="15.54296875" style="547" customWidth="1"/>
    <col min="9219" max="9220" width="9.1796875" style="547" customWidth="1"/>
    <col min="9221" max="9221" width="19" style="547" customWidth="1"/>
    <col min="9222" max="9222" width="15.453125" style="547" customWidth="1"/>
    <col min="9223" max="9223" width="18.26953125" style="547" customWidth="1"/>
    <col min="9224" max="9224" width="9.1796875" style="547" customWidth="1"/>
    <col min="9225" max="9225" width="26.453125" style="547" customWidth="1"/>
    <col min="9226" max="9226" width="9.1796875" style="547" customWidth="1"/>
    <col min="9227" max="9227" width="7.54296875" style="547" customWidth="1"/>
    <col min="9228" max="9236" width="0" style="547" hidden="1" customWidth="1"/>
    <col min="9237" max="9237" width="9.1796875" style="547" customWidth="1"/>
    <col min="9238" max="9238" width="21" style="547" customWidth="1"/>
    <col min="9239" max="9471" width="9.1796875" style="547"/>
    <col min="9472" max="9473" width="9.1796875" style="547" customWidth="1"/>
    <col min="9474" max="9474" width="15.54296875" style="547" customWidth="1"/>
    <col min="9475" max="9476" width="9.1796875" style="547" customWidth="1"/>
    <col min="9477" max="9477" width="19" style="547" customWidth="1"/>
    <col min="9478" max="9478" width="15.453125" style="547" customWidth="1"/>
    <col min="9479" max="9479" width="18.26953125" style="547" customWidth="1"/>
    <col min="9480" max="9480" width="9.1796875" style="547" customWidth="1"/>
    <col min="9481" max="9481" width="26.453125" style="547" customWidth="1"/>
    <col min="9482" max="9482" width="9.1796875" style="547" customWidth="1"/>
    <col min="9483" max="9483" width="7.54296875" style="547" customWidth="1"/>
    <col min="9484" max="9492" width="0" style="547" hidden="1" customWidth="1"/>
    <col min="9493" max="9493" width="9.1796875" style="547" customWidth="1"/>
    <col min="9494" max="9494" width="21" style="547" customWidth="1"/>
    <col min="9495" max="9727" width="9.1796875" style="547"/>
    <col min="9728" max="9729" width="9.1796875" style="547" customWidth="1"/>
    <col min="9730" max="9730" width="15.54296875" style="547" customWidth="1"/>
    <col min="9731" max="9732" width="9.1796875" style="547" customWidth="1"/>
    <col min="9733" max="9733" width="19" style="547" customWidth="1"/>
    <col min="9734" max="9734" width="15.453125" style="547" customWidth="1"/>
    <col min="9735" max="9735" width="18.26953125" style="547" customWidth="1"/>
    <col min="9736" max="9736" width="9.1796875" style="547" customWidth="1"/>
    <col min="9737" max="9737" width="26.453125" style="547" customWidth="1"/>
    <col min="9738" max="9738" width="9.1796875" style="547" customWidth="1"/>
    <col min="9739" max="9739" width="7.54296875" style="547" customWidth="1"/>
    <col min="9740" max="9748" width="0" style="547" hidden="1" customWidth="1"/>
    <col min="9749" max="9749" width="9.1796875" style="547" customWidth="1"/>
    <col min="9750" max="9750" width="21" style="547" customWidth="1"/>
    <col min="9751" max="9983" width="9.1796875" style="547"/>
    <col min="9984" max="9985" width="9.1796875" style="547" customWidth="1"/>
    <col min="9986" max="9986" width="15.54296875" style="547" customWidth="1"/>
    <col min="9987" max="9988" width="9.1796875" style="547" customWidth="1"/>
    <col min="9989" max="9989" width="19" style="547" customWidth="1"/>
    <col min="9990" max="9990" width="15.453125" style="547" customWidth="1"/>
    <col min="9991" max="9991" width="18.26953125" style="547" customWidth="1"/>
    <col min="9992" max="9992" width="9.1796875" style="547" customWidth="1"/>
    <col min="9993" max="9993" width="26.453125" style="547" customWidth="1"/>
    <col min="9994" max="9994" width="9.1796875" style="547" customWidth="1"/>
    <col min="9995" max="9995" width="7.54296875" style="547" customWidth="1"/>
    <col min="9996" max="10004" width="0" style="547" hidden="1" customWidth="1"/>
    <col min="10005" max="10005" width="9.1796875" style="547" customWidth="1"/>
    <col min="10006" max="10006" width="21" style="547" customWidth="1"/>
    <col min="10007" max="10239" width="9.1796875" style="547"/>
    <col min="10240" max="10241" width="9.1796875" style="547" customWidth="1"/>
    <col min="10242" max="10242" width="15.54296875" style="547" customWidth="1"/>
    <col min="10243" max="10244" width="9.1796875" style="547" customWidth="1"/>
    <col min="10245" max="10245" width="19" style="547" customWidth="1"/>
    <col min="10246" max="10246" width="15.453125" style="547" customWidth="1"/>
    <col min="10247" max="10247" width="18.26953125" style="547" customWidth="1"/>
    <col min="10248" max="10248" width="9.1796875" style="547" customWidth="1"/>
    <col min="10249" max="10249" width="26.453125" style="547" customWidth="1"/>
    <col min="10250" max="10250" width="9.1796875" style="547" customWidth="1"/>
    <col min="10251" max="10251" width="7.54296875" style="547" customWidth="1"/>
    <col min="10252" max="10260" width="0" style="547" hidden="1" customWidth="1"/>
    <col min="10261" max="10261" width="9.1796875" style="547" customWidth="1"/>
    <col min="10262" max="10262" width="21" style="547" customWidth="1"/>
    <col min="10263" max="10495" width="9.1796875" style="547"/>
    <col min="10496" max="10497" width="9.1796875" style="547" customWidth="1"/>
    <col min="10498" max="10498" width="15.54296875" style="547" customWidth="1"/>
    <col min="10499" max="10500" width="9.1796875" style="547" customWidth="1"/>
    <col min="10501" max="10501" width="19" style="547" customWidth="1"/>
    <col min="10502" max="10502" width="15.453125" style="547" customWidth="1"/>
    <col min="10503" max="10503" width="18.26953125" style="547" customWidth="1"/>
    <col min="10504" max="10504" width="9.1796875" style="547" customWidth="1"/>
    <col min="10505" max="10505" width="26.453125" style="547" customWidth="1"/>
    <col min="10506" max="10506" width="9.1796875" style="547" customWidth="1"/>
    <col min="10507" max="10507" width="7.54296875" style="547" customWidth="1"/>
    <col min="10508" max="10516" width="0" style="547" hidden="1" customWidth="1"/>
    <col min="10517" max="10517" width="9.1796875" style="547" customWidth="1"/>
    <col min="10518" max="10518" width="21" style="547" customWidth="1"/>
    <col min="10519" max="10751" width="9.1796875" style="547"/>
    <col min="10752" max="10753" width="9.1796875" style="547" customWidth="1"/>
    <col min="10754" max="10754" width="15.54296875" style="547" customWidth="1"/>
    <col min="10755" max="10756" width="9.1796875" style="547" customWidth="1"/>
    <col min="10757" max="10757" width="19" style="547" customWidth="1"/>
    <col min="10758" max="10758" width="15.453125" style="547" customWidth="1"/>
    <col min="10759" max="10759" width="18.26953125" style="547" customWidth="1"/>
    <col min="10760" max="10760" width="9.1796875" style="547" customWidth="1"/>
    <col min="10761" max="10761" width="26.453125" style="547" customWidth="1"/>
    <col min="10762" max="10762" width="9.1796875" style="547" customWidth="1"/>
    <col min="10763" max="10763" width="7.54296875" style="547" customWidth="1"/>
    <col min="10764" max="10772" width="0" style="547" hidden="1" customWidth="1"/>
    <col min="10773" max="10773" width="9.1796875" style="547" customWidth="1"/>
    <col min="10774" max="10774" width="21" style="547" customWidth="1"/>
    <col min="10775" max="11007" width="9.1796875" style="547"/>
    <col min="11008" max="11009" width="9.1796875" style="547" customWidth="1"/>
    <col min="11010" max="11010" width="15.54296875" style="547" customWidth="1"/>
    <col min="11011" max="11012" width="9.1796875" style="547" customWidth="1"/>
    <col min="11013" max="11013" width="19" style="547" customWidth="1"/>
    <col min="11014" max="11014" width="15.453125" style="547" customWidth="1"/>
    <col min="11015" max="11015" width="18.26953125" style="547" customWidth="1"/>
    <col min="11016" max="11016" width="9.1796875" style="547" customWidth="1"/>
    <col min="11017" max="11017" width="26.453125" style="547" customWidth="1"/>
    <col min="11018" max="11018" width="9.1796875" style="547" customWidth="1"/>
    <col min="11019" max="11019" width="7.54296875" style="547" customWidth="1"/>
    <col min="11020" max="11028" width="0" style="547" hidden="1" customWidth="1"/>
    <col min="11029" max="11029" width="9.1796875" style="547" customWidth="1"/>
    <col min="11030" max="11030" width="21" style="547" customWidth="1"/>
    <col min="11031" max="11263" width="9.1796875" style="547"/>
    <col min="11264" max="11265" width="9.1796875" style="547" customWidth="1"/>
    <col min="11266" max="11266" width="15.54296875" style="547" customWidth="1"/>
    <col min="11267" max="11268" width="9.1796875" style="547" customWidth="1"/>
    <col min="11269" max="11269" width="19" style="547" customWidth="1"/>
    <col min="11270" max="11270" width="15.453125" style="547" customWidth="1"/>
    <col min="11271" max="11271" width="18.26953125" style="547" customWidth="1"/>
    <col min="11272" max="11272" width="9.1796875" style="547" customWidth="1"/>
    <col min="11273" max="11273" width="26.453125" style="547" customWidth="1"/>
    <col min="11274" max="11274" width="9.1796875" style="547" customWidth="1"/>
    <col min="11275" max="11275" width="7.54296875" style="547" customWidth="1"/>
    <col min="11276" max="11284" width="0" style="547" hidden="1" customWidth="1"/>
    <col min="11285" max="11285" width="9.1796875" style="547" customWidth="1"/>
    <col min="11286" max="11286" width="21" style="547" customWidth="1"/>
    <col min="11287" max="11519" width="9.1796875" style="547"/>
    <col min="11520" max="11521" width="9.1796875" style="547" customWidth="1"/>
    <col min="11522" max="11522" width="15.54296875" style="547" customWidth="1"/>
    <col min="11523" max="11524" width="9.1796875" style="547" customWidth="1"/>
    <col min="11525" max="11525" width="19" style="547" customWidth="1"/>
    <col min="11526" max="11526" width="15.453125" style="547" customWidth="1"/>
    <col min="11527" max="11527" width="18.26953125" style="547" customWidth="1"/>
    <col min="11528" max="11528" width="9.1796875" style="547" customWidth="1"/>
    <col min="11529" max="11529" width="26.453125" style="547" customWidth="1"/>
    <col min="11530" max="11530" width="9.1796875" style="547" customWidth="1"/>
    <col min="11531" max="11531" width="7.54296875" style="547" customWidth="1"/>
    <col min="11532" max="11540" width="0" style="547" hidden="1" customWidth="1"/>
    <col min="11541" max="11541" width="9.1796875" style="547" customWidth="1"/>
    <col min="11542" max="11542" width="21" style="547" customWidth="1"/>
    <col min="11543" max="11775" width="9.1796875" style="547"/>
    <col min="11776" max="11777" width="9.1796875" style="547" customWidth="1"/>
    <col min="11778" max="11778" width="15.54296875" style="547" customWidth="1"/>
    <col min="11779" max="11780" width="9.1796875" style="547" customWidth="1"/>
    <col min="11781" max="11781" width="19" style="547" customWidth="1"/>
    <col min="11782" max="11782" width="15.453125" style="547" customWidth="1"/>
    <col min="11783" max="11783" width="18.26953125" style="547" customWidth="1"/>
    <col min="11784" max="11784" width="9.1796875" style="547" customWidth="1"/>
    <col min="11785" max="11785" width="26.453125" style="547" customWidth="1"/>
    <col min="11786" max="11786" width="9.1796875" style="547" customWidth="1"/>
    <col min="11787" max="11787" width="7.54296875" style="547" customWidth="1"/>
    <col min="11788" max="11796" width="0" style="547" hidden="1" customWidth="1"/>
    <col min="11797" max="11797" width="9.1796875" style="547" customWidth="1"/>
    <col min="11798" max="11798" width="21" style="547" customWidth="1"/>
    <col min="11799" max="12031" width="9.1796875" style="547"/>
    <col min="12032" max="12033" width="9.1796875" style="547" customWidth="1"/>
    <col min="12034" max="12034" width="15.54296875" style="547" customWidth="1"/>
    <col min="12035" max="12036" width="9.1796875" style="547" customWidth="1"/>
    <col min="12037" max="12037" width="19" style="547" customWidth="1"/>
    <col min="12038" max="12038" width="15.453125" style="547" customWidth="1"/>
    <col min="12039" max="12039" width="18.26953125" style="547" customWidth="1"/>
    <col min="12040" max="12040" width="9.1796875" style="547" customWidth="1"/>
    <col min="12041" max="12041" width="26.453125" style="547" customWidth="1"/>
    <col min="12042" max="12042" width="9.1796875" style="547" customWidth="1"/>
    <col min="12043" max="12043" width="7.54296875" style="547" customWidth="1"/>
    <col min="12044" max="12052" width="0" style="547" hidden="1" customWidth="1"/>
    <col min="12053" max="12053" width="9.1796875" style="547" customWidth="1"/>
    <col min="12054" max="12054" width="21" style="547" customWidth="1"/>
    <col min="12055" max="12287" width="9.1796875" style="547"/>
    <col min="12288" max="12289" width="9.1796875" style="547" customWidth="1"/>
    <col min="12290" max="12290" width="15.54296875" style="547" customWidth="1"/>
    <col min="12291" max="12292" width="9.1796875" style="547" customWidth="1"/>
    <col min="12293" max="12293" width="19" style="547" customWidth="1"/>
    <col min="12294" max="12294" width="15.453125" style="547" customWidth="1"/>
    <col min="12295" max="12295" width="18.26953125" style="547" customWidth="1"/>
    <col min="12296" max="12296" width="9.1796875" style="547" customWidth="1"/>
    <col min="12297" max="12297" width="26.453125" style="547" customWidth="1"/>
    <col min="12298" max="12298" width="9.1796875" style="547" customWidth="1"/>
    <col min="12299" max="12299" width="7.54296875" style="547" customWidth="1"/>
    <col min="12300" max="12308" width="0" style="547" hidden="1" customWidth="1"/>
    <col min="12309" max="12309" width="9.1796875" style="547" customWidth="1"/>
    <col min="12310" max="12310" width="21" style="547" customWidth="1"/>
    <col min="12311" max="12543" width="9.1796875" style="547"/>
    <col min="12544" max="12545" width="9.1796875" style="547" customWidth="1"/>
    <col min="12546" max="12546" width="15.54296875" style="547" customWidth="1"/>
    <col min="12547" max="12548" width="9.1796875" style="547" customWidth="1"/>
    <col min="12549" max="12549" width="19" style="547" customWidth="1"/>
    <col min="12550" max="12550" width="15.453125" style="547" customWidth="1"/>
    <col min="12551" max="12551" width="18.26953125" style="547" customWidth="1"/>
    <col min="12552" max="12552" width="9.1796875" style="547" customWidth="1"/>
    <col min="12553" max="12553" width="26.453125" style="547" customWidth="1"/>
    <col min="12554" max="12554" width="9.1796875" style="547" customWidth="1"/>
    <col min="12555" max="12555" width="7.54296875" style="547" customWidth="1"/>
    <col min="12556" max="12564" width="0" style="547" hidden="1" customWidth="1"/>
    <col min="12565" max="12565" width="9.1796875" style="547" customWidth="1"/>
    <col min="12566" max="12566" width="21" style="547" customWidth="1"/>
    <col min="12567" max="12799" width="9.1796875" style="547"/>
    <col min="12800" max="12801" width="9.1796875" style="547" customWidth="1"/>
    <col min="12802" max="12802" width="15.54296875" style="547" customWidth="1"/>
    <col min="12803" max="12804" width="9.1796875" style="547" customWidth="1"/>
    <col min="12805" max="12805" width="19" style="547" customWidth="1"/>
    <col min="12806" max="12806" width="15.453125" style="547" customWidth="1"/>
    <col min="12807" max="12807" width="18.26953125" style="547" customWidth="1"/>
    <col min="12808" max="12808" width="9.1796875" style="547" customWidth="1"/>
    <col min="12809" max="12809" width="26.453125" style="547" customWidth="1"/>
    <col min="12810" max="12810" width="9.1796875" style="547" customWidth="1"/>
    <col min="12811" max="12811" width="7.54296875" style="547" customWidth="1"/>
    <col min="12812" max="12820" width="0" style="547" hidden="1" customWidth="1"/>
    <col min="12821" max="12821" width="9.1796875" style="547" customWidth="1"/>
    <col min="12822" max="12822" width="21" style="547" customWidth="1"/>
    <col min="12823" max="13055" width="9.1796875" style="547"/>
    <col min="13056" max="13057" width="9.1796875" style="547" customWidth="1"/>
    <col min="13058" max="13058" width="15.54296875" style="547" customWidth="1"/>
    <col min="13059" max="13060" width="9.1796875" style="547" customWidth="1"/>
    <col min="13061" max="13061" width="19" style="547" customWidth="1"/>
    <col min="13062" max="13062" width="15.453125" style="547" customWidth="1"/>
    <col min="13063" max="13063" width="18.26953125" style="547" customWidth="1"/>
    <col min="13064" max="13064" width="9.1796875" style="547" customWidth="1"/>
    <col min="13065" max="13065" width="26.453125" style="547" customWidth="1"/>
    <col min="13066" max="13066" width="9.1796875" style="547" customWidth="1"/>
    <col min="13067" max="13067" width="7.54296875" style="547" customWidth="1"/>
    <col min="13068" max="13076" width="0" style="547" hidden="1" customWidth="1"/>
    <col min="13077" max="13077" width="9.1796875" style="547" customWidth="1"/>
    <col min="13078" max="13078" width="21" style="547" customWidth="1"/>
    <col min="13079" max="13311" width="9.1796875" style="547"/>
    <col min="13312" max="13313" width="9.1796875" style="547" customWidth="1"/>
    <col min="13314" max="13314" width="15.54296875" style="547" customWidth="1"/>
    <col min="13315" max="13316" width="9.1796875" style="547" customWidth="1"/>
    <col min="13317" max="13317" width="19" style="547" customWidth="1"/>
    <col min="13318" max="13318" width="15.453125" style="547" customWidth="1"/>
    <col min="13319" max="13319" width="18.26953125" style="547" customWidth="1"/>
    <col min="13320" max="13320" width="9.1796875" style="547" customWidth="1"/>
    <col min="13321" max="13321" width="26.453125" style="547" customWidth="1"/>
    <col min="13322" max="13322" width="9.1796875" style="547" customWidth="1"/>
    <col min="13323" max="13323" width="7.54296875" style="547" customWidth="1"/>
    <col min="13324" max="13332" width="0" style="547" hidden="1" customWidth="1"/>
    <col min="13333" max="13333" width="9.1796875" style="547" customWidth="1"/>
    <col min="13334" max="13334" width="21" style="547" customWidth="1"/>
    <col min="13335" max="13567" width="9.1796875" style="547"/>
    <col min="13568" max="13569" width="9.1796875" style="547" customWidth="1"/>
    <col min="13570" max="13570" width="15.54296875" style="547" customWidth="1"/>
    <col min="13571" max="13572" width="9.1796875" style="547" customWidth="1"/>
    <col min="13573" max="13573" width="19" style="547" customWidth="1"/>
    <col min="13574" max="13574" width="15.453125" style="547" customWidth="1"/>
    <col min="13575" max="13575" width="18.26953125" style="547" customWidth="1"/>
    <col min="13576" max="13576" width="9.1796875" style="547" customWidth="1"/>
    <col min="13577" max="13577" width="26.453125" style="547" customWidth="1"/>
    <col min="13578" max="13578" width="9.1796875" style="547" customWidth="1"/>
    <col min="13579" max="13579" width="7.54296875" style="547" customWidth="1"/>
    <col min="13580" max="13588" width="0" style="547" hidden="1" customWidth="1"/>
    <col min="13589" max="13589" width="9.1796875" style="547" customWidth="1"/>
    <col min="13590" max="13590" width="21" style="547" customWidth="1"/>
    <col min="13591" max="13823" width="9.1796875" style="547"/>
    <col min="13824" max="13825" width="9.1796875" style="547" customWidth="1"/>
    <col min="13826" max="13826" width="15.54296875" style="547" customWidth="1"/>
    <col min="13827" max="13828" width="9.1796875" style="547" customWidth="1"/>
    <col min="13829" max="13829" width="19" style="547" customWidth="1"/>
    <col min="13830" max="13830" width="15.453125" style="547" customWidth="1"/>
    <col min="13831" max="13831" width="18.26953125" style="547" customWidth="1"/>
    <col min="13832" max="13832" width="9.1796875" style="547" customWidth="1"/>
    <col min="13833" max="13833" width="26.453125" style="547" customWidth="1"/>
    <col min="13834" max="13834" width="9.1796875" style="547" customWidth="1"/>
    <col min="13835" max="13835" width="7.54296875" style="547" customWidth="1"/>
    <col min="13836" max="13844" width="0" style="547" hidden="1" customWidth="1"/>
    <col min="13845" max="13845" width="9.1796875" style="547" customWidth="1"/>
    <col min="13846" max="13846" width="21" style="547" customWidth="1"/>
    <col min="13847" max="14079" width="9.1796875" style="547"/>
    <col min="14080" max="14081" width="9.1796875" style="547" customWidth="1"/>
    <col min="14082" max="14082" width="15.54296875" style="547" customWidth="1"/>
    <col min="14083" max="14084" width="9.1796875" style="547" customWidth="1"/>
    <col min="14085" max="14085" width="19" style="547" customWidth="1"/>
    <col min="14086" max="14086" width="15.453125" style="547" customWidth="1"/>
    <col min="14087" max="14087" width="18.26953125" style="547" customWidth="1"/>
    <col min="14088" max="14088" width="9.1796875" style="547" customWidth="1"/>
    <col min="14089" max="14089" width="26.453125" style="547" customWidth="1"/>
    <col min="14090" max="14090" width="9.1796875" style="547" customWidth="1"/>
    <col min="14091" max="14091" width="7.54296875" style="547" customWidth="1"/>
    <col min="14092" max="14100" width="0" style="547" hidden="1" customWidth="1"/>
    <col min="14101" max="14101" width="9.1796875" style="547" customWidth="1"/>
    <col min="14102" max="14102" width="21" style="547" customWidth="1"/>
    <col min="14103" max="14335" width="9.1796875" style="547"/>
    <col min="14336" max="14337" width="9.1796875" style="547" customWidth="1"/>
    <col min="14338" max="14338" width="15.54296875" style="547" customWidth="1"/>
    <col min="14339" max="14340" width="9.1796875" style="547" customWidth="1"/>
    <col min="14341" max="14341" width="19" style="547" customWidth="1"/>
    <col min="14342" max="14342" width="15.453125" style="547" customWidth="1"/>
    <col min="14343" max="14343" width="18.26953125" style="547" customWidth="1"/>
    <col min="14344" max="14344" width="9.1796875" style="547" customWidth="1"/>
    <col min="14345" max="14345" width="26.453125" style="547" customWidth="1"/>
    <col min="14346" max="14346" width="9.1796875" style="547" customWidth="1"/>
    <col min="14347" max="14347" width="7.54296875" style="547" customWidth="1"/>
    <col min="14348" max="14356" width="0" style="547" hidden="1" customWidth="1"/>
    <col min="14357" max="14357" width="9.1796875" style="547" customWidth="1"/>
    <col min="14358" max="14358" width="21" style="547" customWidth="1"/>
    <col min="14359" max="14591" width="9.1796875" style="547"/>
    <col min="14592" max="14593" width="9.1796875" style="547" customWidth="1"/>
    <col min="14594" max="14594" width="15.54296875" style="547" customWidth="1"/>
    <col min="14595" max="14596" width="9.1796875" style="547" customWidth="1"/>
    <col min="14597" max="14597" width="19" style="547" customWidth="1"/>
    <col min="14598" max="14598" width="15.453125" style="547" customWidth="1"/>
    <col min="14599" max="14599" width="18.26953125" style="547" customWidth="1"/>
    <col min="14600" max="14600" width="9.1796875" style="547" customWidth="1"/>
    <col min="14601" max="14601" width="26.453125" style="547" customWidth="1"/>
    <col min="14602" max="14602" width="9.1796875" style="547" customWidth="1"/>
    <col min="14603" max="14603" width="7.54296875" style="547" customWidth="1"/>
    <col min="14604" max="14612" width="0" style="547" hidden="1" customWidth="1"/>
    <col min="14613" max="14613" width="9.1796875" style="547" customWidth="1"/>
    <col min="14614" max="14614" width="21" style="547" customWidth="1"/>
    <col min="14615" max="14847" width="9.1796875" style="547"/>
    <col min="14848" max="14849" width="9.1796875" style="547" customWidth="1"/>
    <col min="14850" max="14850" width="15.54296875" style="547" customWidth="1"/>
    <col min="14851" max="14852" width="9.1796875" style="547" customWidth="1"/>
    <col min="14853" max="14853" width="19" style="547" customWidth="1"/>
    <col min="14854" max="14854" width="15.453125" style="547" customWidth="1"/>
    <col min="14855" max="14855" width="18.26953125" style="547" customWidth="1"/>
    <col min="14856" max="14856" width="9.1796875" style="547" customWidth="1"/>
    <col min="14857" max="14857" width="26.453125" style="547" customWidth="1"/>
    <col min="14858" max="14858" width="9.1796875" style="547" customWidth="1"/>
    <col min="14859" max="14859" width="7.54296875" style="547" customWidth="1"/>
    <col min="14860" max="14868" width="0" style="547" hidden="1" customWidth="1"/>
    <col min="14869" max="14869" width="9.1796875" style="547" customWidth="1"/>
    <col min="14870" max="14870" width="21" style="547" customWidth="1"/>
    <col min="14871" max="15103" width="9.1796875" style="547"/>
    <col min="15104" max="15105" width="9.1796875" style="547" customWidth="1"/>
    <col min="15106" max="15106" width="15.54296875" style="547" customWidth="1"/>
    <col min="15107" max="15108" width="9.1796875" style="547" customWidth="1"/>
    <col min="15109" max="15109" width="19" style="547" customWidth="1"/>
    <col min="15110" max="15110" width="15.453125" style="547" customWidth="1"/>
    <col min="15111" max="15111" width="18.26953125" style="547" customWidth="1"/>
    <col min="15112" max="15112" width="9.1796875" style="547" customWidth="1"/>
    <col min="15113" max="15113" width="26.453125" style="547" customWidth="1"/>
    <col min="15114" max="15114" width="9.1796875" style="547" customWidth="1"/>
    <col min="15115" max="15115" width="7.54296875" style="547" customWidth="1"/>
    <col min="15116" max="15124" width="0" style="547" hidden="1" customWidth="1"/>
    <col min="15125" max="15125" width="9.1796875" style="547" customWidth="1"/>
    <col min="15126" max="15126" width="21" style="547" customWidth="1"/>
    <col min="15127" max="15359" width="9.1796875" style="547"/>
    <col min="15360" max="15361" width="9.1796875" style="547" customWidth="1"/>
    <col min="15362" max="15362" width="15.54296875" style="547" customWidth="1"/>
    <col min="15363" max="15364" width="9.1796875" style="547" customWidth="1"/>
    <col min="15365" max="15365" width="19" style="547" customWidth="1"/>
    <col min="15366" max="15366" width="15.453125" style="547" customWidth="1"/>
    <col min="15367" max="15367" width="18.26953125" style="547" customWidth="1"/>
    <col min="15368" max="15368" width="9.1796875" style="547" customWidth="1"/>
    <col min="15369" max="15369" width="26.453125" style="547" customWidth="1"/>
    <col min="15370" max="15370" width="9.1796875" style="547" customWidth="1"/>
    <col min="15371" max="15371" width="7.54296875" style="547" customWidth="1"/>
    <col min="15372" max="15380" width="0" style="547" hidden="1" customWidth="1"/>
    <col min="15381" max="15381" width="9.1796875" style="547" customWidth="1"/>
    <col min="15382" max="15382" width="21" style="547" customWidth="1"/>
    <col min="15383" max="15615" width="9.1796875" style="547"/>
    <col min="15616" max="15617" width="9.1796875" style="547" customWidth="1"/>
    <col min="15618" max="15618" width="15.54296875" style="547" customWidth="1"/>
    <col min="15619" max="15620" width="9.1796875" style="547" customWidth="1"/>
    <col min="15621" max="15621" width="19" style="547" customWidth="1"/>
    <col min="15622" max="15622" width="15.453125" style="547" customWidth="1"/>
    <col min="15623" max="15623" width="18.26953125" style="547" customWidth="1"/>
    <col min="15624" max="15624" width="9.1796875" style="547" customWidth="1"/>
    <col min="15625" max="15625" width="26.453125" style="547" customWidth="1"/>
    <col min="15626" max="15626" width="9.1796875" style="547" customWidth="1"/>
    <col min="15627" max="15627" width="7.54296875" style="547" customWidth="1"/>
    <col min="15628" max="15636" width="0" style="547" hidden="1" customWidth="1"/>
    <col min="15637" max="15637" width="9.1796875" style="547" customWidth="1"/>
    <col min="15638" max="15638" width="21" style="547" customWidth="1"/>
    <col min="15639" max="15871" width="9.1796875" style="547"/>
    <col min="15872" max="15873" width="9.1796875" style="547" customWidth="1"/>
    <col min="15874" max="15874" width="15.54296875" style="547" customWidth="1"/>
    <col min="15875" max="15876" width="9.1796875" style="547" customWidth="1"/>
    <col min="15877" max="15877" width="19" style="547" customWidth="1"/>
    <col min="15878" max="15878" width="15.453125" style="547" customWidth="1"/>
    <col min="15879" max="15879" width="18.26953125" style="547" customWidth="1"/>
    <col min="15880" max="15880" width="9.1796875" style="547" customWidth="1"/>
    <col min="15881" max="15881" width="26.453125" style="547" customWidth="1"/>
    <col min="15882" max="15882" width="9.1796875" style="547" customWidth="1"/>
    <col min="15883" max="15883" width="7.54296875" style="547" customWidth="1"/>
    <col min="15884" max="15892" width="0" style="547" hidden="1" customWidth="1"/>
    <col min="15893" max="15893" width="9.1796875" style="547" customWidth="1"/>
    <col min="15894" max="15894" width="21" style="547" customWidth="1"/>
    <col min="15895" max="16127" width="9.1796875" style="547"/>
    <col min="16128" max="16129" width="9.1796875" style="547" customWidth="1"/>
    <col min="16130" max="16130" width="15.54296875" style="547" customWidth="1"/>
    <col min="16131" max="16132" width="9.1796875" style="547" customWidth="1"/>
    <col min="16133" max="16133" width="19" style="547" customWidth="1"/>
    <col min="16134" max="16134" width="15.453125" style="547" customWidth="1"/>
    <col min="16135" max="16135" width="18.26953125" style="547" customWidth="1"/>
    <col min="16136" max="16136" width="9.1796875" style="547" customWidth="1"/>
    <col min="16137" max="16137" width="26.453125" style="547" customWidth="1"/>
    <col min="16138" max="16138" width="9.1796875" style="547" customWidth="1"/>
    <col min="16139" max="16139" width="7.54296875" style="547" customWidth="1"/>
    <col min="16140" max="16148" width="0" style="547" hidden="1" customWidth="1"/>
    <col min="16149" max="16149" width="9.1796875" style="547" customWidth="1"/>
    <col min="16150" max="16150" width="21" style="547" customWidth="1"/>
    <col min="16151" max="16384" width="9.1796875" style="547"/>
  </cols>
  <sheetData>
    <row r="1" spans="8:24" hidden="1" x14ac:dyDescent="0.35">
      <c r="L1" s="869" t="s">
        <v>625</v>
      </c>
      <c r="M1" s="2413"/>
    </row>
    <row r="2" spans="8:24" hidden="1" x14ac:dyDescent="0.35">
      <c r="J2" s="541"/>
      <c r="L2" s="869" t="s">
        <v>450</v>
      </c>
      <c r="M2" s="2413"/>
      <c r="N2" s="2413"/>
    </row>
    <row r="3" spans="8:24" hidden="1" x14ac:dyDescent="0.35">
      <c r="H3" s="541"/>
      <c r="I3" s="541"/>
      <c r="J3" s="541"/>
      <c r="L3" s="869" t="s">
        <v>626</v>
      </c>
      <c r="M3" s="2413"/>
      <c r="N3" s="2413"/>
      <c r="O3" s="2413"/>
      <c r="P3" s="2413"/>
    </row>
    <row r="4" spans="8:24" hidden="1" x14ac:dyDescent="0.35">
      <c r="I4" s="541"/>
      <c r="J4" s="541"/>
      <c r="L4" s="869" t="s">
        <v>448</v>
      </c>
      <c r="M4" s="2413"/>
      <c r="N4" s="2413"/>
      <c r="O4" s="2413"/>
    </row>
    <row r="5" spans="8:24" hidden="1" x14ac:dyDescent="0.35">
      <c r="I5" s="541"/>
      <c r="J5" s="541"/>
      <c r="L5" s="869" t="s">
        <v>448</v>
      </c>
      <c r="M5" s="2413"/>
      <c r="N5" s="2413"/>
      <c r="O5" s="2413"/>
    </row>
    <row r="6" spans="8:24" hidden="1" x14ac:dyDescent="0.35">
      <c r="J6" s="541"/>
      <c r="L6" s="2216" t="s">
        <v>627</v>
      </c>
      <c r="M6" s="2415"/>
      <c r="N6" s="2415"/>
    </row>
    <row r="7" spans="8:24" hidden="1" x14ac:dyDescent="0.35"/>
    <row r="8" spans="8:24" hidden="1" x14ac:dyDescent="0.35">
      <c r="L8" s="869" t="s">
        <v>446</v>
      </c>
    </row>
    <row r="9" spans="8:24" hidden="1" x14ac:dyDescent="0.35"/>
    <row r="10" spans="8:24" hidden="1" x14ac:dyDescent="0.35">
      <c r="L10" s="869" t="s">
        <v>628</v>
      </c>
    </row>
    <row r="11" spans="8:24" ht="6" customHeight="1" x14ac:dyDescent="0.35">
      <c r="L11" s="869"/>
    </row>
    <row r="12" spans="8:24" ht="14.15" customHeight="1" x14ac:dyDescent="0.35">
      <c r="K12" s="3358" t="s">
        <v>625</v>
      </c>
      <c r="L12" s="3358"/>
      <c r="M12" s="3358"/>
      <c r="N12" s="3358"/>
      <c r="O12" s="3358"/>
      <c r="P12" s="3358"/>
      <c r="Q12" s="3358"/>
      <c r="R12" s="3358"/>
      <c r="S12" s="3358"/>
      <c r="T12" s="3358"/>
      <c r="U12" s="3358"/>
      <c r="V12" s="3358"/>
      <c r="W12" s="3358"/>
      <c r="X12" s="3358"/>
    </row>
    <row r="13" spans="8:24" ht="11.15" customHeight="1" x14ac:dyDescent="0.35">
      <c r="K13" s="3358" t="s">
        <v>450</v>
      </c>
      <c r="L13" s="3358"/>
      <c r="M13" s="3358"/>
      <c r="N13" s="3358"/>
      <c r="O13" s="3358"/>
      <c r="P13" s="3358"/>
      <c r="Q13" s="3358"/>
      <c r="R13" s="3358"/>
      <c r="S13" s="3358"/>
      <c r="T13" s="3358"/>
      <c r="U13" s="3358"/>
      <c r="V13" s="3358"/>
      <c r="W13" s="3358"/>
      <c r="X13" s="3358"/>
    </row>
    <row r="14" spans="8:24" ht="13" customHeight="1" x14ac:dyDescent="0.35">
      <c r="K14" s="3358" t="s">
        <v>449</v>
      </c>
      <c r="L14" s="3358"/>
      <c r="M14" s="3358"/>
      <c r="N14" s="3358"/>
      <c r="O14" s="3358"/>
      <c r="P14" s="3358"/>
      <c r="Q14" s="3358"/>
      <c r="R14" s="3358"/>
      <c r="S14" s="3358"/>
      <c r="T14" s="3358"/>
      <c r="U14" s="3358"/>
      <c r="V14" s="3358"/>
      <c r="W14" s="3358"/>
      <c r="X14" s="3358"/>
    </row>
    <row r="15" spans="8:24" ht="15.65" customHeight="1" x14ac:dyDescent="0.35">
      <c r="K15" s="3358" t="s">
        <v>448</v>
      </c>
      <c r="L15" s="3358"/>
      <c r="M15" s="3358"/>
      <c r="N15" s="3358"/>
      <c r="O15" s="3358"/>
      <c r="P15" s="3358"/>
      <c r="Q15" s="3358"/>
      <c r="R15" s="3358"/>
      <c r="S15" s="3358"/>
      <c r="T15" s="3358"/>
      <c r="U15" s="3358"/>
      <c r="V15" s="3358"/>
      <c r="W15" s="3358"/>
      <c r="X15" s="3358"/>
    </row>
    <row r="16" spans="8:24" ht="15.65" customHeight="1" x14ac:dyDescent="0.35">
      <c r="K16" s="3359" t="s">
        <v>1231</v>
      </c>
      <c r="L16" s="3359"/>
      <c r="M16" s="3359" t="s">
        <v>1226</v>
      </c>
      <c r="N16" s="3359"/>
      <c r="O16" s="3359" t="s">
        <v>1226</v>
      </c>
      <c r="P16" s="3359"/>
      <c r="Q16" s="3359" t="s">
        <v>1226</v>
      </c>
      <c r="R16" s="3359"/>
      <c r="S16" s="3359" t="s">
        <v>1226</v>
      </c>
      <c r="T16" s="3359"/>
      <c r="U16" s="3359" t="s">
        <v>1226</v>
      </c>
      <c r="V16" s="3359"/>
      <c r="W16" s="3359" t="s">
        <v>1226</v>
      </c>
      <c r="X16" s="3359"/>
    </row>
    <row r="17" spans="1:24" ht="19" customHeight="1" x14ac:dyDescent="0.35">
      <c r="L17" s="869"/>
    </row>
    <row r="18" spans="1:24" x14ac:dyDescent="0.35">
      <c r="M18" s="261"/>
      <c r="N18" s="261"/>
      <c r="O18" s="261"/>
      <c r="P18" s="261"/>
      <c r="Q18" s="261"/>
      <c r="R18" s="261"/>
      <c r="U18" s="3162" t="s">
        <v>625</v>
      </c>
      <c r="V18" s="3162"/>
      <c r="W18" s="3162"/>
    </row>
    <row r="19" spans="1:24" x14ac:dyDescent="0.35">
      <c r="Q19" s="877"/>
      <c r="U19" s="3162" t="s">
        <v>450</v>
      </c>
      <c r="V19" s="3162"/>
      <c r="W19" s="3162"/>
    </row>
    <row r="20" spans="1:24" x14ac:dyDescent="0.35">
      <c r="K20" s="3162" t="s">
        <v>449</v>
      </c>
      <c r="L20" s="3162"/>
      <c r="M20" s="3162"/>
      <c r="N20" s="3162"/>
      <c r="O20" s="3162"/>
      <c r="P20" s="3162"/>
      <c r="Q20" s="3162"/>
      <c r="R20" s="3162"/>
      <c r="S20" s="3162"/>
      <c r="T20" s="3162"/>
      <c r="U20" s="3162"/>
      <c r="V20" s="3162"/>
      <c r="W20" s="3162"/>
    </row>
    <row r="21" spans="1:24" x14ac:dyDescent="0.35">
      <c r="K21" s="3162" t="s">
        <v>448</v>
      </c>
      <c r="L21" s="3162"/>
      <c r="M21" s="3162"/>
      <c r="N21" s="3162"/>
      <c r="O21" s="3162"/>
      <c r="P21" s="3162"/>
      <c r="Q21" s="3162"/>
      <c r="R21" s="3162"/>
      <c r="S21" s="3162"/>
      <c r="T21" s="3162"/>
      <c r="U21" s="3162"/>
      <c r="V21" s="3162"/>
      <c r="W21" s="3162"/>
    </row>
    <row r="22" spans="1:24" x14ac:dyDescent="0.25">
      <c r="K22" s="3357" t="s">
        <v>1224</v>
      </c>
      <c r="L22" s="3357"/>
      <c r="M22" s="3357"/>
      <c r="N22" s="3357"/>
      <c r="O22" s="3357"/>
      <c r="P22" s="3357"/>
      <c r="Q22" s="3357"/>
      <c r="R22" s="3357"/>
      <c r="S22" s="3357"/>
      <c r="T22" s="3357"/>
      <c r="U22" s="3357"/>
      <c r="V22" s="3357"/>
      <c r="W22" s="3357"/>
      <c r="X22" s="3357"/>
    </row>
    <row r="23" spans="1:24" hidden="1" x14ac:dyDescent="0.35">
      <c r="Q23" s="541"/>
      <c r="R23" s="2413"/>
      <c r="S23" s="2413"/>
      <c r="T23" s="2413"/>
      <c r="U23" s="2413"/>
    </row>
    <row r="24" spans="1:24" hidden="1" x14ac:dyDescent="0.35">
      <c r="L24" s="2413" t="s">
        <v>446</v>
      </c>
      <c r="Q24" s="541"/>
      <c r="R24" s="2413"/>
      <c r="S24" s="2413"/>
      <c r="T24" s="2413"/>
    </row>
    <row r="25" spans="1:24" hidden="1" x14ac:dyDescent="0.35">
      <c r="L25" s="541"/>
      <c r="Q25" s="541"/>
      <c r="R25" s="2413"/>
      <c r="S25" s="2413"/>
      <c r="T25" s="2413"/>
      <c r="U25" s="2413"/>
    </row>
    <row r="26" spans="1:24" hidden="1" x14ac:dyDescent="0.35">
      <c r="L26" s="2413" t="s">
        <v>842</v>
      </c>
      <c r="Q26" s="541"/>
      <c r="R26" s="2413"/>
      <c r="S26" s="2413"/>
      <c r="T26" s="2413"/>
    </row>
    <row r="27" spans="1:24" hidden="1" x14ac:dyDescent="0.35">
      <c r="J27" s="2413"/>
      <c r="K27" s="869"/>
      <c r="L27" s="2413"/>
    </row>
    <row r="28" spans="1:24" hidden="1" x14ac:dyDescent="0.35">
      <c r="J28" s="2413"/>
      <c r="K28" s="869"/>
      <c r="L28" s="869"/>
    </row>
    <row r="29" spans="1:24" hidden="1" x14ac:dyDescent="0.35"/>
    <row r="30" spans="1:24" ht="19.5" customHeight="1" x14ac:dyDescent="0.35">
      <c r="A30" s="2913" t="s">
        <v>629</v>
      </c>
      <c r="B30" s="2913"/>
      <c r="C30" s="2913"/>
      <c r="D30" s="2913"/>
      <c r="E30" s="2913"/>
      <c r="F30" s="2913"/>
      <c r="G30" s="2913"/>
      <c r="H30" s="2913"/>
      <c r="I30" s="2913"/>
      <c r="J30" s="2913"/>
      <c r="K30" s="2913"/>
      <c r="L30" s="2913"/>
      <c r="M30" s="2913"/>
      <c r="N30" s="2913"/>
      <c r="O30" s="2913"/>
      <c r="P30" s="2913"/>
      <c r="Q30" s="2913"/>
      <c r="R30" s="2913"/>
      <c r="S30" s="2913"/>
      <c r="T30" s="2913"/>
      <c r="U30" s="2913"/>
      <c r="V30" s="2913"/>
      <c r="W30" s="2913"/>
    </row>
    <row r="31" spans="1:24" ht="17.5" x14ac:dyDescent="0.35">
      <c r="A31" s="2913" t="s">
        <v>630</v>
      </c>
      <c r="B31" s="2913"/>
      <c r="C31" s="2913"/>
      <c r="D31" s="2913"/>
      <c r="E31" s="2913"/>
      <c r="F31" s="2913"/>
      <c r="G31" s="2913"/>
      <c r="H31" s="2913"/>
      <c r="I31" s="2913"/>
      <c r="J31" s="2913"/>
      <c r="K31" s="2913"/>
      <c r="L31" s="2913"/>
      <c r="M31" s="2913"/>
      <c r="N31" s="2913"/>
      <c r="O31" s="2913"/>
      <c r="P31" s="2913"/>
      <c r="Q31" s="2913"/>
      <c r="R31" s="2913"/>
      <c r="S31" s="2913"/>
      <c r="T31" s="2913"/>
      <c r="U31" s="2913"/>
      <c r="V31" s="2913"/>
      <c r="W31" s="2913"/>
    </row>
    <row r="32" spans="1:24" ht="17.5" hidden="1" x14ac:dyDescent="0.35">
      <c r="A32" s="2913"/>
      <c r="B32" s="2913"/>
      <c r="C32" s="2913"/>
      <c r="D32" s="2913"/>
      <c r="E32" s="2913"/>
      <c r="F32" s="2913"/>
      <c r="G32" s="2913"/>
      <c r="H32" s="2913"/>
      <c r="I32" s="2913"/>
      <c r="J32" s="2913"/>
      <c r="K32" s="2913"/>
      <c r="L32" s="2913"/>
    </row>
    <row r="33" spans="1:23" ht="17.5" x14ac:dyDescent="0.35">
      <c r="A33" s="2913" t="s">
        <v>1196</v>
      </c>
      <c r="B33" s="2913"/>
      <c r="C33" s="2913"/>
      <c r="D33" s="2913"/>
      <c r="E33" s="2913"/>
      <c r="F33" s="2913"/>
      <c r="G33" s="2913"/>
      <c r="H33" s="2913"/>
      <c r="I33" s="2913"/>
      <c r="J33" s="2913"/>
      <c r="K33" s="2913"/>
      <c r="L33" s="2913"/>
      <c r="M33" s="2913"/>
      <c r="N33" s="2913"/>
      <c r="O33" s="2913"/>
      <c r="P33" s="2913"/>
      <c r="Q33" s="2913"/>
      <c r="R33" s="2913"/>
      <c r="S33" s="2913"/>
      <c r="T33" s="2913"/>
      <c r="U33" s="2913"/>
      <c r="V33" s="2913"/>
      <c r="W33" s="2913"/>
    </row>
    <row r="34" spans="1:23" ht="16" thickBot="1" x14ac:dyDescent="0.4">
      <c r="A34" s="971"/>
      <c r="B34" s="971"/>
      <c r="C34" s="971"/>
      <c r="D34" s="971"/>
      <c r="E34" s="971"/>
      <c r="F34" s="971"/>
      <c r="G34" s="971"/>
      <c r="H34" s="971"/>
      <c r="I34" s="971"/>
      <c r="J34" s="971"/>
      <c r="K34" s="3022"/>
      <c r="L34" s="3022"/>
      <c r="R34" s="3163"/>
      <c r="S34" s="3163"/>
      <c r="T34" s="3163" t="s">
        <v>631</v>
      </c>
      <c r="U34" s="3163"/>
      <c r="W34" s="541" t="s">
        <v>631</v>
      </c>
    </row>
    <row r="35" spans="1:23" x14ac:dyDescent="0.35">
      <c r="A35" s="3018" t="s">
        <v>632</v>
      </c>
      <c r="B35" s="3019"/>
      <c r="C35" s="3020"/>
      <c r="D35" s="3028" t="s">
        <v>633</v>
      </c>
      <c r="E35" s="3029"/>
      <c r="F35" s="3029"/>
      <c r="G35" s="3029"/>
      <c r="H35" s="3029"/>
      <c r="I35" s="3029"/>
      <c r="J35" s="2914"/>
      <c r="K35" s="3028" t="s">
        <v>894</v>
      </c>
      <c r="L35" s="2914"/>
      <c r="M35" s="3355" t="s">
        <v>635</v>
      </c>
      <c r="N35" s="3160" t="s">
        <v>636</v>
      </c>
      <c r="O35" s="3160" t="s">
        <v>637</v>
      </c>
      <c r="P35" s="3355" t="s">
        <v>638</v>
      </c>
      <c r="Q35" s="3152" t="s">
        <v>639</v>
      </c>
      <c r="R35" s="3154" t="s">
        <v>634</v>
      </c>
      <c r="S35" s="3155"/>
      <c r="T35" s="3154" t="s">
        <v>640</v>
      </c>
      <c r="U35" s="3155"/>
      <c r="V35" s="2914" t="s">
        <v>993</v>
      </c>
      <c r="W35" s="2914" t="s">
        <v>1199</v>
      </c>
    </row>
    <row r="36" spans="1:23" ht="16" thickBot="1" x14ac:dyDescent="0.4">
      <c r="A36" s="3021" t="s">
        <v>641</v>
      </c>
      <c r="B36" s="3022"/>
      <c r="C36" s="3023"/>
      <c r="D36" s="3030"/>
      <c r="E36" s="3031"/>
      <c r="F36" s="3031"/>
      <c r="G36" s="3031"/>
      <c r="H36" s="3031"/>
      <c r="I36" s="3031"/>
      <c r="J36" s="2915"/>
      <c r="K36" s="3030"/>
      <c r="L36" s="2915"/>
      <c r="M36" s="3356"/>
      <c r="N36" s="3161"/>
      <c r="O36" s="3161"/>
      <c r="P36" s="3356"/>
      <c r="Q36" s="3153"/>
      <c r="R36" s="3156"/>
      <c r="S36" s="3157"/>
      <c r="T36" s="3156"/>
      <c r="U36" s="3157"/>
      <c r="V36" s="2915"/>
      <c r="W36" s="2915"/>
    </row>
    <row r="37" spans="1:23" ht="16" thickBot="1" x14ac:dyDescent="0.4">
      <c r="A37" s="972"/>
      <c r="B37" s="2408">
        <v>1</v>
      </c>
      <c r="C37" s="974"/>
      <c r="D37" s="972"/>
      <c r="E37" s="975"/>
      <c r="F37" s="975"/>
      <c r="G37" s="2408">
        <v>2</v>
      </c>
      <c r="H37" s="975"/>
      <c r="I37" s="975"/>
      <c r="J37" s="974"/>
      <c r="K37" s="3116">
        <v>3</v>
      </c>
      <c r="L37" s="3118"/>
      <c r="M37" s="2384"/>
      <c r="N37" s="2384"/>
      <c r="O37" s="2384"/>
      <c r="P37" s="2384"/>
      <c r="Q37" s="879"/>
      <c r="R37" s="3158">
        <v>3</v>
      </c>
      <c r="S37" s="3159"/>
      <c r="T37" s="3158">
        <v>3</v>
      </c>
      <c r="U37" s="3159"/>
      <c r="V37" s="2409">
        <v>4</v>
      </c>
      <c r="W37" s="2409">
        <v>5</v>
      </c>
    </row>
    <row r="38" spans="1:23" ht="15.65" customHeight="1" x14ac:dyDescent="0.25">
      <c r="A38" s="2968" t="s">
        <v>642</v>
      </c>
      <c r="B38" s="2969"/>
      <c r="C38" s="2970"/>
      <c r="D38" s="3144" t="s">
        <v>643</v>
      </c>
      <c r="E38" s="3145"/>
      <c r="F38" s="3145"/>
      <c r="G38" s="3145"/>
      <c r="H38" s="3145"/>
      <c r="I38" s="3145"/>
      <c r="J38" s="3146"/>
      <c r="K38" s="3347">
        <f>K40+K44+K47+K51+K57+K63+K82+K88+K100+K104</f>
        <v>85188.81</v>
      </c>
      <c r="L38" s="3345"/>
      <c r="M38" s="3320">
        <v>17235.358</v>
      </c>
      <c r="N38" s="3320"/>
      <c r="O38" s="3320"/>
      <c r="P38" s="3320">
        <f>P40+P51+P57+P63+P82+P88+P104</f>
        <v>24432.394</v>
      </c>
      <c r="Q38" s="3320">
        <v>20829</v>
      </c>
      <c r="R38" s="3327">
        <f>R40+R51+R57+R63+R82+R88+R104+R47+R44+R100</f>
        <v>73575.200000000012</v>
      </c>
      <c r="S38" s="3328"/>
      <c r="T38" s="3327">
        <f>T40+T51+T57+T63+T82+T88+T104+T47+T44+T100</f>
        <v>75638.700000000012</v>
      </c>
      <c r="U38" s="3328"/>
      <c r="V38" s="3345">
        <f>V40+V44+V47+V51+V57+V63+V82+V88+V100+V104</f>
        <v>84900.10000000002</v>
      </c>
      <c r="W38" s="3345">
        <f>W40+W44+W47+W51+W57+W63+W82+W88+W100+W104</f>
        <v>89121.2</v>
      </c>
    </row>
    <row r="39" spans="1:23" ht="13.9" customHeight="1" thickBot="1" x14ac:dyDescent="0.3">
      <c r="A39" s="2971"/>
      <c r="B39" s="2972"/>
      <c r="C39" s="2973"/>
      <c r="D39" s="3147"/>
      <c r="E39" s="3148"/>
      <c r="F39" s="3148"/>
      <c r="G39" s="3148"/>
      <c r="H39" s="3148"/>
      <c r="I39" s="3148"/>
      <c r="J39" s="3149"/>
      <c r="K39" s="3348"/>
      <c r="L39" s="3346"/>
      <c r="M39" s="3320"/>
      <c r="N39" s="3320"/>
      <c r="O39" s="3320"/>
      <c r="P39" s="3320"/>
      <c r="Q39" s="3320"/>
      <c r="R39" s="3331"/>
      <c r="S39" s="3332"/>
      <c r="T39" s="3331"/>
      <c r="U39" s="3332"/>
      <c r="V39" s="3346"/>
      <c r="W39" s="3346"/>
    </row>
    <row r="40" spans="1:23" ht="15" x14ac:dyDescent="0.3">
      <c r="A40" s="976" t="s">
        <v>644</v>
      </c>
      <c r="B40" s="977"/>
      <c r="C40" s="978"/>
      <c r="D40" s="3144" t="s">
        <v>645</v>
      </c>
      <c r="E40" s="3145"/>
      <c r="F40" s="3145"/>
      <c r="G40" s="3145"/>
      <c r="H40" s="3145"/>
      <c r="I40" s="3145"/>
      <c r="J40" s="3146"/>
      <c r="K40" s="3347">
        <f>K42</f>
        <v>40483.599999999999</v>
      </c>
      <c r="L40" s="3345"/>
      <c r="M40" s="3320">
        <v>4523.7</v>
      </c>
      <c r="N40" s="3320"/>
      <c r="O40" s="3320"/>
      <c r="P40" s="3320">
        <f>P42</f>
        <v>5592.7</v>
      </c>
      <c r="Q40" s="3349">
        <v>4938.4639999999999</v>
      </c>
      <c r="R40" s="3327">
        <f>R42</f>
        <v>25200</v>
      </c>
      <c r="S40" s="3328"/>
      <c r="T40" s="3327">
        <f>T42</f>
        <v>26208</v>
      </c>
      <c r="U40" s="3328"/>
      <c r="V40" s="3345">
        <f>V42</f>
        <v>43034.1</v>
      </c>
      <c r="W40" s="3345">
        <f>W42</f>
        <v>46046.5</v>
      </c>
    </row>
    <row r="41" spans="1:23" thickBot="1" x14ac:dyDescent="0.35">
      <c r="A41" s="979" t="s">
        <v>646</v>
      </c>
      <c r="B41" s="980"/>
      <c r="C41" s="981"/>
      <c r="D41" s="3147"/>
      <c r="E41" s="3148"/>
      <c r="F41" s="3148"/>
      <c r="G41" s="3148"/>
      <c r="H41" s="3148"/>
      <c r="I41" s="3148"/>
      <c r="J41" s="3149"/>
      <c r="K41" s="3348"/>
      <c r="L41" s="3346"/>
      <c r="M41" s="3320"/>
      <c r="N41" s="3320"/>
      <c r="O41" s="3320"/>
      <c r="P41" s="3320"/>
      <c r="Q41" s="3349"/>
      <c r="R41" s="3331"/>
      <c r="S41" s="3332"/>
      <c r="T41" s="3331"/>
      <c r="U41" s="3332"/>
      <c r="V41" s="3346"/>
      <c r="W41" s="3346"/>
    </row>
    <row r="42" spans="1:23" x14ac:dyDescent="0.35">
      <c r="A42" s="3018" t="s">
        <v>647</v>
      </c>
      <c r="B42" s="3019"/>
      <c r="C42" s="3020"/>
      <c r="D42" s="982"/>
      <c r="E42" s="983"/>
      <c r="F42" s="983"/>
      <c r="G42" s="983"/>
      <c r="H42" s="983"/>
      <c r="I42" s="983"/>
      <c r="J42" s="984"/>
      <c r="K42" s="3317">
        <v>40483.599999999999</v>
      </c>
      <c r="L42" s="3311"/>
      <c r="M42" s="3320">
        <v>4523.7</v>
      </c>
      <c r="N42" s="3320">
        <v>534.5</v>
      </c>
      <c r="O42" s="3320">
        <v>534.5</v>
      </c>
      <c r="P42" s="3320">
        <f>M42+N42+O42</f>
        <v>5592.7</v>
      </c>
      <c r="Q42" s="3349">
        <v>4938.4639999999999</v>
      </c>
      <c r="R42" s="3336">
        <v>25200</v>
      </c>
      <c r="S42" s="3337"/>
      <c r="T42" s="3336">
        <v>26208</v>
      </c>
      <c r="U42" s="3337"/>
      <c r="V42" s="3311">
        <v>43034.1</v>
      </c>
      <c r="W42" s="3311">
        <v>46046.5</v>
      </c>
    </row>
    <row r="43" spans="1:23" ht="16" thickBot="1" x14ac:dyDescent="0.4">
      <c r="A43" s="3021"/>
      <c r="B43" s="3022"/>
      <c r="C43" s="3023"/>
      <c r="D43" s="985" t="s">
        <v>648</v>
      </c>
      <c r="E43" s="986"/>
      <c r="F43" s="986"/>
      <c r="G43" s="986"/>
      <c r="H43" s="986"/>
      <c r="I43" s="986"/>
      <c r="J43" s="987"/>
      <c r="K43" s="3319"/>
      <c r="L43" s="3313"/>
      <c r="M43" s="3320"/>
      <c r="N43" s="3320"/>
      <c r="O43" s="3320"/>
      <c r="P43" s="3320"/>
      <c r="Q43" s="3349"/>
      <c r="R43" s="3340"/>
      <c r="S43" s="3341"/>
      <c r="T43" s="3340"/>
      <c r="U43" s="3341"/>
      <c r="V43" s="3313"/>
      <c r="W43" s="3313"/>
    </row>
    <row r="44" spans="1:23" ht="15.65" customHeight="1" x14ac:dyDescent="0.25">
      <c r="A44" s="3040" t="s">
        <v>649</v>
      </c>
      <c r="B44" s="3041"/>
      <c r="C44" s="3042"/>
      <c r="D44" s="3206" t="s">
        <v>650</v>
      </c>
      <c r="E44" s="3207"/>
      <c r="F44" s="3207"/>
      <c r="G44" s="3207"/>
      <c r="H44" s="3207"/>
      <c r="I44" s="3207"/>
      <c r="J44" s="3208"/>
      <c r="K44" s="3347">
        <f>K46</f>
        <v>948.3</v>
      </c>
      <c r="L44" s="3345"/>
      <c r="M44" s="3320">
        <v>9794</v>
      </c>
      <c r="N44" s="3320"/>
      <c r="O44" s="3320"/>
      <c r="P44" s="3320" t="e">
        <f>#REF!+P47+P48</f>
        <v>#REF!</v>
      </c>
      <c r="Q44" s="3349">
        <v>12087.288329999999</v>
      </c>
      <c r="R44" s="3327">
        <f>R46</f>
        <v>0</v>
      </c>
      <c r="S44" s="3328"/>
      <c r="T44" s="3327">
        <f>T46</f>
        <v>0</v>
      </c>
      <c r="U44" s="3328"/>
      <c r="V44" s="3345">
        <f>V46</f>
        <v>948.3</v>
      </c>
      <c r="W44" s="3345">
        <f>W46</f>
        <v>948.3</v>
      </c>
    </row>
    <row r="45" spans="1:23" ht="16.149999999999999" customHeight="1" thickBot="1" x14ac:dyDescent="0.3">
      <c r="A45" s="3043"/>
      <c r="B45" s="3044"/>
      <c r="C45" s="3045"/>
      <c r="D45" s="3209"/>
      <c r="E45" s="3210"/>
      <c r="F45" s="3210"/>
      <c r="G45" s="3210"/>
      <c r="H45" s="3210"/>
      <c r="I45" s="3210"/>
      <c r="J45" s="3211"/>
      <c r="K45" s="3348"/>
      <c r="L45" s="3346"/>
      <c r="M45" s="3320"/>
      <c r="N45" s="3320"/>
      <c r="O45" s="3320"/>
      <c r="P45" s="3320"/>
      <c r="Q45" s="3349"/>
      <c r="R45" s="3331"/>
      <c r="S45" s="3332"/>
      <c r="T45" s="3331"/>
      <c r="U45" s="3332"/>
      <c r="V45" s="3346"/>
      <c r="W45" s="3346"/>
    </row>
    <row r="46" spans="1:23" ht="31.15" customHeight="1" thickBot="1" x14ac:dyDescent="0.4">
      <c r="A46" s="3131" t="s">
        <v>651</v>
      </c>
      <c r="B46" s="3132"/>
      <c r="C46" s="3133"/>
      <c r="D46" s="3352" t="s">
        <v>652</v>
      </c>
      <c r="E46" s="3353"/>
      <c r="F46" s="3353"/>
      <c r="G46" s="3353"/>
      <c r="H46" s="3353"/>
      <c r="I46" s="3353"/>
      <c r="J46" s="3354"/>
      <c r="K46" s="3239">
        <v>948.3</v>
      </c>
      <c r="L46" s="3240"/>
      <c r="M46" s="2448">
        <v>124</v>
      </c>
      <c r="N46" s="2448"/>
      <c r="O46" s="2448"/>
      <c r="P46" s="2448">
        <f>M46+N46+O46</f>
        <v>124</v>
      </c>
      <c r="Q46" s="2449">
        <v>206.22337999999999</v>
      </c>
      <c r="R46" s="3350"/>
      <c r="S46" s="3351"/>
      <c r="T46" s="3350"/>
      <c r="U46" s="3351"/>
      <c r="V46" s="2450">
        <v>948.3</v>
      </c>
      <c r="W46" s="2450">
        <v>948.3</v>
      </c>
    </row>
    <row r="47" spans="1:23" ht="15.65" customHeight="1" x14ac:dyDescent="0.25">
      <c r="A47" s="3040" t="s">
        <v>653</v>
      </c>
      <c r="B47" s="3041"/>
      <c r="C47" s="3042"/>
      <c r="D47" s="3046" t="s">
        <v>654</v>
      </c>
      <c r="E47" s="3047"/>
      <c r="F47" s="3047"/>
      <c r="G47" s="3047"/>
      <c r="H47" s="3047"/>
      <c r="I47" s="3047"/>
      <c r="J47" s="3048"/>
      <c r="K47" s="3347">
        <f>K50</f>
        <v>509</v>
      </c>
      <c r="L47" s="3345"/>
      <c r="M47" s="3320">
        <v>9794</v>
      </c>
      <c r="N47" s="3320"/>
      <c r="O47" s="3320"/>
      <c r="P47" s="3320">
        <f>P50+P51+P52</f>
        <v>15318</v>
      </c>
      <c r="Q47" s="3349">
        <v>12087.288329999999</v>
      </c>
      <c r="R47" s="3327">
        <f>R50</f>
        <v>75.8</v>
      </c>
      <c r="S47" s="3328"/>
      <c r="T47" s="3327">
        <f>T50</f>
        <v>80</v>
      </c>
      <c r="U47" s="3328"/>
      <c r="V47" s="3345">
        <f>V50</f>
        <v>529</v>
      </c>
      <c r="W47" s="3345">
        <f>W50</f>
        <v>550.20000000000005</v>
      </c>
    </row>
    <row r="48" spans="1:23" ht="16.149999999999999" customHeight="1" thickBot="1" x14ac:dyDescent="0.3">
      <c r="A48" s="3043"/>
      <c r="B48" s="3044"/>
      <c r="C48" s="3045"/>
      <c r="D48" s="3049"/>
      <c r="E48" s="3050"/>
      <c r="F48" s="3050"/>
      <c r="G48" s="3050"/>
      <c r="H48" s="3050"/>
      <c r="I48" s="3050"/>
      <c r="J48" s="3051"/>
      <c r="K48" s="3348"/>
      <c r="L48" s="3346"/>
      <c r="M48" s="3320"/>
      <c r="N48" s="3320"/>
      <c r="O48" s="3320"/>
      <c r="P48" s="3320"/>
      <c r="Q48" s="3349"/>
      <c r="R48" s="3331"/>
      <c r="S48" s="3332"/>
      <c r="T48" s="3331"/>
      <c r="U48" s="3332"/>
      <c r="V48" s="3346"/>
      <c r="W48" s="3346"/>
    </row>
    <row r="49" spans="1:23" ht="16.149999999999999" hidden="1" customHeight="1" x14ac:dyDescent="0.35">
      <c r="A49" s="979"/>
      <c r="B49" s="980"/>
      <c r="C49" s="980"/>
      <c r="D49" s="988"/>
      <c r="E49" s="989"/>
      <c r="F49" s="989"/>
      <c r="G49" s="989"/>
      <c r="H49" s="989"/>
      <c r="I49" s="989"/>
      <c r="J49" s="990"/>
      <c r="K49" s="2451"/>
      <c r="L49" s="2452"/>
      <c r="M49" s="2453"/>
      <c r="N49" s="2453"/>
      <c r="O49" s="2453"/>
      <c r="P49" s="2453"/>
      <c r="Q49" s="2454"/>
      <c r="R49" s="2455"/>
      <c r="S49" s="2456"/>
      <c r="T49" s="2455"/>
      <c r="U49" s="2456"/>
      <c r="V49" s="2452"/>
      <c r="W49" s="2452"/>
    </row>
    <row r="50" spans="1:23" ht="16" thickBot="1" x14ac:dyDescent="0.4">
      <c r="A50" s="3116" t="s">
        <v>655</v>
      </c>
      <c r="B50" s="3117"/>
      <c r="C50" s="3118"/>
      <c r="D50" s="3128" t="s">
        <v>656</v>
      </c>
      <c r="E50" s="3129"/>
      <c r="F50" s="3129"/>
      <c r="G50" s="3129"/>
      <c r="H50" s="3129"/>
      <c r="I50" s="3129"/>
      <c r="J50" s="3130"/>
      <c r="K50" s="3239">
        <v>509</v>
      </c>
      <c r="L50" s="3240"/>
      <c r="M50" s="2448">
        <v>124</v>
      </c>
      <c r="N50" s="2448"/>
      <c r="O50" s="2448"/>
      <c r="P50" s="2448">
        <f>M50+N50+O50</f>
        <v>124</v>
      </c>
      <c r="Q50" s="2449">
        <v>206.22337999999999</v>
      </c>
      <c r="R50" s="3350">
        <v>75.8</v>
      </c>
      <c r="S50" s="3351"/>
      <c r="T50" s="3350">
        <v>80</v>
      </c>
      <c r="U50" s="3351"/>
      <c r="V50" s="2450">
        <v>529</v>
      </c>
      <c r="W50" s="2450">
        <v>550.20000000000005</v>
      </c>
    </row>
    <row r="51" spans="1:23" ht="15.65" customHeight="1" x14ac:dyDescent="0.25">
      <c r="A51" s="3040" t="s">
        <v>657</v>
      </c>
      <c r="B51" s="3041"/>
      <c r="C51" s="3042"/>
      <c r="D51" s="3046" t="s">
        <v>658</v>
      </c>
      <c r="E51" s="3047"/>
      <c r="F51" s="3047"/>
      <c r="G51" s="3047"/>
      <c r="H51" s="3047"/>
      <c r="I51" s="3047"/>
      <c r="J51" s="3048"/>
      <c r="K51" s="3347">
        <f>K54+K56+K55</f>
        <v>38393.5</v>
      </c>
      <c r="L51" s="3345"/>
      <c r="M51" s="3320">
        <v>9794</v>
      </c>
      <c r="N51" s="3320"/>
      <c r="O51" s="3320"/>
      <c r="P51" s="3320">
        <f>P54+P55+P56</f>
        <v>15194</v>
      </c>
      <c r="Q51" s="3349">
        <v>12087.288329999999</v>
      </c>
      <c r="R51" s="3327">
        <f>R54+R56+R55</f>
        <v>44797.8</v>
      </c>
      <c r="S51" s="3328"/>
      <c r="T51" s="3327">
        <f>T54+T56+T55</f>
        <v>46588.6</v>
      </c>
      <c r="U51" s="3328"/>
      <c r="V51" s="3345">
        <f>V54+V56</f>
        <v>38251.300000000003</v>
      </c>
      <c r="W51" s="3345">
        <f>W54+W56</f>
        <v>39376.800000000003</v>
      </c>
    </row>
    <row r="52" spans="1:23" ht="16.149999999999999" customHeight="1" thickBot="1" x14ac:dyDescent="0.3">
      <c r="A52" s="3043"/>
      <c r="B52" s="3044"/>
      <c r="C52" s="3045"/>
      <c r="D52" s="3049"/>
      <c r="E52" s="3050"/>
      <c r="F52" s="3050"/>
      <c r="G52" s="3050"/>
      <c r="H52" s="3050"/>
      <c r="I52" s="3050"/>
      <c r="J52" s="3051"/>
      <c r="K52" s="3348"/>
      <c r="L52" s="3346"/>
      <c r="M52" s="3320"/>
      <c r="N52" s="3320"/>
      <c r="O52" s="3320"/>
      <c r="P52" s="3320"/>
      <c r="Q52" s="3349"/>
      <c r="R52" s="3331"/>
      <c r="S52" s="3332"/>
      <c r="T52" s="3331"/>
      <c r="U52" s="3332"/>
      <c r="V52" s="3346"/>
      <c r="W52" s="3346"/>
    </row>
    <row r="53" spans="1:23" ht="16.149999999999999" hidden="1" customHeight="1" x14ac:dyDescent="0.35">
      <c r="A53" s="979"/>
      <c r="B53" s="980"/>
      <c r="C53" s="980"/>
      <c r="D53" s="993"/>
      <c r="E53" s="994"/>
      <c r="F53" s="994"/>
      <c r="G53" s="994"/>
      <c r="H53" s="994"/>
      <c r="I53" s="994"/>
      <c r="J53" s="995"/>
      <c r="K53" s="2451"/>
      <c r="L53" s="2452"/>
      <c r="M53" s="2453"/>
      <c r="N53" s="2453"/>
      <c r="O53" s="2453"/>
      <c r="P53" s="2453"/>
      <c r="Q53" s="2454"/>
      <c r="R53" s="2455"/>
      <c r="S53" s="2456"/>
      <c r="T53" s="2455"/>
      <c r="U53" s="2456"/>
      <c r="V53" s="2452"/>
      <c r="W53" s="2452"/>
    </row>
    <row r="54" spans="1:23" ht="16" thickBot="1" x14ac:dyDescent="0.4">
      <c r="A54" s="3116" t="s">
        <v>659</v>
      </c>
      <c r="B54" s="3117"/>
      <c r="C54" s="3118"/>
      <c r="D54" s="972" t="s">
        <v>660</v>
      </c>
      <c r="E54" s="975"/>
      <c r="F54" s="975"/>
      <c r="G54" s="975"/>
      <c r="H54" s="975"/>
      <c r="I54" s="975"/>
      <c r="J54" s="974"/>
      <c r="K54" s="3239">
        <v>5637</v>
      </c>
      <c r="L54" s="3240"/>
      <c r="M54" s="2448">
        <v>124</v>
      </c>
      <c r="N54" s="2448"/>
      <c r="O54" s="2448"/>
      <c r="P54" s="2448">
        <f>M54+N54+O54</f>
        <v>124</v>
      </c>
      <c r="Q54" s="2449">
        <v>206.22337999999999</v>
      </c>
      <c r="R54" s="3350">
        <v>3816</v>
      </c>
      <c r="S54" s="3351"/>
      <c r="T54" s="3350">
        <v>3968.6</v>
      </c>
      <c r="U54" s="3351"/>
      <c r="V54" s="2450">
        <v>5863</v>
      </c>
      <c r="W54" s="2450">
        <v>6097</v>
      </c>
    </row>
    <row r="55" spans="1:23" ht="15.65" hidden="1" customHeight="1" x14ac:dyDescent="0.35">
      <c r="A55" s="3116" t="s">
        <v>661</v>
      </c>
      <c r="B55" s="3117"/>
      <c r="C55" s="3118"/>
      <c r="D55" s="996" t="s">
        <v>662</v>
      </c>
      <c r="E55" s="997"/>
      <c r="F55" s="997"/>
      <c r="G55" s="997"/>
      <c r="H55" s="997"/>
      <c r="I55" s="997"/>
      <c r="J55" s="998"/>
      <c r="K55" s="3119"/>
      <c r="L55" s="3120"/>
      <c r="M55" s="2416">
        <v>1970</v>
      </c>
      <c r="N55" s="2416">
        <v>700</v>
      </c>
      <c r="O55" s="2416">
        <v>700</v>
      </c>
      <c r="P55" s="2416">
        <f>M55+N55+O55</f>
        <v>3370</v>
      </c>
      <c r="Q55" s="2411">
        <v>2811.7408799999998</v>
      </c>
      <c r="R55" s="3121">
        <v>9783.7999999999993</v>
      </c>
      <c r="S55" s="3122"/>
      <c r="T55" s="3121">
        <v>10175</v>
      </c>
      <c r="U55" s="3122"/>
      <c r="V55" s="2410"/>
      <c r="W55" s="2410"/>
    </row>
    <row r="56" spans="1:23" ht="16" thickBot="1" x14ac:dyDescent="0.4">
      <c r="A56" s="3116" t="s">
        <v>663</v>
      </c>
      <c r="B56" s="3117"/>
      <c r="C56" s="3118"/>
      <c r="D56" s="972" t="s">
        <v>664</v>
      </c>
      <c r="E56" s="975"/>
      <c r="F56" s="975"/>
      <c r="G56" s="975"/>
      <c r="H56" s="975"/>
      <c r="I56" s="975"/>
      <c r="J56" s="974"/>
      <c r="K56" s="3119">
        <f>31820.9+935.6</f>
        <v>32756.5</v>
      </c>
      <c r="L56" s="3120"/>
      <c r="M56" s="2416">
        <v>7700</v>
      </c>
      <c r="N56" s="2416">
        <v>2000</v>
      </c>
      <c r="O56" s="2416">
        <v>2000</v>
      </c>
      <c r="P56" s="2416">
        <f>M56+N56+O56</f>
        <v>11700</v>
      </c>
      <c r="Q56" s="2411">
        <v>9069.3240700000006</v>
      </c>
      <c r="R56" s="3121">
        <v>31198</v>
      </c>
      <c r="S56" s="3122"/>
      <c r="T56" s="3121">
        <v>32445</v>
      </c>
      <c r="U56" s="3122"/>
      <c r="V56" s="2410">
        <v>32388.3</v>
      </c>
      <c r="W56" s="2410">
        <v>33279.800000000003</v>
      </c>
    </row>
    <row r="57" spans="1:23" ht="15.65" customHeight="1" x14ac:dyDescent="0.25">
      <c r="A57" s="3040" t="s">
        <v>665</v>
      </c>
      <c r="B57" s="3041"/>
      <c r="C57" s="3042"/>
      <c r="D57" s="3046" t="s">
        <v>666</v>
      </c>
      <c r="E57" s="3047"/>
      <c r="F57" s="3047"/>
      <c r="G57" s="3047"/>
      <c r="H57" s="3047"/>
      <c r="I57" s="3047"/>
      <c r="J57" s="3048"/>
      <c r="K57" s="3347">
        <f>K59</f>
        <v>5</v>
      </c>
      <c r="L57" s="3345"/>
      <c r="M57" s="3320">
        <v>17</v>
      </c>
      <c r="N57" s="3320"/>
      <c r="O57" s="3320"/>
      <c r="P57" s="3320">
        <f>M57+N57+O57</f>
        <v>17</v>
      </c>
      <c r="Q57" s="3320">
        <v>3.9649999999999999</v>
      </c>
      <c r="R57" s="3327">
        <f>R59</f>
        <v>8</v>
      </c>
      <c r="S57" s="3328"/>
      <c r="T57" s="3327">
        <f>T59</f>
        <v>10</v>
      </c>
      <c r="U57" s="3328"/>
      <c r="V57" s="3345">
        <f>V59</f>
        <v>7</v>
      </c>
      <c r="W57" s="3345">
        <f>W59</f>
        <v>10</v>
      </c>
    </row>
    <row r="58" spans="1:23" ht="13.9" customHeight="1" thickBot="1" x14ac:dyDescent="0.3">
      <c r="A58" s="3043"/>
      <c r="B58" s="3044"/>
      <c r="C58" s="3045"/>
      <c r="D58" s="3049"/>
      <c r="E58" s="3050"/>
      <c r="F58" s="3050"/>
      <c r="G58" s="3050"/>
      <c r="H58" s="3050"/>
      <c r="I58" s="3050"/>
      <c r="J58" s="3051"/>
      <c r="K58" s="3348"/>
      <c r="L58" s="3346"/>
      <c r="M58" s="3320"/>
      <c r="N58" s="3320"/>
      <c r="O58" s="3320"/>
      <c r="P58" s="3320"/>
      <c r="Q58" s="3320"/>
      <c r="R58" s="3331"/>
      <c r="S58" s="3332"/>
      <c r="T58" s="3331"/>
      <c r="U58" s="3332"/>
      <c r="V58" s="3346"/>
      <c r="W58" s="3346"/>
    </row>
    <row r="59" spans="1:23" x14ac:dyDescent="0.35">
      <c r="A59" s="3028" t="s">
        <v>667</v>
      </c>
      <c r="B59" s="3029"/>
      <c r="C59" s="2914"/>
      <c r="D59" s="982" t="s">
        <v>668</v>
      </c>
      <c r="E59" s="983"/>
      <c r="F59" s="983"/>
      <c r="G59" s="983"/>
      <c r="H59" s="983"/>
      <c r="I59" s="983"/>
      <c r="J59" s="983"/>
      <c r="K59" s="3317">
        <v>5</v>
      </c>
      <c r="L59" s="3311"/>
      <c r="M59" s="3320">
        <v>17</v>
      </c>
      <c r="N59" s="3320"/>
      <c r="O59" s="3320"/>
      <c r="P59" s="3320">
        <f>M59+N59+O59</f>
        <v>17</v>
      </c>
      <c r="Q59" s="3320">
        <v>3.9649999999999999</v>
      </c>
      <c r="R59" s="3336">
        <v>8</v>
      </c>
      <c r="S59" s="3337"/>
      <c r="T59" s="3336">
        <v>10</v>
      </c>
      <c r="U59" s="3337"/>
      <c r="V59" s="3311">
        <v>7</v>
      </c>
      <c r="W59" s="3311">
        <v>10</v>
      </c>
    </row>
    <row r="60" spans="1:23" x14ac:dyDescent="0.35">
      <c r="A60" s="3053"/>
      <c r="B60" s="3054"/>
      <c r="C60" s="3055"/>
      <c r="D60" s="996" t="s">
        <v>669</v>
      </c>
      <c r="E60" s="997"/>
      <c r="F60" s="997"/>
      <c r="G60" s="997"/>
      <c r="H60" s="997"/>
      <c r="I60" s="997"/>
      <c r="J60" s="997"/>
      <c r="K60" s="3318"/>
      <c r="L60" s="3312"/>
      <c r="M60" s="3320"/>
      <c r="N60" s="3320"/>
      <c r="O60" s="3320"/>
      <c r="P60" s="3320"/>
      <c r="Q60" s="3320"/>
      <c r="R60" s="3338"/>
      <c r="S60" s="3339"/>
      <c r="T60" s="3338"/>
      <c r="U60" s="3339"/>
      <c r="V60" s="3312"/>
      <c r="W60" s="3312"/>
    </row>
    <row r="61" spans="1:23" x14ac:dyDescent="0.35">
      <c r="A61" s="3053"/>
      <c r="B61" s="3054"/>
      <c r="C61" s="3055"/>
      <c r="D61" s="996" t="s">
        <v>670</v>
      </c>
      <c r="E61" s="997"/>
      <c r="F61" s="997"/>
      <c r="G61" s="997"/>
      <c r="H61" s="997"/>
      <c r="I61" s="997"/>
      <c r="J61" s="997"/>
      <c r="K61" s="3318"/>
      <c r="L61" s="3312"/>
      <c r="M61" s="3320"/>
      <c r="N61" s="3320"/>
      <c r="O61" s="3320"/>
      <c r="P61" s="3320"/>
      <c r="Q61" s="3320"/>
      <c r="R61" s="3338"/>
      <c r="S61" s="3339"/>
      <c r="T61" s="3338"/>
      <c r="U61" s="3339"/>
      <c r="V61" s="3312"/>
      <c r="W61" s="3312"/>
    </row>
    <row r="62" spans="1:23" ht="16" thickBot="1" x14ac:dyDescent="0.4">
      <c r="A62" s="3030"/>
      <c r="B62" s="3031"/>
      <c r="C62" s="2915"/>
      <c r="D62" s="985" t="s">
        <v>671</v>
      </c>
      <c r="E62" s="986"/>
      <c r="F62" s="986"/>
      <c r="G62" s="986"/>
      <c r="H62" s="986"/>
      <c r="I62" s="986"/>
      <c r="J62" s="986"/>
      <c r="K62" s="3319"/>
      <c r="L62" s="3313"/>
      <c r="M62" s="3320"/>
      <c r="N62" s="3320"/>
      <c r="O62" s="3320"/>
      <c r="P62" s="3320"/>
      <c r="Q62" s="3320"/>
      <c r="R62" s="3340"/>
      <c r="S62" s="3341"/>
      <c r="T62" s="3340"/>
      <c r="U62" s="3341"/>
      <c r="V62" s="3313"/>
      <c r="W62" s="3313"/>
    </row>
    <row r="63" spans="1:23" ht="15" x14ac:dyDescent="0.3">
      <c r="A63" s="3040" t="s">
        <v>672</v>
      </c>
      <c r="B63" s="3041"/>
      <c r="C63" s="3042"/>
      <c r="D63" s="976" t="s">
        <v>673</v>
      </c>
      <c r="E63" s="977"/>
      <c r="F63" s="977"/>
      <c r="G63" s="977"/>
      <c r="H63" s="977"/>
      <c r="I63" s="977"/>
      <c r="J63" s="978"/>
      <c r="K63" s="3342">
        <f>K66+K70+K78+K74</f>
        <v>1907.3000000000002</v>
      </c>
      <c r="L63" s="3333"/>
      <c r="M63" s="3320">
        <v>2183.6579999999999</v>
      </c>
      <c r="N63" s="3320"/>
      <c r="O63" s="3320"/>
      <c r="P63" s="3320">
        <f>P66+P70+P78</f>
        <v>2913.6940000000004</v>
      </c>
      <c r="Q63" s="3320">
        <v>2859.2967100000001</v>
      </c>
      <c r="R63" s="3327">
        <f>R66+R70+R78+R74</f>
        <v>1933</v>
      </c>
      <c r="S63" s="3328"/>
      <c r="T63" s="3327">
        <f>T66+T70+T78+T74</f>
        <v>1975</v>
      </c>
      <c r="U63" s="3328"/>
      <c r="V63" s="3333">
        <f>V74+V78</f>
        <v>1986.8000000000002</v>
      </c>
      <c r="W63" s="3333">
        <f>W74+W78</f>
        <v>2037.5</v>
      </c>
    </row>
    <row r="64" spans="1:23" ht="15" x14ac:dyDescent="0.3">
      <c r="A64" s="3092"/>
      <c r="B64" s="3093"/>
      <c r="C64" s="3094"/>
      <c r="D64" s="999" t="s">
        <v>674</v>
      </c>
      <c r="E64" s="1000"/>
      <c r="F64" s="1000"/>
      <c r="G64" s="1000"/>
      <c r="H64" s="1000"/>
      <c r="I64" s="1000"/>
      <c r="J64" s="1001"/>
      <c r="K64" s="3343"/>
      <c r="L64" s="3334"/>
      <c r="M64" s="3320"/>
      <c r="N64" s="3320"/>
      <c r="O64" s="3320"/>
      <c r="P64" s="3320"/>
      <c r="Q64" s="3320"/>
      <c r="R64" s="3329"/>
      <c r="S64" s="3330"/>
      <c r="T64" s="3329"/>
      <c r="U64" s="3330"/>
      <c r="V64" s="3334"/>
      <c r="W64" s="3334"/>
    </row>
    <row r="65" spans="1:23" thickBot="1" x14ac:dyDescent="0.35">
      <c r="A65" s="3043"/>
      <c r="B65" s="3044"/>
      <c r="C65" s="3045"/>
      <c r="D65" s="979" t="s">
        <v>675</v>
      </c>
      <c r="E65" s="980"/>
      <c r="F65" s="980"/>
      <c r="G65" s="980"/>
      <c r="H65" s="980"/>
      <c r="I65" s="980"/>
      <c r="J65" s="981"/>
      <c r="K65" s="3344"/>
      <c r="L65" s="3335"/>
      <c r="M65" s="3320"/>
      <c r="N65" s="3320"/>
      <c r="O65" s="3320"/>
      <c r="P65" s="3320"/>
      <c r="Q65" s="3320"/>
      <c r="R65" s="3331"/>
      <c r="S65" s="3332"/>
      <c r="T65" s="3331"/>
      <c r="U65" s="3332"/>
      <c r="V65" s="3335"/>
      <c r="W65" s="3335"/>
    </row>
    <row r="66" spans="1:23" ht="15.65" hidden="1" customHeight="1" x14ac:dyDescent="0.35">
      <c r="A66" s="3028" t="s">
        <v>676</v>
      </c>
      <c r="B66" s="3029"/>
      <c r="C66" s="2914"/>
      <c r="D66" s="982" t="s">
        <v>677</v>
      </c>
      <c r="E66" s="983"/>
      <c r="F66" s="983"/>
      <c r="G66" s="983"/>
      <c r="H66" s="983"/>
      <c r="I66" s="983"/>
      <c r="J66" s="984"/>
      <c r="K66" s="3324"/>
      <c r="L66" s="3321"/>
      <c r="M66" s="3320">
        <v>1030</v>
      </c>
      <c r="N66" s="3320">
        <v>140</v>
      </c>
      <c r="O66" s="3320">
        <v>140</v>
      </c>
      <c r="P66" s="3320">
        <f>M66+N66+O66</f>
        <v>1310</v>
      </c>
      <c r="Q66" s="3320">
        <v>1430.7293099999999</v>
      </c>
      <c r="R66" s="3305"/>
      <c r="S66" s="3306"/>
      <c r="T66" s="3305"/>
      <c r="U66" s="3306"/>
      <c r="V66" s="3321"/>
      <c r="W66" s="3321"/>
    </row>
    <row r="67" spans="1:23" ht="15.65" hidden="1" customHeight="1" x14ac:dyDescent="0.35">
      <c r="A67" s="3053"/>
      <c r="B67" s="3054"/>
      <c r="C67" s="3055"/>
      <c r="D67" s="996" t="s">
        <v>678</v>
      </c>
      <c r="E67" s="997"/>
      <c r="F67" s="997"/>
      <c r="G67" s="997"/>
      <c r="H67" s="997"/>
      <c r="I67" s="997"/>
      <c r="J67" s="998"/>
      <c r="K67" s="3325"/>
      <c r="L67" s="3322"/>
      <c r="M67" s="3320"/>
      <c r="N67" s="3320"/>
      <c r="O67" s="3320"/>
      <c r="P67" s="3320"/>
      <c r="Q67" s="3320"/>
      <c r="R67" s="3307"/>
      <c r="S67" s="3308"/>
      <c r="T67" s="3307"/>
      <c r="U67" s="3308"/>
      <c r="V67" s="3322"/>
      <c r="W67" s="3322"/>
    </row>
    <row r="68" spans="1:23" ht="15.65" hidden="1" customHeight="1" x14ac:dyDescent="0.35">
      <c r="A68" s="3053"/>
      <c r="B68" s="3054"/>
      <c r="C68" s="3055"/>
      <c r="D68" s="996" t="s">
        <v>679</v>
      </c>
      <c r="E68" s="997"/>
      <c r="F68" s="997"/>
      <c r="G68" s="997"/>
      <c r="H68" s="997"/>
      <c r="I68" s="997"/>
      <c r="J68" s="998"/>
      <c r="K68" s="3325"/>
      <c r="L68" s="3322"/>
      <c r="M68" s="3320"/>
      <c r="N68" s="3320"/>
      <c r="O68" s="3320"/>
      <c r="P68" s="3320"/>
      <c r="Q68" s="3320"/>
      <c r="R68" s="3307"/>
      <c r="S68" s="3308"/>
      <c r="T68" s="3307"/>
      <c r="U68" s="3308"/>
      <c r="V68" s="3322"/>
      <c r="W68" s="3322"/>
    </row>
    <row r="69" spans="1:23" ht="15.65" hidden="1" customHeight="1" x14ac:dyDescent="0.35">
      <c r="A69" s="3030"/>
      <c r="B69" s="3031"/>
      <c r="C69" s="2915"/>
      <c r="D69" s="985" t="s">
        <v>680</v>
      </c>
      <c r="E69" s="986"/>
      <c r="F69" s="986"/>
      <c r="G69" s="986"/>
      <c r="H69" s="986"/>
      <c r="I69" s="986"/>
      <c r="J69" s="987"/>
      <c r="K69" s="3326"/>
      <c r="L69" s="3323"/>
      <c r="M69" s="3320"/>
      <c r="N69" s="3320"/>
      <c r="O69" s="3320"/>
      <c r="P69" s="3320"/>
      <c r="Q69" s="3320"/>
      <c r="R69" s="3309"/>
      <c r="S69" s="3310"/>
      <c r="T69" s="3309"/>
      <c r="U69" s="3310"/>
      <c r="V69" s="3323"/>
      <c r="W69" s="3323"/>
    </row>
    <row r="70" spans="1:23" ht="15.65" hidden="1" customHeight="1" x14ac:dyDescent="0.35">
      <c r="A70" s="3028" t="s">
        <v>681</v>
      </c>
      <c r="B70" s="3029"/>
      <c r="C70" s="2914"/>
      <c r="D70" s="982" t="s">
        <v>682</v>
      </c>
      <c r="E70" s="983"/>
      <c r="F70" s="983"/>
      <c r="G70" s="983"/>
      <c r="H70" s="983"/>
      <c r="I70" s="983"/>
      <c r="J70" s="984"/>
      <c r="K70" s="3324"/>
      <c r="L70" s="3321"/>
      <c r="M70" s="3320">
        <v>928.55</v>
      </c>
      <c r="N70" s="3320">
        <v>200</v>
      </c>
      <c r="O70" s="3320">
        <v>200</v>
      </c>
      <c r="P70" s="3320">
        <f>M70+N70+O70</f>
        <v>1328.55</v>
      </c>
      <c r="Q70" s="3320">
        <v>1007.7294000000001</v>
      </c>
      <c r="R70" s="3305"/>
      <c r="S70" s="3306"/>
      <c r="T70" s="3305"/>
      <c r="U70" s="3306"/>
      <c r="V70" s="3321"/>
      <c r="W70" s="3321"/>
    </row>
    <row r="71" spans="1:23" ht="14.25" hidden="1" customHeight="1" x14ac:dyDescent="0.35">
      <c r="A71" s="3053"/>
      <c r="B71" s="3054"/>
      <c r="C71" s="3055"/>
      <c r="D71" s="996" t="s">
        <v>683</v>
      </c>
      <c r="E71" s="997"/>
      <c r="F71" s="997"/>
      <c r="G71" s="997"/>
      <c r="H71" s="997"/>
      <c r="I71" s="997"/>
      <c r="J71" s="998"/>
      <c r="K71" s="3325"/>
      <c r="L71" s="3322"/>
      <c r="M71" s="3320"/>
      <c r="N71" s="3320"/>
      <c r="O71" s="3320"/>
      <c r="P71" s="3320"/>
      <c r="Q71" s="3320"/>
      <c r="R71" s="3307"/>
      <c r="S71" s="3308"/>
      <c r="T71" s="3307"/>
      <c r="U71" s="3308"/>
      <c r="V71" s="3322"/>
      <c r="W71" s="3322"/>
    </row>
    <row r="72" spans="1:23" ht="15.75" hidden="1" customHeight="1" x14ac:dyDescent="0.35">
      <c r="A72" s="3053"/>
      <c r="B72" s="3054"/>
      <c r="C72" s="3055"/>
      <c r="D72" s="996" t="s">
        <v>684</v>
      </c>
      <c r="E72" s="997"/>
      <c r="F72" s="997"/>
      <c r="G72" s="997"/>
      <c r="H72" s="997"/>
      <c r="I72" s="997"/>
      <c r="J72" s="998"/>
      <c r="K72" s="3325"/>
      <c r="L72" s="3322"/>
      <c r="M72" s="3320"/>
      <c r="N72" s="3320"/>
      <c r="O72" s="3320"/>
      <c r="P72" s="3320"/>
      <c r="Q72" s="3320"/>
      <c r="R72" s="3307"/>
      <c r="S72" s="3308"/>
      <c r="T72" s="3307"/>
      <c r="U72" s="3308"/>
      <c r="V72" s="3322"/>
      <c r="W72" s="3322"/>
    </row>
    <row r="73" spans="1:23" ht="15.75" hidden="1" customHeight="1" x14ac:dyDescent="0.35">
      <c r="A73" s="3030"/>
      <c r="B73" s="3031"/>
      <c r="C73" s="2915"/>
      <c r="D73" s="985" t="s">
        <v>685</v>
      </c>
      <c r="E73" s="986"/>
      <c r="F73" s="986"/>
      <c r="G73" s="986"/>
      <c r="H73" s="986"/>
      <c r="I73" s="986"/>
      <c r="J73" s="987"/>
      <c r="K73" s="3326"/>
      <c r="L73" s="3323"/>
      <c r="M73" s="3320"/>
      <c r="N73" s="3320"/>
      <c r="O73" s="3320"/>
      <c r="P73" s="3320"/>
      <c r="Q73" s="3320"/>
      <c r="R73" s="3309"/>
      <c r="S73" s="3310"/>
      <c r="T73" s="3309"/>
      <c r="U73" s="3310"/>
      <c r="V73" s="3323"/>
      <c r="W73" s="3323"/>
    </row>
    <row r="74" spans="1:23" x14ac:dyDescent="0.35">
      <c r="A74" s="3028" t="s">
        <v>686</v>
      </c>
      <c r="B74" s="3029"/>
      <c r="C74" s="2914"/>
      <c r="D74" s="1002"/>
      <c r="E74" s="997"/>
      <c r="F74" s="997"/>
      <c r="G74" s="997"/>
      <c r="H74" s="997"/>
      <c r="I74" s="997"/>
      <c r="J74" s="998"/>
      <c r="K74" s="3317">
        <v>720.4</v>
      </c>
      <c r="L74" s="3311"/>
      <c r="M74" s="3304">
        <v>928.55</v>
      </c>
      <c r="N74" s="3304">
        <v>200</v>
      </c>
      <c r="O74" s="3304">
        <v>200</v>
      </c>
      <c r="P74" s="3304">
        <f>M74+N74+O74</f>
        <v>1328.55</v>
      </c>
      <c r="Q74" s="3304">
        <v>1007.7294000000001</v>
      </c>
      <c r="R74" s="3305">
        <v>1035</v>
      </c>
      <c r="S74" s="3306"/>
      <c r="T74" s="3305">
        <v>1040</v>
      </c>
      <c r="U74" s="3306"/>
      <c r="V74" s="3311">
        <v>720.4</v>
      </c>
      <c r="W74" s="3311">
        <v>720.4</v>
      </c>
    </row>
    <row r="75" spans="1:23" ht="14.25" customHeight="1" x14ac:dyDescent="0.35">
      <c r="A75" s="3053"/>
      <c r="B75" s="3054"/>
      <c r="C75" s="3055"/>
      <c r="D75" s="997" t="s">
        <v>687</v>
      </c>
      <c r="E75" s="997"/>
      <c r="F75" s="997"/>
      <c r="G75" s="997"/>
      <c r="H75" s="997"/>
      <c r="I75" s="997"/>
      <c r="J75" s="998"/>
      <c r="K75" s="3318"/>
      <c r="L75" s="3312"/>
      <c r="M75" s="3304"/>
      <c r="N75" s="3304"/>
      <c r="O75" s="3304"/>
      <c r="P75" s="3304"/>
      <c r="Q75" s="3304"/>
      <c r="R75" s="3307"/>
      <c r="S75" s="3308"/>
      <c r="T75" s="3307"/>
      <c r="U75" s="3308"/>
      <c r="V75" s="3312"/>
      <c r="W75" s="3312"/>
    </row>
    <row r="76" spans="1:23" ht="15.75" customHeight="1" x14ac:dyDescent="0.35">
      <c r="A76" s="3053"/>
      <c r="B76" s="3054"/>
      <c r="C76" s="3055"/>
      <c r="D76" s="997" t="s">
        <v>688</v>
      </c>
      <c r="E76" s="997"/>
      <c r="F76" s="997"/>
      <c r="G76" s="997"/>
      <c r="H76" s="997"/>
      <c r="I76" s="997"/>
      <c r="J76" s="998"/>
      <c r="K76" s="3318"/>
      <c r="L76" s="3312"/>
      <c r="M76" s="3304"/>
      <c r="N76" s="3304"/>
      <c r="O76" s="3304"/>
      <c r="P76" s="3304"/>
      <c r="Q76" s="3304"/>
      <c r="R76" s="3307"/>
      <c r="S76" s="3308"/>
      <c r="T76" s="3307"/>
      <c r="U76" s="3308"/>
      <c r="V76" s="3312"/>
      <c r="W76" s="3312"/>
    </row>
    <row r="77" spans="1:23" ht="15.75" customHeight="1" thickBot="1" x14ac:dyDescent="0.4">
      <c r="A77" s="3030"/>
      <c r="B77" s="3031"/>
      <c r="C77" s="2915"/>
      <c r="D77" s="986"/>
      <c r="E77" s="986"/>
      <c r="F77" s="986"/>
      <c r="G77" s="986"/>
      <c r="H77" s="986"/>
      <c r="I77" s="986"/>
      <c r="J77" s="987"/>
      <c r="K77" s="3319"/>
      <c r="L77" s="3313"/>
      <c r="M77" s="3304"/>
      <c r="N77" s="3304"/>
      <c r="O77" s="3304"/>
      <c r="P77" s="3304"/>
      <c r="Q77" s="3304"/>
      <c r="R77" s="3309"/>
      <c r="S77" s="3310"/>
      <c r="T77" s="3309"/>
      <c r="U77" s="3310"/>
      <c r="V77" s="3313"/>
      <c r="W77" s="3313"/>
    </row>
    <row r="78" spans="1:23" ht="15" customHeight="1" x14ac:dyDescent="0.35">
      <c r="A78" s="3028" t="s">
        <v>689</v>
      </c>
      <c r="B78" s="3029"/>
      <c r="C78" s="2914"/>
      <c r="D78" s="982" t="s">
        <v>690</v>
      </c>
      <c r="E78" s="983"/>
      <c r="F78" s="983"/>
      <c r="G78" s="983"/>
      <c r="H78" s="983"/>
      <c r="I78" s="983"/>
      <c r="J78" s="984"/>
      <c r="K78" s="3271">
        <v>1186.9000000000001</v>
      </c>
      <c r="L78" s="3254"/>
      <c r="M78" s="3314">
        <v>225.108</v>
      </c>
      <c r="N78" s="3295">
        <f>24.9+0.118</f>
        <v>25.017999999999997</v>
      </c>
      <c r="O78" s="3295">
        <v>25.018000000000001</v>
      </c>
      <c r="P78" s="3283">
        <f>M78+N78+O78</f>
        <v>275.14400000000001</v>
      </c>
      <c r="Q78" s="3295">
        <v>420.83800000000002</v>
      </c>
      <c r="R78" s="3298">
        <v>898</v>
      </c>
      <c r="S78" s="3299"/>
      <c r="T78" s="3298">
        <v>935</v>
      </c>
      <c r="U78" s="3299"/>
      <c r="V78" s="3254">
        <v>1266.4000000000001</v>
      </c>
      <c r="W78" s="3254">
        <v>1317.1</v>
      </c>
    </row>
    <row r="79" spans="1:23" ht="13.15" customHeight="1" x14ac:dyDescent="0.35">
      <c r="A79" s="3053"/>
      <c r="B79" s="3054"/>
      <c r="C79" s="3055"/>
      <c r="D79" s="996" t="s">
        <v>691</v>
      </c>
      <c r="E79" s="997"/>
      <c r="F79" s="997"/>
      <c r="G79" s="997"/>
      <c r="H79" s="997"/>
      <c r="I79" s="997"/>
      <c r="J79" s="998"/>
      <c r="K79" s="3277"/>
      <c r="L79" s="3255"/>
      <c r="M79" s="3315"/>
      <c r="N79" s="3296"/>
      <c r="O79" s="3296"/>
      <c r="P79" s="3294"/>
      <c r="Q79" s="3296"/>
      <c r="R79" s="3300"/>
      <c r="S79" s="3301"/>
      <c r="T79" s="3300"/>
      <c r="U79" s="3301"/>
      <c r="V79" s="3255"/>
      <c r="W79" s="3255"/>
    </row>
    <row r="80" spans="1:23" ht="13.15" customHeight="1" x14ac:dyDescent="0.35">
      <c r="A80" s="3053"/>
      <c r="B80" s="3054"/>
      <c r="C80" s="3055"/>
      <c r="D80" s="996" t="s">
        <v>692</v>
      </c>
      <c r="E80" s="997"/>
      <c r="F80" s="997"/>
      <c r="G80" s="997"/>
      <c r="H80" s="997"/>
      <c r="I80" s="997"/>
      <c r="J80" s="998"/>
      <c r="K80" s="3277"/>
      <c r="L80" s="3255"/>
      <c r="M80" s="3315"/>
      <c r="N80" s="3296"/>
      <c r="O80" s="3296"/>
      <c r="P80" s="3294"/>
      <c r="Q80" s="3296"/>
      <c r="R80" s="3300"/>
      <c r="S80" s="3301"/>
      <c r="T80" s="3300"/>
      <c r="U80" s="3301"/>
      <c r="V80" s="3255"/>
      <c r="W80" s="3255"/>
    </row>
    <row r="81" spans="1:23" ht="12.75" customHeight="1" thickBot="1" x14ac:dyDescent="0.4">
      <c r="A81" s="3030"/>
      <c r="B81" s="3031"/>
      <c r="C81" s="2915"/>
      <c r="D81" s="985" t="s">
        <v>693</v>
      </c>
      <c r="E81" s="986"/>
      <c r="F81" s="986"/>
      <c r="G81" s="986"/>
      <c r="H81" s="986"/>
      <c r="I81" s="986"/>
      <c r="J81" s="987"/>
      <c r="K81" s="3272"/>
      <c r="L81" s="3262"/>
      <c r="M81" s="3316"/>
      <c r="N81" s="3297"/>
      <c r="O81" s="3297"/>
      <c r="P81" s="3270"/>
      <c r="Q81" s="3297"/>
      <c r="R81" s="3302"/>
      <c r="S81" s="3303"/>
      <c r="T81" s="3302"/>
      <c r="U81" s="3303"/>
      <c r="V81" s="3262"/>
      <c r="W81" s="3262"/>
    </row>
    <row r="82" spans="1:23" ht="15" x14ac:dyDescent="0.3">
      <c r="A82" s="3040" t="s">
        <v>694</v>
      </c>
      <c r="B82" s="3041"/>
      <c r="C82" s="3042"/>
      <c r="D82" s="976" t="s">
        <v>887</v>
      </c>
      <c r="E82" s="977"/>
      <c r="F82" s="977"/>
      <c r="G82" s="977"/>
      <c r="H82" s="977"/>
      <c r="I82" s="977"/>
      <c r="J82" s="978"/>
      <c r="K82" s="3230">
        <f>K84+K87</f>
        <v>2922.11</v>
      </c>
      <c r="L82" s="3220"/>
      <c r="M82" s="3249">
        <v>97</v>
      </c>
      <c r="N82" s="3249"/>
      <c r="O82" s="3249"/>
      <c r="P82" s="3249">
        <f>P84+P87</f>
        <v>125</v>
      </c>
      <c r="Q82" s="3249">
        <v>435.29176000000001</v>
      </c>
      <c r="R82" s="2934">
        <f>R84+R87</f>
        <v>10.6</v>
      </c>
      <c r="S82" s="2935"/>
      <c r="T82" s="2934">
        <f>T84+T87</f>
        <v>11.1</v>
      </c>
      <c r="U82" s="2935"/>
      <c r="V82" s="3220">
        <f>V87</f>
        <v>121.6</v>
      </c>
      <c r="W82" s="3220">
        <f>W87</f>
        <v>128.9</v>
      </c>
    </row>
    <row r="83" spans="1:23" thickBot="1" x14ac:dyDescent="0.35">
      <c r="A83" s="3043"/>
      <c r="B83" s="3044"/>
      <c r="C83" s="3045"/>
      <c r="D83" s="979" t="s">
        <v>695</v>
      </c>
      <c r="E83" s="980"/>
      <c r="F83" s="980"/>
      <c r="G83" s="980"/>
      <c r="H83" s="980"/>
      <c r="I83" s="980"/>
      <c r="J83" s="981"/>
      <c r="K83" s="3231"/>
      <c r="L83" s="3221"/>
      <c r="M83" s="3249"/>
      <c r="N83" s="3249"/>
      <c r="O83" s="3249"/>
      <c r="P83" s="3249"/>
      <c r="Q83" s="3249"/>
      <c r="R83" s="2936"/>
      <c r="S83" s="2937"/>
      <c r="T83" s="2936"/>
      <c r="U83" s="2937"/>
      <c r="V83" s="3221"/>
      <c r="W83" s="3221"/>
    </row>
    <row r="84" spans="1:23" ht="15" hidden="1" customHeight="1" x14ac:dyDescent="0.35">
      <c r="A84" s="3028" t="s">
        <v>696</v>
      </c>
      <c r="B84" s="3029"/>
      <c r="C84" s="2914"/>
      <c r="D84" s="982" t="s">
        <v>697</v>
      </c>
      <c r="E84" s="983"/>
      <c r="F84" s="983"/>
      <c r="G84" s="983"/>
      <c r="H84" s="983"/>
      <c r="I84" s="983"/>
      <c r="J84" s="984"/>
      <c r="K84" s="3271"/>
      <c r="L84" s="3289"/>
      <c r="M84" s="3249">
        <v>69</v>
      </c>
      <c r="N84" s="3249">
        <v>7</v>
      </c>
      <c r="O84" s="3249">
        <v>7</v>
      </c>
      <c r="P84" s="3249">
        <f>M84+N84+O84</f>
        <v>83</v>
      </c>
      <c r="Q84" s="3249">
        <v>0.5</v>
      </c>
      <c r="R84" s="3250"/>
      <c r="S84" s="3284"/>
      <c r="T84" s="3250"/>
      <c r="U84" s="3284"/>
      <c r="V84" s="3289"/>
      <c r="W84" s="3289"/>
    </row>
    <row r="85" spans="1:23" ht="15" hidden="1" customHeight="1" x14ac:dyDescent="0.35">
      <c r="A85" s="3053"/>
      <c r="B85" s="3054"/>
      <c r="C85" s="3055"/>
      <c r="D85" s="996" t="s">
        <v>698</v>
      </c>
      <c r="E85" s="997"/>
      <c r="F85" s="997"/>
      <c r="G85" s="997"/>
      <c r="H85" s="997"/>
      <c r="I85" s="997"/>
      <c r="J85" s="998"/>
      <c r="K85" s="3292"/>
      <c r="L85" s="3290"/>
      <c r="M85" s="3249"/>
      <c r="N85" s="3249"/>
      <c r="O85" s="3249"/>
      <c r="P85" s="3249"/>
      <c r="Q85" s="3249"/>
      <c r="R85" s="3285"/>
      <c r="S85" s="3286"/>
      <c r="T85" s="3285"/>
      <c r="U85" s="3286"/>
      <c r="V85" s="3290"/>
      <c r="W85" s="3290"/>
    </row>
    <row r="86" spans="1:23" ht="7.15" hidden="1" customHeight="1" x14ac:dyDescent="0.35">
      <c r="A86" s="3075"/>
      <c r="B86" s="3076"/>
      <c r="C86" s="3077"/>
      <c r="D86" s="1003"/>
      <c r="E86" s="1004"/>
      <c r="F86" s="1004"/>
      <c r="G86" s="1004"/>
      <c r="H86" s="1004"/>
      <c r="I86" s="1004"/>
      <c r="J86" s="1005"/>
      <c r="K86" s="3293"/>
      <c r="L86" s="3291"/>
      <c r="M86" s="3249"/>
      <c r="N86" s="3249"/>
      <c r="O86" s="3249"/>
      <c r="P86" s="3249"/>
      <c r="Q86" s="3249"/>
      <c r="R86" s="3287"/>
      <c r="S86" s="3288"/>
      <c r="T86" s="3287"/>
      <c r="U86" s="3288"/>
      <c r="V86" s="3291"/>
      <c r="W86" s="3291"/>
    </row>
    <row r="87" spans="1:23" ht="16" thickBot="1" x14ac:dyDescent="0.4">
      <c r="A87" s="3068" t="s">
        <v>699</v>
      </c>
      <c r="B87" s="3069"/>
      <c r="C87" s="3070"/>
      <c r="D87" s="996" t="s">
        <v>700</v>
      </c>
      <c r="E87" s="997"/>
      <c r="F87" s="997"/>
      <c r="G87" s="997"/>
      <c r="H87" s="997"/>
      <c r="I87" s="997"/>
      <c r="J87" s="998"/>
      <c r="K87" s="3279">
        <f>114+2808.11</f>
        <v>2922.11</v>
      </c>
      <c r="L87" s="3280"/>
      <c r="M87" s="2457">
        <v>28</v>
      </c>
      <c r="N87" s="2457">
        <v>7</v>
      </c>
      <c r="O87" s="2457">
        <v>7</v>
      </c>
      <c r="P87" s="2457">
        <f>M87+N87+O87</f>
        <v>42</v>
      </c>
      <c r="Q87" s="2457">
        <v>434.79176000000001</v>
      </c>
      <c r="R87" s="3281">
        <v>10.6</v>
      </c>
      <c r="S87" s="3282"/>
      <c r="T87" s="3281">
        <v>11.1</v>
      </c>
      <c r="U87" s="3282"/>
      <c r="V87" s="2458">
        <v>121.6</v>
      </c>
      <c r="W87" s="2458">
        <v>128.9</v>
      </c>
    </row>
    <row r="88" spans="1:23" ht="15" hidden="1" x14ac:dyDescent="0.3">
      <c r="A88" s="3040" t="s">
        <v>701</v>
      </c>
      <c r="B88" s="3041"/>
      <c r="C88" s="3042"/>
      <c r="D88" s="976" t="s">
        <v>702</v>
      </c>
      <c r="E88" s="977"/>
      <c r="F88" s="977"/>
      <c r="G88" s="977"/>
      <c r="H88" s="977"/>
      <c r="I88" s="977"/>
      <c r="J88" s="978"/>
      <c r="K88" s="3230">
        <f>K91+K96+K90</f>
        <v>0</v>
      </c>
      <c r="L88" s="3220"/>
      <c r="M88" s="3249">
        <v>530</v>
      </c>
      <c r="N88" s="3249"/>
      <c r="O88" s="3249"/>
      <c r="P88" s="3249">
        <f>P90+P91+P96</f>
        <v>590</v>
      </c>
      <c r="Q88" s="3249">
        <v>375.10428000000002</v>
      </c>
      <c r="R88" s="2934">
        <f>R91+R96+R90</f>
        <v>1540</v>
      </c>
      <c r="S88" s="2935"/>
      <c r="T88" s="2934">
        <f>T91+T96+T90</f>
        <v>755</v>
      </c>
      <c r="U88" s="2935"/>
      <c r="V88" s="3220">
        <f>V91</f>
        <v>0</v>
      </c>
      <c r="W88" s="3220">
        <f>W91</f>
        <v>0</v>
      </c>
    </row>
    <row r="89" spans="1:23" hidden="1" thickBot="1" x14ac:dyDescent="0.35">
      <c r="A89" s="3043"/>
      <c r="B89" s="3044"/>
      <c r="C89" s="3045"/>
      <c r="D89" s="979" t="s">
        <v>703</v>
      </c>
      <c r="E89" s="980"/>
      <c r="F89" s="980"/>
      <c r="G89" s="980"/>
      <c r="H89" s="980"/>
      <c r="I89" s="980"/>
      <c r="J89" s="981"/>
      <c r="K89" s="3231"/>
      <c r="L89" s="3221"/>
      <c r="M89" s="3283"/>
      <c r="N89" s="3283"/>
      <c r="O89" s="3283"/>
      <c r="P89" s="3283"/>
      <c r="Q89" s="3283"/>
      <c r="R89" s="2936"/>
      <c r="S89" s="2937"/>
      <c r="T89" s="2936"/>
      <c r="U89" s="2937"/>
      <c r="V89" s="3221"/>
      <c r="W89" s="3221"/>
    </row>
    <row r="90" spans="1:23" ht="28" hidden="1" customHeight="1" thickBot="1" x14ac:dyDescent="0.4">
      <c r="A90" s="3061" t="s">
        <v>1194</v>
      </c>
      <c r="B90" s="3062"/>
      <c r="C90" s="3063"/>
      <c r="D90" s="3360" t="s">
        <v>1195</v>
      </c>
      <c r="E90" s="3361"/>
      <c r="F90" s="3361"/>
      <c r="G90" s="3361"/>
      <c r="H90" s="3361"/>
      <c r="I90" s="3361"/>
      <c r="J90" s="3362"/>
      <c r="K90" s="3273"/>
      <c r="L90" s="3274"/>
      <c r="M90" s="2459"/>
      <c r="N90" s="2460"/>
      <c r="O90" s="2460"/>
      <c r="P90" s="2460"/>
      <c r="Q90" s="2461">
        <v>62.085000000000001</v>
      </c>
      <c r="R90" s="3275"/>
      <c r="S90" s="3276"/>
      <c r="T90" s="3275"/>
      <c r="U90" s="3276"/>
      <c r="V90" s="2462"/>
      <c r="W90" s="2462"/>
    </row>
    <row r="91" spans="1:23" hidden="1" x14ac:dyDescent="0.35">
      <c r="A91" s="3057" t="s">
        <v>706</v>
      </c>
      <c r="B91" s="3058"/>
      <c r="C91" s="3059"/>
      <c r="D91" s="996" t="s">
        <v>707</v>
      </c>
      <c r="E91" s="997"/>
      <c r="F91" s="997"/>
      <c r="G91" s="997"/>
      <c r="H91" s="997"/>
      <c r="I91" s="997"/>
      <c r="J91" s="998"/>
      <c r="K91" s="3278"/>
      <c r="L91" s="3269"/>
      <c r="M91" s="3270">
        <v>190</v>
      </c>
      <c r="N91" s="3270">
        <v>30</v>
      </c>
      <c r="O91" s="3270">
        <v>30</v>
      </c>
      <c r="P91" s="3270">
        <f>M91+N91+O91</f>
        <v>250</v>
      </c>
      <c r="Q91" s="3270">
        <v>243.4375</v>
      </c>
      <c r="R91" s="3265">
        <v>1540</v>
      </c>
      <c r="S91" s="3266"/>
      <c r="T91" s="3265">
        <v>755</v>
      </c>
      <c r="U91" s="3266"/>
      <c r="V91" s="3269">
        <v>0</v>
      </c>
      <c r="W91" s="3269">
        <v>0</v>
      </c>
    </row>
    <row r="92" spans="1:23" hidden="1" x14ac:dyDescent="0.35">
      <c r="A92" s="3053"/>
      <c r="B92" s="3054"/>
      <c r="C92" s="3055"/>
      <c r="D92" s="996" t="s">
        <v>708</v>
      </c>
      <c r="E92" s="997"/>
      <c r="F92" s="997"/>
      <c r="G92" s="997"/>
      <c r="H92" s="997"/>
      <c r="I92" s="997"/>
      <c r="J92" s="998"/>
      <c r="K92" s="3277"/>
      <c r="L92" s="3255"/>
      <c r="M92" s="3249"/>
      <c r="N92" s="3249"/>
      <c r="O92" s="3249"/>
      <c r="P92" s="3249"/>
      <c r="Q92" s="3249"/>
      <c r="R92" s="3265"/>
      <c r="S92" s="3266"/>
      <c r="T92" s="3265"/>
      <c r="U92" s="3266"/>
      <c r="V92" s="3255"/>
      <c r="W92" s="3255"/>
    </row>
    <row r="93" spans="1:23" hidden="1" x14ac:dyDescent="0.35">
      <c r="A93" s="3053"/>
      <c r="B93" s="3054"/>
      <c r="C93" s="3055"/>
      <c r="D93" s="996" t="s">
        <v>709</v>
      </c>
      <c r="E93" s="997"/>
      <c r="F93" s="997"/>
      <c r="G93" s="997"/>
      <c r="H93" s="997"/>
      <c r="I93" s="997"/>
      <c r="J93" s="998"/>
      <c r="K93" s="3277"/>
      <c r="L93" s="3255"/>
      <c r="M93" s="3249"/>
      <c r="N93" s="3249"/>
      <c r="O93" s="3249"/>
      <c r="P93" s="3249"/>
      <c r="Q93" s="3249"/>
      <c r="R93" s="3265"/>
      <c r="S93" s="3266"/>
      <c r="T93" s="3265"/>
      <c r="U93" s="3266"/>
      <c r="V93" s="3255"/>
      <c r="W93" s="3255"/>
    </row>
    <row r="94" spans="1:23" hidden="1" x14ac:dyDescent="0.35">
      <c r="A94" s="3053"/>
      <c r="B94" s="3054"/>
      <c r="C94" s="3055"/>
      <c r="D94" s="996" t="s">
        <v>710</v>
      </c>
      <c r="E94" s="997"/>
      <c r="F94" s="997"/>
      <c r="G94" s="997"/>
      <c r="H94" s="997"/>
      <c r="I94" s="997"/>
      <c r="J94" s="998"/>
      <c r="K94" s="3277"/>
      <c r="L94" s="3255"/>
      <c r="M94" s="3249"/>
      <c r="N94" s="3249"/>
      <c r="O94" s="3249"/>
      <c r="P94" s="3249"/>
      <c r="Q94" s="3249"/>
      <c r="R94" s="3265"/>
      <c r="S94" s="3266"/>
      <c r="T94" s="3265"/>
      <c r="U94" s="3266"/>
      <c r="V94" s="3255"/>
      <c r="W94" s="3255"/>
    </row>
    <row r="95" spans="1:23" ht="16" hidden="1" thickBot="1" x14ac:dyDescent="0.4">
      <c r="A95" s="3030"/>
      <c r="B95" s="3031"/>
      <c r="C95" s="2915"/>
      <c r="D95" s="985" t="s">
        <v>711</v>
      </c>
      <c r="E95" s="986"/>
      <c r="F95" s="986"/>
      <c r="G95" s="986"/>
      <c r="H95" s="986"/>
      <c r="I95" s="986"/>
      <c r="J95" s="987"/>
      <c r="K95" s="3272"/>
      <c r="L95" s="3262"/>
      <c r="M95" s="3249"/>
      <c r="N95" s="3249"/>
      <c r="O95" s="3249"/>
      <c r="P95" s="3249"/>
      <c r="Q95" s="3249"/>
      <c r="R95" s="3267"/>
      <c r="S95" s="3268"/>
      <c r="T95" s="3267"/>
      <c r="U95" s="3268"/>
      <c r="V95" s="3262"/>
      <c r="W95" s="3262"/>
    </row>
    <row r="96" spans="1:23" ht="15.65" hidden="1" customHeight="1" x14ac:dyDescent="0.35">
      <c r="A96" s="3028" t="s">
        <v>712</v>
      </c>
      <c r="B96" s="3029"/>
      <c r="C96" s="2914"/>
      <c r="D96" s="996" t="s">
        <v>713</v>
      </c>
      <c r="E96" s="997"/>
      <c r="F96" s="997"/>
      <c r="G96" s="997"/>
      <c r="H96" s="997"/>
      <c r="I96" s="997"/>
      <c r="J96" s="998"/>
      <c r="K96" s="3271"/>
      <c r="L96" s="3254"/>
      <c r="M96" s="3249">
        <v>340</v>
      </c>
      <c r="N96" s="3249"/>
      <c r="O96" s="3249"/>
      <c r="P96" s="3249">
        <f>M96+N96+O96</f>
        <v>340</v>
      </c>
      <c r="Q96" s="3249">
        <v>69.581779999999995</v>
      </c>
      <c r="R96" s="3250"/>
      <c r="S96" s="3251"/>
      <c r="T96" s="3250"/>
      <c r="U96" s="3251"/>
      <c r="V96" s="3254"/>
      <c r="W96" s="3254"/>
    </row>
    <row r="97" spans="1:29" ht="15.65" hidden="1" customHeight="1" x14ac:dyDescent="0.35">
      <c r="A97" s="3053"/>
      <c r="B97" s="3054"/>
      <c r="C97" s="3055"/>
      <c r="D97" s="996" t="s">
        <v>714</v>
      </c>
      <c r="E97" s="997"/>
      <c r="F97" s="997"/>
      <c r="G97" s="997"/>
      <c r="H97" s="997"/>
      <c r="I97" s="997"/>
      <c r="J97" s="998"/>
      <c r="K97" s="3277"/>
      <c r="L97" s="3255"/>
      <c r="M97" s="3249"/>
      <c r="N97" s="3249"/>
      <c r="O97" s="3249"/>
      <c r="P97" s="3249"/>
      <c r="Q97" s="3249"/>
      <c r="R97" s="3265"/>
      <c r="S97" s="3266"/>
      <c r="T97" s="3265"/>
      <c r="U97" s="3266"/>
      <c r="V97" s="3255"/>
      <c r="W97" s="3255"/>
    </row>
    <row r="98" spans="1:29" ht="15.65" hidden="1" customHeight="1" x14ac:dyDescent="0.35">
      <c r="A98" s="3053"/>
      <c r="B98" s="3054"/>
      <c r="C98" s="3055"/>
      <c r="D98" s="996" t="s">
        <v>715</v>
      </c>
      <c r="E98" s="997"/>
      <c r="F98" s="997"/>
      <c r="G98" s="997"/>
      <c r="H98" s="997"/>
      <c r="I98" s="997"/>
      <c r="J98" s="998"/>
      <c r="K98" s="3277"/>
      <c r="L98" s="3255"/>
      <c r="M98" s="3249"/>
      <c r="N98" s="3249"/>
      <c r="O98" s="3249"/>
      <c r="P98" s="3249"/>
      <c r="Q98" s="3249"/>
      <c r="R98" s="3265"/>
      <c r="S98" s="3266"/>
      <c r="T98" s="3265"/>
      <c r="U98" s="3266"/>
      <c r="V98" s="3255"/>
      <c r="W98" s="3255"/>
    </row>
    <row r="99" spans="1:29" ht="15.75" hidden="1" customHeight="1" thickBot="1" x14ac:dyDescent="0.4">
      <c r="A99" s="996"/>
      <c r="B99" s="997"/>
      <c r="C99" s="998"/>
      <c r="D99" s="996"/>
      <c r="E99" s="997"/>
      <c r="F99" s="997"/>
      <c r="G99" s="997"/>
      <c r="H99" s="997"/>
      <c r="I99" s="997"/>
      <c r="J99" s="998"/>
      <c r="K99" s="3272"/>
      <c r="L99" s="3262"/>
      <c r="M99" s="2457"/>
      <c r="N99" s="2457"/>
      <c r="O99" s="2457"/>
      <c r="P99" s="2457"/>
      <c r="Q99" s="2463"/>
      <c r="R99" s="3265"/>
      <c r="S99" s="3266"/>
      <c r="T99" s="3265"/>
      <c r="U99" s="3266"/>
      <c r="V99" s="3262"/>
      <c r="W99" s="3262"/>
    </row>
    <row r="100" spans="1:29" ht="15.75" customHeight="1" x14ac:dyDescent="0.35">
      <c r="A100" s="3040" t="s">
        <v>716</v>
      </c>
      <c r="B100" s="3041"/>
      <c r="C100" s="3042"/>
      <c r="D100" s="3046" t="s">
        <v>717</v>
      </c>
      <c r="E100" s="3047"/>
      <c r="F100" s="3047"/>
      <c r="G100" s="3047"/>
      <c r="H100" s="3047"/>
      <c r="I100" s="3047"/>
      <c r="J100" s="3048"/>
      <c r="K100" s="3230">
        <f>K102</f>
        <v>20</v>
      </c>
      <c r="L100" s="3220"/>
      <c r="M100" s="2457"/>
      <c r="N100" s="2457"/>
      <c r="O100" s="2457"/>
      <c r="P100" s="2457"/>
      <c r="Q100" s="2463"/>
      <c r="R100" s="2934">
        <f>R102</f>
        <v>10</v>
      </c>
      <c r="S100" s="2935"/>
      <c r="T100" s="2934">
        <f>T102</f>
        <v>11</v>
      </c>
      <c r="U100" s="2935"/>
      <c r="V100" s="3220">
        <f>V102</f>
        <v>22</v>
      </c>
      <c r="W100" s="3220">
        <f>W102</f>
        <v>23</v>
      </c>
    </row>
    <row r="101" spans="1:29" ht="15.75" customHeight="1" thickBot="1" x14ac:dyDescent="0.4">
      <c r="A101" s="3043"/>
      <c r="B101" s="3044"/>
      <c r="C101" s="3045"/>
      <c r="D101" s="3049"/>
      <c r="E101" s="3050"/>
      <c r="F101" s="3050"/>
      <c r="G101" s="3050"/>
      <c r="H101" s="3050"/>
      <c r="I101" s="3050"/>
      <c r="J101" s="3051"/>
      <c r="K101" s="3231"/>
      <c r="L101" s="3221"/>
      <c r="M101" s="2457"/>
      <c r="N101" s="2457"/>
      <c r="O101" s="2457"/>
      <c r="P101" s="2457"/>
      <c r="Q101" s="2463"/>
      <c r="R101" s="3263"/>
      <c r="S101" s="3264"/>
      <c r="T101" s="3263"/>
      <c r="U101" s="3264"/>
      <c r="V101" s="3221"/>
      <c r="W101" s="3221"/>
    </row>
    <row r="102" spans="1:29" ht="15.75" customHeight="1" x14ac:dyDescent="0.35">
      <c r="A102" s="3028" t="s">
        <v>1105</v>
      </c>
      <c r="B102" s="3029"/>
      <c r="C102" s="2914"/>
      <c r="D102" s="3032" t="s">
        <v>999</v>
      </c>
      <c r="E102" s="3033"/>
      <c r="F102" s="3033"/>
      <c r="G102" s="3033"/>
      <c r="H102" s="3033"/>
      <c r="I102" s="3033"/>
      <c r="J102" s="3034"/>
      <c r="K102" s="3271">
        <v>20</v>
      </c>
      <c r="L102" s="3254"/>
      <c r="M102" s="2457"/>
      <c r="N102" s="2457"/>
      <c r="O102" s="2457"/>
      <c r="P102" s="2457"/>
      <c r="Q102" s="2463"/>
      <c r="R102" s="3250">
        <v>10</v>
      </c>
      <c r="S102" s="3251"/>
      <c r="T102" s="3250">
        <v>11</v>
      </c>
      <c r="U102" s="3251"/>
      <c r="V102" s="3254">
        <v>22</v>
      </c>
      <c r="W102" s="3254">
        <v>23</v>
      </c>
    </row>
    <row r="103" spans="1:29" ht="27" customHeight="1" thickBot="1" x14ac:dyDescent="0.4">
      <c r="A103" s="3030"/>
      <c r="B103" s="3031"/>
      <c r="C103" s="2915"/>
      <c r="D103" s="3035"/>
      <c r="E103" s="3036"/>
      <c r="F103" s="3036"/>
      <c r="G103" s="3036"/>
      <c r="H103" s="3036"/>
      <c r="I103" s="3036"/>
      <c r="J103" s="3037"/>
      <c r="K103" s="3272"/>
      <c r="L103" s="3262"/>
      <c r="M103" s="2457"/>
      <c r="N103" s="2457"/>
      <c r="O103" s="2457"/>
      <c r="P103" s="2457"/>
      <c r="Q103" s="2463"/>
      <c r="R103" s="3252"/>
      <c r="S103" s="3253"/>
      <c r="T103" s="3252"/>
      <c r="U103" s="3253"/>
      <c r="V103" s="3262"/>
      <c r="W103" s="3262"/>
    </row>
    <row r="104" spans="1:29" ht="15" hidden="1" x14ac:dyDescent="0.3">
      <c r="A104" s="2968" t="s">
        <v>720</v>
      </c>
      <c r="B104" s="2969"/>
      <c r="C104" s="2970"/>
      <c r="D104" s="976"/>
      <c r="E104" s="977"/>
      <c r="F104" s="977"/>
      <c r="G104" s="977"/>
      <c r="H104" s="977"/>
      <c r="I104" s="977"/>
      <c r="J104" s="978"/>
      <c r="K104" s="3230">
        <f>K106</f>
        <v>0</v>
      </c>
      <c r="L104" s="3220"/>
      <c r="M104" s="3249">
        <v>90</v>
      </c>
      <c r="N104" s="3249"/>
      <c r="O104" s="3249"/>
      <c r="P104" s="3249">
        <f>P106</f>
        <v>0</v>
      </c>
      <c r="Q104" s="3249">
        <v>129.83756</v>
      </c>
      <c r="R104" s="2934">
        <f>R106</f>
        <v>0</v>
      </c>
      <c r="S104" s="2935"/>
      <c r="T104" s="2934">
        <f>T106</f>
        <v>0</v>
      </c>
      <c r="U104" s="2935"/>
      <c r="V104" s="3220">
        <f>V106</f>
        <v>0</v>
      </c>
      <c r="W104" s="3220">
        <f>W106</f>
        <v>0</v>
      </c>
    </row>
    <row r="105" spans="1:29" hidden="1" thickBot="1" x14ac:dyDescent="0.35">
      <c r="A105" s="2971"/>
      <c r="B105" s="2972"/>
      <c r="C105" s="2973"/>
      <c r="D105" s="1009" t="s">
        <v>721</v>
      </c>
      <c r="E105" s="1010"/>
      <c r="F105" s="1010"/>
      <c r="G105" s="1010"/>
      <c r="H105" s="1010"/>
      <c r="I105" s="1010"/>
      <c r="J105" s="1011"/>
      <c r="K105" s="3231"/>
      <c r="L105" s="3221"/>
      <c r="M105" s="3249"/>
      <c r="N105" s="3249"/>
      <c r="O105" s="3249"/>
      <c r="P105" s="3249"/>
      <c r="Q105" s="3249"/>
      <c r="R105" s="3263"/>
      <c r="S105" s="3264"/>
      <c r="T105" s="3263"/>
      <c r="U105" s="3264"/>
      <c r="V105" s="3221"/>
      <c r="W105" s="3221"/>
    </row>
    <row r="106" spans="1:29" ht="15" hidden="1" customHeight="1" x14ac:dyDescent="0.3">
      <c r="A106" s="3018" t="s">
        <v>722</v>
      </c>
      <c r="B106" s="3019"/>
      <c r="C106" s="3020"/>
      <c r="D106" s="976"/>
      <c r="E106" s="977"/>
      <c r="F106" s="977"/>
      <c r="G106" s="977"/>
      <c r="H106" s="977"/>
      <c r="I106" s="977"/>
      <c r="J106" s="978"/>
      <c r="K106" s="3271"/>
      <c r="L106" s="3254"/>
      <c r="M106" s="3249"/>
      <c r="N106" s="3249"/>
      <c r="O106" s="3249"/>
      <c r="P106" s="3249"/>
      <c r="Q106" s="3249"/>
      <c r="R106" s="3250"/>
      <c r="S106" s="3251"/>
      <c r="T106" s="3250"/>
      <c r="U106" s="3251"/>
      <c r="V106" s="3254"/>
      <c r="W106" s="3254"/>
    </row>
    <row r="107" spans="1:29" ht="16" hidden="1" thickBot="1" x14ac:dyDescent="0.4">
      <c r="A107" s="3021"/>
      <c r="B107" s="3022"/>
      <c r="C107" s="3023"/>
      <c r="D107" s="1003" t="s">
        <v>723</v>
      </c>
      <c r="E107" s="1010"/>
      <c r="F107" s="1010"/>
      <c r="G107" s="1010"/>
      <c r="H107" s="1010"/>
      <c r="I107" s="1010"/>
      <c r="J107" s="1011"/>
      <c r="K107" s="3272"/>
      <c r="L107" s="3262"/>
      <c r="M107" s="3249"/>
      <c r="N107" s="3249"/>
      <c r="O107" s="3249"/>
      <c r="P107" s="3249"/>
      <c r="Q107" s="3249"/>
      <c r="R107" s="3252"/>
      <c r="S107" s="3253"/>
      <c r="T107" s="3252"/>
      <c r="U107" s="3253"/>
      <c r="V107" s="3255"/>
      <c r="W107" s="3262"/>
    </row>
    <row r="108" spans="1:29" ht="15" x14ac:dyDescent="0.3">
      <c r="A108" s="2968" t="s">
        <v>724</v>
      </c>
      <c r="B108" s="2969"/>
      <c r="C108" s="2970"/>
      <c r="D108" s="976"/>
      <c r="E108" s="977"/>
      <c r="F108" s="977"/>
      <c r="G108" s="977"/>
      <c r="H108" s="977"/>
      <c r="I108" s="977"/>
      <c r="J108" s="978"/>
      <c r="K108" s="3230">
        <f>K111+K112+K113+K115+K116+K117+K118+K119+K120+K122+K121+K125+K126</f>
        <v>40079.650959999999</v>
      </c>
      <c r="L108" s="3220">
        <f t="shared" ref="L108" si="0">SUM(L111:L126)</f>
        <v>0</v>
      </c>
      <c r="M108" s="3249">
        <v>8484.0619999999999</v>
      </c>
      <c r="N108" s="3249"/>
      <c r="O108" s="3249"/>
      <c r="P108" s="3249">
        <f>P111+P125+P126+P127+P130</f>
        <v>8524.0619999999999</v>
      </c>
      <c r="Q108" s="3249">
        <v>3580.9459499999998</v>
      </c>
      <c r="R108" s="2934">
        <f>R111+R125+R126+R127+R130+R112+S116+R129+R119+R117</f>
        <v>810.5</v>
      </c>
      <c r="S108" s="2935"/>
      <c r="T108" s="2934">
        <f>T111+T125+T126+T127+T130+T112+U116+T129+T119+T117</f>
        <v>818.5</v>
      </c>
      <c r="U108" s="3256"/>
      <c r="V108" s="3259">
        <f>V111+V112+V113+V115+V116+V117+V118+V119+V120+V122+V121+V125+V126+V114</f>
        <v>56077.143880000003</v>
      </c>
      <c r="W108" s="3220">
        <f>W111+W112+W113+W115+W116+W117+W118+W119+W120+W122+W121+W125+W126</f>
        <v>22653.640000000003</v>
      </c>
      <c r="X108" s="547">
        <f t="shared" ref="X108" si="1">SUM(X111:X126)</f>
        <v>2174.9</v>
      </c>
    </row>
    <row r="109" spans="1:29" ht="15" x14ac:dyDescent="0.3">
      <c r="A109" s="3007"/>
      <c r="B109" s="3008"/>
      <c r="C109" s="3009"/>
      <c r="D109" s="999" t="s">
        <v>725</v>
      </c>
      <c r="E109" s="1000"/>
      <c r="F109" s="1000"/>
      <c r="G109" s="1000"/>
      <c r="H109" s="1000"/>
      <c r="I109" s="1000"/>
      <c r="J109" s="1001"/>
      <c r="K109" s="3248"/>
      <c r="L109" s="3243"/>
      <c r="M109" s="3249"/>
      <c r="N109" s="3249"/>
      <c r="O109" s="3249"/>
      <c r="P109" s="3249"/>
      <c r="Q109" s="3249"/>
      <c r="R109" s="3003"/>
      <c r="S109" s="3004"/>
      <c r="T109" s="3003"/>
      <c r="U109" s="3257"/>
      <c r="V109" s="3260"/>
      <c r="W109" s="3243"/>
    </row>
    <row r="110" spans="1:29" ht="0.75" customHeight="1" thickBot="1" x14ac:dyDescent="0.4">
      <c r="A110" s="979"/>
      <c r="B110" s="980"/>
      <c r="C110" s="981"/>
      <c r="D110" s="979"/>
      <c r="E110" s="980"/>
      <c r="F110" s="980"/>
      <c r="G110" s="980"/>
      <c r="H110" s="980"/>
      <c r="I110" s="980"/>
      <c r="J110" s="981"/>
      <c r="K110" s="3231"/>
      <c r="L110" s="3221"/>
      <c r="M110" s="2457"/>
      <c r="N110" s="2457"/>
      <c r="O110" s="2457"/>
      <c r="P110" s="2457"/>
      <c r="Q110" s="2463"/>
      <c r="R110" s="2936"/>
      <c r="S110" s="2937"/>
      <c r="T110" s="2936"/>
      <c r="U110" s="3258"/>
      <c r="V110" s="3261"/>
      <c r="W110" s="3221"/>
    </row>
    <row r="111" spans="1:29" ht="34.5" customHeight="1" thickBot="1" x14ac:dyDescent="0.4">
      <c r="A111" s="2958" t="s">
        <v>1185</v>
      </c>
      <c r="B111" s="2959"/>
      <c r="C111" s="2960"/>
      <c r="D111" s="2978" t="s">
        <v>1186</v>
      </c>
      <c r="E111" s="2979"/>
      <c r="F111" s="2979"/>
      <c r="G111" s="2979"/>
      <c r="H111" s="2979"/>
      <c r="I111" s="2979"/>
      <c r="J111" s="2980"/>
      <c r="K111" s="3244">
        <v>18595.7</v>
      </c>
      <c r="L111" s="3245"/>
      <c r="M111" s="2457">
        <v>6410.5</v>
      </c>
      <c r="N111" s="2457"/>
      <c r="O111" s="2457"/>
      <c r="P111" s="2457">
        <f>M111</f>
        <v>6410.5</v>
      </c>
      <c r="Q111" s="2463">
        <v>1538.52</v>
      </c>
      <c r="R111" s="3246"/>
      <c r="S111" s="3247"/>
      <c r="T111" s="3246"/>
      <c r="U111" s="3247"/>
      <c r="V111" s="2464">
        <v>18664</v>
      </c>
      <c r="W111" s="2465">
        <v>18599.400000000001</v>
      </c>
    </row>
    <row r="112" spans="1:29" ht="34.5" customHeight="1" thickBot="1" x14ac:dyDescent="0.4">
      <c r="A112" s="3015" t="s">
        <v>1001</v>
      </c>
      <c r="B112" s="3016"/>
      <c r="C112" s="3017"/>
      <c r="D112" s="3174" t="s">
        <v>1002</v>
      </c>
      <c r="E112" s="3175"/>
      <c r="F112" s="3175"/>
      <c r="G112" s="3175"/>
      <c r="H112" s="3175"/>
      <c r="I112" s="3175"/>
      <c r="J112" s="3176"/>
      <c r="K112" s="3244">
        <f>5868.75+1744.01</f>
        <v>7612.76</v>
      </c>
      <c r="L112" s="3245"/>
      <c r="M112" s="2457"/>
      <c r="N112" s="2457"/>
      <c r="O112" s="2457"/>
      <c r="P112" s="2457"/>
      <c r="Q112" s="2463"/>
      <c r="R112" s="2466"/>
      <c r="S112" s="2467"/>
      <c r="T112" s="2466"/>
      <c r="U112" s="2467"/>
      <c r="V112" s="2861">
        <f>14400-11122</f>
        <v>3278</v>
      </c>
      <c r="W112" s="2861">
        <v>2368</v>
      </c>
      <c r="AC112" s="547">
        <v>95</v>
      </c>
    </row>
    <row r="113" spans="1:30" ht="61.5" customHeight="1" thickBot="1" x14ac:dyDescent="0.4">
      <c r="A113" s="3015" t="s">
        <v>975</v>
      </c>
      <c r="B113" s="3016"/>
      <c r="C113" s="3017"/>
      <c r="D113" s="2978" t="s">
        <v>888</v>
      </c>
      <c r="E113" s="2999"/>
      <c r="F113" s="2999"/>
      <c r="G113" s="2999"/>
      <c r="H113" s="2999"/>
      <c r="I113" s="2999"/>
      <c r="J113" s="3000"/>
      <c r="K113" s="3244">
        <v>652.5</v>
      </c>
      <c r="L113" s="3245"/>
      <c r="M113" s="2468"/>
      <c r="N113" s="2468"/>
      <c r="O113" s="2468"/>
      <c r="P113" s="2468"/>
      <c r="Q113" s="2469"/>
      <c r="R113" s="2470"/>
      <c r="S113" s="2471"/>
      <c r="T113" s="2470"/>
      <c r="U113" s="2471"/>
      <c r="V113" s="2450">
        <v>0</v>
      </c>
      <c r="W113" s="2450">
        <v>0</v>
      </c>
      <c r="AB113" s="550"/>
      <c r="AC113" s="547">
        <v>-5.7</v>
      </c>
      <c r="AD113" s="547">
        <v>383.2</v>
      </c>
    </row>
    <row r="114" spans="1:30" ht="69" customHeight="1" thickBot="1" x14ac:dyDescent="0.4">
      <c r="A114" s="3015" t="s">
        <v>975</v>
      </c>
      <c r="B114" s="3016"/>
      <c r="C114" s="3017"/>
      <c r="D114" s="3234" t="s">
        <v>1227</v>
      </c>
      <c r="E114" s="3237"/>
      <c r="F114" s="3237"/>
      <c r="G114" s="3237"/>
      <c r="H114" s="3237"/>
      <c r="I114" s="3237"/>
      <c r="J114" s="3238"/>
      <c r="K114" s="3239">
        <v>0</v>
      </c>
      <c r="L114" s="3240"/>
      <c r="M114" s="2448">
        <v>485.56200000000001</v>
      </c>
      <c r="N114" s="2448"/>
      <c r="O114" s="2448"/>
      <c r="P114" s="2448">
        <v>485.56200000000001</v>
      </c>
      <c r="Q114" s="2449">
        <v>485.56200000000001</v>
      </c>
      <c r="R114" s="2472"/>
      <c r="S114" s="2473"/>
      <c r="T114" s="2472"/>
      <c r="U114" s="2473"/>
      <c r="V114" s="2450">
        <v>31332.00388</v>
      </c>
      <c r="W114" s="2450">
        <v>0</v>
      </c>
      <c r="AB114" s="550"/>
    </row>
    <row r="115" spans="1:30" ht="31.5" customHeight="1" thickBot="1" x14ac:dyDescent="0.4">
      <c r="A115" s="3015" t="s">
        <v>1156</v>
      </c>
      <c r="B115" s="3016"/>
      <c r="C115" s="3017"/>
      <c r="D115" s="3234" t="s">
        <v>1228</v>
      </c>
      <c r="E115" s="3237"/>
      <c r="F115" s="3237"/>
      <c r="G115" s="3237"/>
      <c r="H115" s="3237"/>
      <c r="I115" s="3237"/>
      <c r="J115" s="3238"/>
      <c r="K115" s="3241">
        <f>1834.1-0.04904</f>
        <v>1834.0509599999998</v>
      </c>
      <c r="L115" s="3242"/>
      <c r="M115" s="2448"/>
      <c r="N115" s="2448"/>
      <c r="O115" s="2448"/>
      <c r="P115" s="2448"/>
      <c r="Q115" s="2449"/>
      <c r="R115" s="2472"/>
      <c r="S115" s="2473"/>
      <c r="T115" s="2472"/>
      <c r="U115" s="2473"/>
      <c r="V115" s="2450">
        <v>0</v>
      </c>
      <c r="W115" s="2450">
        <v>0</v>
      </c>
      <c r="AB115" s="550"/>
    </row>
    <row r="116" spans="1:30" ht="49.5" customHeight="1" thickBot="1" x14ac:dyDescent="0.4">
      <c r="A116" s="2958" t="s">
        <v>974</v>
      </c>
      <c r="B116" s="2959"/>
      <c r="C116" s="2960"/>
      <c r="D116" s="2978" t="s">
        <v>1216</v>
      </c>
      <c r="E116" s="2999"/>
      <c r="F116" s="2999"/>
      <c r="G116" s="2999"/>
      <c r="H116" s="2999"/>
      <c r="I116" s="2999"/>
      <c r="J116" s="3000"/>
      <c r="K116" s="3239">
        <v>1747.6</v>
      </c>
      <c r="L116" s="3240"/>
      <c r="M116" s="2448">
        <v>485.56200000000001</v>
      </c>
      <c r="N116" s="2448"/>
      <c r="O116" s="2448"/>
      <c r="P116" s="2448">
        <v>485.56200000000001</v>
      </c>
      <c r="Q116" s="2449">
        <v>485.56200000000001</v>
      </c>
      <c r="R116" s="2472"/>
      <c r="S116" s="2473"/>
      <c r="T116" s="2472"/>
      <c r="U116" s="2473"/>
      <c r="V116" s="2450">
        <v>0</v>
      </c>
      <c r="W116" s="2450">
        <v>0</v>
      </c>
      <c r="X116" s="1791">
        <v>1333.1</v>
      </c>
      <c r="Y116" s="1790">
        <v>1333.1</v>
      </c>
      <c r="Z116" s="1790">
        <v>1333.1</v>
      </c>
      <c r="AB116" s="2217">
        <f>278.4+643.25+2136.73+405.4</f>
        <v>3463.78</v>
      </c>
      <c r="AC116" s="547">
        <f>-1333.1</f>
        <v>-1333.1</v>
      </c>
    </row>
    <row r="117" spans="1:30" ht="63" customHeight="1" thickBot="1" x14ac:dyDescent="0.4">
      <c r="A117" s="2958" t="s">
        <v>974</v>
      </c>
      <c r="B117" s="2959"/>
      <c r="C117" s="2960"/>
      <c r="D117" s="3174" t="s">
        <v>1100</v>
      </c>
      <c r="E117" s="3175"/>
      <c r="F117" s="3175"/>
      <c r="G117" s="3175"/>
      <c r="H117" s="3175"/>
      <c r="I117" s="3175"/>
      <c r="J117" s="3176"/>
      <c r="K117" s="2985">
        <v>405.4</v>
      </c>
      <c r="L117" s="2986"/>
      <c r="M117" s="2401"/>
      <c r="N117" s="2401"/>
      <c r="O117" s="2401"/>
      <c r="P117" s="2401"/>
      <c r="Q117" s="2411"/>
      <c r="R117" s="2987"/>
      <c r="S117" s="2988"/>
      <c r="T117" s="2987"/>
      <c r="U117" s="2988"/>
      <c r="V117" s="2405">
        <v>0</v>
      </c>
      <c r="W117" s="2405">
        <v>0</v>
      </c>
      <c r="X117" s="1791"/>
      <c r="Y117" s="1790"/>
      <c r="Z117" s="1790"/>
    </row>
    <row r="118" spans="1:30" ht="36.65" customHeight="1" thickBot="1" x14ac:dyDescent="0.4">
      <c r="A118" s="2958" t="s">
        <v>974</v>
      </c>
      <c r="B118" s="2959"/>
      <c r="C118" s="2960"/>
      <c r="D118" s="3174" t="s">
        <v>1101</v>
      </c>
      <c r="E118" s="3175"/>
      <c r="F118" s="3175"/>
      <c r="G118" s="3175"/>
      <c r="H118" s="3175"/>
      <c r="I118" s="3175"/>
      <c r="J118" s="3176"/>
      <c r="K118" s="2985">
        <v>1300.3</v>
      </c>
      <c r="L118" s="2986"/>
      <c r="M118" s="2401"/>
      <c r="N118" s="2401"/>
      <c r="O118" s="2401"/>
      <c r="P118" s="2401"/>
      <c r="Q118" s="2411"/>
      <c r="R118" s="2406"/>
      <c r="S118" s="2407"/>
      <c r="T118" s="2406"/>
      <c r="U118" s="2407"/>
      <c r="V118" s="2405">
        <v>1053.0999999999999</v>
      </c>
      <c r="W118" s="2405">
        <v>787.2</v>
      </c>
      <c r="X118" s="1791"/>
      <c r="Y118" s="1790"/>
      <c r="Z118" s="1790"/>
    </row>
    <row r="119" spans="1:30" ht="60.65" customHeight="1" thickBot="1" x14ac:dyDescent="0.4">
      <c r="A119" s="2958" t="s">
        <v>974</v>
      </c>
      <c r="B119" s="2959"/>
      <c r="C119" s="2960"/>
      <c r="D119" s="2996" t="s">
        <v>1102</v>
      </c>
      <c r="E119" s="2997"/>
      <c r="F119" s="2997"/>
      <c r="G119" s="2997"/>
      <c r="H119" s="2997"/>
      <c r="I119" s="2997"/>
      <c r="J119" s="2998"/>
      <c r="K119" s="2985">
        <v>2118.6999999999998</v>
      </c>
      <c r="L119" s="2986"/>
      <c r="M119" s="2401"/>
      <c r="N119" s="2401"/>
      <c r="O119" s="2401"/>
      <c r="P119" s="2401"/>
      <c r="Q119" s="2411"/>
      <c r="R119" s="2987"/>
      <c r="S119" s="2988"/>
      <c r="T119" s="2987"/>
      <c r="U119" s="2988"/>
      <c r="V119" s="2405">
        <v>0</v>
      </c>
      <c r="W119" s="2405">
        <v>0</v>
      </c>
      <c r="X119" s="1791"/>
      <c r="Y119" s="1790"/>
      <c r="Z119" s="1790"/>
    </row>
    <row r="120" spans="1:30" ht="33" customHeight="1" thickBot="1" x14ac:dyDescent="0.4">
      <c r="A120" s="2958" t="s">
        <v>974</v>
      </c>
      <c r="B120" s="2959"/>
      <c r="C120" s="2960"/>
      <c r="D120" s="2978" t="s">
        <v>1187</v>
      </c>
      <c r="E120" s="2979"/>
      <c r="F120" s="2979"/>
      <c r="G120" s="2979"/>
      <c r="H120" s="2979"/>
      <c r="I120" s="2979"/>
      <c r="J120" s="2980"/>
      <c r="K120" s="2985">
        <v>300</v>
      </c>
      <c r="L120" s="2986"/>
      <c r="M120" s="2401">
        <v>613</v>
      </c>
      <c r="N120" s="2401"/>
      <c r="O120" s="2401"/>
      <c r="P120" s="2401">
        <v>613</v>
      </c>
      <c r="Q120" s="2411">
        <v>613</v>
      </c>
      <c r="R120" s="2987"/>
      <c r="S120" s="2988"/>
      <c r="T120" s="2987"/>
      <c r="U120" s="2988"/>
      <c r="V120" s="2405">
        <v>0</v>
      </c>
      <c r="W120" s="2405">
        <v>0</v>
      </c>
      <c r="X120" s="1791"/>
      <c r="Y120" s="1790"/>
      <c r="Z120" s="1790"/>
    </row>
    <row r="121" spans="1:30" ht="34.5" customHeight="1" thickBot="1" x14ac:dyDescent="0.4">
      <c r="A121" s="2958" t="s">
        <v>974</v>
      </c>
      <c r="B121" s="2959"/>
      <c r="C121" s="2960"/>
      <c r="D121" s="2978" t="s">
        <v>1148</v>
      </c>
      <c r="E121" s="2999"/>
      <c r="F121" s="2999"/>
      <c r="G121" s="2999"/>
      <c r="H121" s="2999"/>
      <c r="I121" s="2999"/>
      <c r="J121" s="3000"/>
      <c r="K121" s="2985">
        <v>0</v>
      </c>
      <c r="L121" s="2986"/>
      <c r="M121" s="2401"/>
      <c r="N121" s="2401"/>
      <c r="O121" s="2401"/>
      <c r="P121" s="2401"/>
      <c r="Q121" s="2411"/>
      <c r="R121" s="2406"/>
      <c r="S121" s="2407"/>
      <c r="T121" s="2406"/>
      <c r="U121" s="2407"/>
      <c r="V121" s="2405">
        <v>851</v>
      </c>
      <c r="W121" s="2405">
        <v>0</v>
      </c>
      <c r="X121" s="1791"/>
      <c r="Y121" s="1790"/>
      <c r="Z121" s="1790"/>
    </row>
    <row r="122" spans="1:30" ht="35.25" customHeight="1" thickBot="1" x14ac:dyDescent="0.4">
      <c r="A122" s="2958" t="s">
        <v>974</v>
      </c>
      <c r="B122" s="2959"/>
      <c r="C122" s="2960"/>
      <c r="D122" s="2978" t="s">
        <v>1217</v>
      </c>
      <c r="E122" s="2999"/>
      <c r="F122" s="2999"/>
      <c r="G122" s="2999"/>
      <c r="H122" s="2999"/>
      <c r="I122" s="2999"/>
      <c r="J122" s="3000"/>
      <c r="K122" s="2985">
        <v>4613.6000000000004</v>
      </c>
      <c r="L122" s="2986"/>
      <c r="M122" s="2401"/>
      <c r="N122" s="2401"/>
      <c r="O122" s="2401"/>
      <c r="P122" s="2401"/>
      <c r="Q122" s="2411"/>
      <c r="R122" s="2406"/>
      <c r="S122" s="2407"/>
      <c r="T122" s="2406"/>
      <c r="U122" s="2407"/>
      <c r="V122" s="2405">
        <v>0</v>
      </c>
      <c r="W122" s="2405">
        <f>6291-6291</f>
        <v>0</v>
      </c>
      <c r="X122" s="1791"/>
      <c r="Y122" s="1790"/>
      <c r="Z122" s="1790"/>
    </row>
    <row r="123" spans="1:30" ht="35.25" hidden="1" customHeight="1" thickBot="1" x14ac:dyDescent="0.4">
      <c r="A123" s="2958" t="s">
        <v>974</v>
      </c>
      <c r="B123" s="2959"/>
      <c r="C123" s="2960"/>
      <c r="D123" s="2978" t="s">
        <v>1154</v>
      </c>
      <c r="E123" s="2999"/>
      <c r="F123" s="2999"/>
      <c r="G123" s="2999"/>
      <c r="H123" s="2999"/>
      <c r="I123" s="2999"/>
      <c r="J123" s="3000"/>
      <c r="K123" s="2985">
        <v>0</v>
      </c>
      <c r="L123" s="2986"/>
      <c r="M123" s="2401"/>
      <c r="N123" s="2401"/>
      <c r="O123" s="2401"/>
      <c r="P123" s="2401"/>
      <c r="Q123" s="2411"/>
      <c r="R123" s="2406"/>
      <c r="S123" s="2407"/>
      <c r="T123" s="2406"/>
      <c r="U123" s="2407"/>
      <c r="V123" s="2405">
        <v>0</v>
      </c>
      <c r="W123" s="2405">
        <v>0</v>
      </c>
      <c r="X123" s="1791"/>
      <c r="Y123" s="1790"/>
      <c r="Z123" s="1790"/>
    </row>
    <row r="124" spans="1:30" ht="35.25" hidden="1" customHeight="1" thickBot="1" x14ac:dyDescent="0.4">
      <c r="A124" s="2958" t="s">
        <v>974</v>
      </c>
      <c r="B124" s="2959"/>
      <c r="C124" s="2960"/>
      <c r="D124" s="2978" t="s">
        <v>1155</v>
      </c>
      <c r="E124" s="2999"/>
      <c r="F124" s="2999"/>
      <c r="G124" s="2999"/>
      <c r="H124" s="2999"/>
      <c r="I124" s="2999"/>
      <c r="J124" s="3000"/>
      <c r="K124" s="2985">
        <v>0</v>
      </c>
      <c r="L124" s="2986"/>
      <c r="M124" s="2401"/>
      <c r="N124" s="2401"/>
      <c r="O124" s="2401"/>
      <c r="P124" s="2401"/>
      <c r="Q124" s="2411"/>
      <c r="R124" s="2406"/>
      <c r="S124" s="2407"/>
      <c r="T124" s="2406"/>
      <c r="U124" s="2407"/>
      <c r="V124" s="2405">
        <v>0</v>
      </c>
      <c r="W124" s="2405">
        <v>0</v>
      </c>
      <c r="X124" s="1791"/>
      <c r="Y124" s="1790"/>
      <c r="Z124" s="1790"/>
    </row>
    <row r="125" spans="1:30" ht="36.75" customHeight="1" thickBot="1" x14ac:dyDescent="0.4">
      <c r="A125" s="2958" t="s">
        <v>973</v>
      </c>
      <c r="B125" s="2959"/>
      <c r="C125" s="2960"/>
      <c r="D125" s="2978" t="s">
        <v>736</v>
      </c>
      <c r="E125" s="2979"/>
      <c r="F125" s="2979"/>
      <c r="G125" s="2979"/>
      <c r="H125" s="2979"/>
      <c r="I125" s="2979"/>
      <c r="J125" s="2980"/>
      <c r="K125" s="2985">
        <f>814.8+77.2</f>
        <v>892</v>
      </c>
      <c r="L125" s="2986"/>
      <c r="M125" s="2401">
        <v>485.56200000000001</v>
      </c>
      <c r="N125" s="2401"/>
      <c r="O125" s="2401"/>
      <c r="P125" s="2401">
        <v>485.56200000000001</v>
      </c>
      <c r="Q125" s="2411">
        <v>485.56200000000001</v>
      </c>
      <c r="R125" s="2987"/>
      <c r="S125" s="2988"/>
      <c r="T125" s="2987"/>
      <c r="U125" s="2988"/>
      <c r="V125" s="2405">
        <f>857.3+34.7</f>
        <v>892</v>
      </c>
      <c r="W125" s="2405">
        <v>892</v>
      </c>
      <c r="X125" s="1791">
        <v>834.7</v>
      </c>
      <c r="Y125" s="1790">
        <v>844.2</v>
      </c>
      <c r="Z125" s="1790">
        <v>874.4</v>
      </c>
      <c r="AB125" s="547">
        <v>-42.7</v>
      </c>
      <c r="AC125" s="547">
        <v>-59.6</v>
      </c>
      <c r="AD125" s="547">
        <v>857.3</v>
      </c>
    </row>
    <row r="126" spans="1:30" ht="51.75" customHeight="1" thickBot="1" x14ac:dyDescent="0.4">
      <c r="A126" s="2958" t="s">
        <v>972</v>
      </c>
      <c r="B126" s="2959"/>
      <c r="C126" s="2960"/>
      <c r="D126" s="2978" t="s">
        <v>889</v>
      </c>
      <c r="E126" s="2979"/>
      <c r="F126" s="2979"/>
      <c r="G126" s="2979"/>
      <c r="H126" s="2979"/>
      <c r="I126" s="2979"/>
      <c r="J126" s="2980"/>
      <c r="K126" s="2985">
        <f>7.1-0.06</f>
        <v>7.04</v>
      </c>
      <c r="L126" s="2986"/>
      <c r="M126" s="2401">
        <v>10</v>
      </c>
      <c r="N126" s="2401"/>
      <c r="O126" s="2401"/>
      <c r="P126" s="2401">
        <v>10</v>
      </c>
      <c r="Q126" s="2411">
        <v>10</v>
      </c>
      <c r="R126" s="2987">
        <v>598.5</v>
      </c>
      <c r="S126" s="2988"/>
      <c r="T126" s="2987">
        <v>598.5</v>
      </c>
      <c r="U126" s="2988"/>
      <c r="V126" s="2405">
        <f>7.1-0.06</f>
        <v>7.04</v>
      </c>
      <c r="W126" s="2405">
        <f>7.1-0.06</f>
        <v>7.04</v>
      </c>
      <c r="X126" s="1791">
        <v>7.1</v>
      </c>
      <c r="Y126" s="1790">
        <v>7.1</v>
      </c>
      <c r="Z126" s="1790">
        <v>7.1</v>
      </c>
    </row>
    <row r="127" spans="1:30" ht="33" hidden="1" customHeight="1" thickBot="1" x14ac:dyDescent="0.4">
      <c r="A127" s="2958" t="s">
        <v>1098</v>
      </c>
      <c r="B127" s="2959"/>
      <c r="C127" s="2960"/>
      <c r="D127" s="2978" t="s">
        <v>1099</v>
      </c>
      <c r="E127" s="2979"/>
      <c r="F127" s="2979"/>
      <c r="G127" s="2979"/>
      <c r="H127" s="2979"/>
      <c r="I127" s="2979"/>
      <c r="J127" s="2980"/>
      <c r="K127" s="2981"/>
      <c r="L127" s="2982"/>
      <c r="M127" s="2416">
        <v>613</v>
      </c>
      <c r="N127" s="2416"/>
      <c r="O127" s="2416"/>
      <c r="P127" s="2416">
        <v>613</v>
      </c>
      <c r="Q127" s="2412">
        <v>613</v>
      </c>
      <c r="R127" s="2983"/>
      <c r="S127" s="2984"/>
      <c r="T127" s="2983"/>
      <c r="U127" s="2984"/>
      <c r="V127" s="2402"/>
      <c r="W127" s="2402"/>
      <c r="AB127" s="547">
        <v>122</v>
      </c>
    </row>
    <row r="128" spans="1:30" ht="33" hidden="1" customHeight="1" thickBot="1" x14ac:dyDescent="0.4">
      <c r="A128" s="2958" t="s">
        <v>1152</v>
      </c>
      <c r="B128" s="2959"/>
      <c r="C128" s="2960"/>
      <c r="D128" s="2978" t="s">
        <v>1153</v>
      </c>
      <c r="E128" s="2999"/>
      <c r="F128" s="2999"/>
      <c r="G128" s="2999"/>
      <c r="H128" s="2999"/>
      <c r="I128" s="2999"/>
      <c r="J128" s="3000"/>
      <c r="K128" s="2981"/>
      <c r="L128" s="2982"/>
      <c r="M128" s="2416"/>
      <c r="N128" s="2416"/>
      <c r="O128" s="2416"/>
      <c r="P128" s="2416"/>
      <c r="Q128" s="2412"/>
      <c r="R128" s="2403"/>
      <c r="S128" s="2404"/>
      <c r="T128" s="2403"/>
      <c r="U128" s="2404"/>
      <c r="V128" s="2402"/>
      <c r="W128" s="2402"/>
    </row>
    <row r="129" spans="1:32" ht="30.65" hidden="1" customHeight="1" thickBot="1" x14ac:dyDescent="0.4">
      <c r="A129" s="2958" t="s">
        <v>1121</v>
      </c>
      <c r="B129" s="2959"/>
      <c r="C129" s="2960"/>
      <c r="D129" s="3234" t="s">
        <v>1122</v>
      </c>
      <c r="E129" s="3129"/>
      <c r="F129" s="3129"/>
      <c r="G129" s="3129"/>
      <c r="H129" s="3129"/>
      <c r="I129" s="3129"/>
      <c r="J129" s="3130"/>
      <c r="K129" s="2981">
        <v>0</v>
      </c>
      <c r="L129" s="2982"/>
      <c r="M129" s="2416"/>
      <c r="N129" s="2416"/>
      <c r="O129" s="2416"/>
      <c r="P129" s="2416"/>
      <c r="Q129" s="2412"/>
      <c r="R129" s="2983"/>
      <c r="S129" s="2984"/>
      <c r="T129" s="2983"/>
      <c r="U129" s="2984"/>
      <c r="V129" s="2402">
        <v>0</v>
      </c>
      <c r="W129" s="2402">
        <v>0</v>
      </c>
    </row>
    <row r="130" spans="1:32" ht="34.5" hidden="1" customHeight="1" thickBot="1" x14ac:dyDescent="0.4">
      <c r="A130" s="2958" t="s">
        <v>1119</v>
      </c>
      <c r="B130" s="2959"/>
      <c r="C130" s="2960"/>
      <c r="D130" s="2961" t="s">
        <v>1120</v>
      </c>
      <c r="E130" s="2962"/>
      <c r="F130" s="2962"/>
      <c r="G130" s="2962"/>
      <c r="H130" s="2962"/>
      <c r="I130" s="2962"/>
      <c r="J130" s="2963"/>
      <c r="K130" s="3170">
        <v>0</v>
      </c>
      <c r="L130" s="3171"/>
      <c r="M130" s="2416">
        <v>965</v>
      </c>
      <c r="N130" s="2416">
        <v>20</v>
      </c>
      <c r="O130" s="2416">
        <v>20</v>
      </c>
      <c r="P130" s="2416">
        <f>M130+N130+O130</f>
        <v>1005</v>
      </c>
      <c r="Q130" s="2412">
        <v>1222.22</v>
      </c>
      <c r="R130" s="3222">
        <v>212</v>
      </c>
      <c r="S130" s="3223"/>
      <c r="T130" s="3222">
        <v>220</v>
      </c>
      <c r="U130" s="3223"/>
      <c r="V130" s="2414">
        <v>0</v>
      </c>
      <c r="W130" s="2414">
        <v>0</v>
      </c>
      <c r="AF130" s="2217"/>
    </row>
    <row r="131" spans="1:32" ht="12.75" customHeight="1" x14ac:dyDescent="0.35">
      <c r="A131" s="3224" t="s">
        <v>744</v>
      </c>
      <c r="B131" s="3225"/>
      <c r="C131" s="3226"/>
      <c r="D131" s="982"/>
      <c r="E131" s="983"/>
      <c r="F131" s="983"/>
      <c r="G131" s="983"/>
      <c r="H131" s="983"/>
      <c r="I131" s="983"/>
      <c r="J131" s="984"/>
      <c r="K131" s="3230">
        <f>K108+K38</f>
        <v>125268.46096</v>
      </c>
      <c r="L131" s="3220"/>
      <c r="M131" s="3232">
        <v>25719.42</v>
      </c>
      <c r="N131" s="3232"/>
      <c r="O131" s="3232"/>
      <c r="P131" s="3235">
        <f>P38+P108</f>
        <v>32956.455999999998</v>
      </c>
      <c r="Q131" s="3232"/>
      <c r="R131" s="2934">
        <f>R38+R108</f>
        <v>74385.700000000012</v>
      </c>
      <c r="S131" s="2935"/>
      <c r="T131" s="2934">
        <f>T38+T108</f>
        <v>76457.200000000012</v>
      </c>
      <c r="U131" s="2935"/>
      <c r="V131" s="3220">
        <f>V108+V38</f>
        <v>140977.24388000002</v>
      </c>
      <c r="W131" s="3220">
        <f>W108+W38</f>
        <v>111774.84</v>
      </c>
    </row>
    <row r="132" spans="1:32" ht="16.5" customHeight="1" thickBot="1" x14ac:dyDescent="0.4">
      <c r="A132" s="3227"/>
      <c r="B132" s="3228"/>
      <c r="C132" s="3229"/>
      <c r="D132" s="979"/>
      <c r="E132" s="980"/>
      <c r="F132" s="980"/>
      <c r="G132" s="986"/>
      <c r="H132" s="986"/>
      <c r="I132" s="986"/>
      <c r="J132" s="987"/>
      <c r="K132" s="3231"/>
      <c r="L132" s="3221"/>
      <c r="M132" s="3233"/>
      <c r="N132" s="3233"/>
      <c r="O132" s="3233"/>
      <c r="P132" s="3236"/>
      <c r="Q132" s="3233"/>
      <c r="R132" s="2936"/>
      <c r="S132" s="2937"/>
      <c r="T132" s="2936"/>
      <c r="U132" s="2937"/>
      <c r="V132" s="3221"/>
      <c r="W132" s="3221"/>
    </row>
    <row r="133" spans="1:32" x14ac:dyDescent="0.35">
      <c r="K133" s="447"/>
      <c r="L133" s="447"/>
      <c r="N133" s="2215">
        <f>SUM(N38:N132)</f>
        <v>3863.518</v>
      </c>
      <c r="O133" s="2215">
        <f>SUM(O38:O132)</f>
        <v>3863.518</v>
      </c>
      <c r="P133" s="2215">
        <f>M131+N133+O133</f>
        <v>33446.455999999998</v>
      </c>
    </row>
    <row r="134" spans="1:32" x14ac:dyDescent="0.35">
      <c r="X134" s="1704">
        <v>356.3</v>
      </c>
      <c r="Y134" s="1704">
        <v>356.3</v>
      </c>
      <c r="Z134" s="1704">
        <v>356.3</v>
      </c>
    </row>
    <row r="135" spans="1:32" x14ac:dyDescent="0.35">
      <c r="X135" s="1704">
        <v>106.9</v>
      </c>
      <c r="Y135" s="1704">
        <v>88.4</v>
      </c>
      <c r="Z135" s="1704">
        <v>874.4</v>
      </c>
    </row>
    <row r="136" spans="1:32" x14ac:dyDescent="0.35">
      <c r="X136" s="1704">
        <v>-648.9</v>
      </c>
      <c r="Y136" s="1704">
        <v>-648.9</v>
      </c>
      <c r="Z136" s="1704">
        <v>-648.9</v>
      </c>
    </row>
    <row r="137" spans="1:32" x14ac:dyDescent="0.35">
      <c r="W137" s="541"/>
      <c r="X137" s="1704">
        <f>SUM(X134:X136)</f>
        <v>-185.69999999999993</v>
      </c>
      <c r="Y137" s="1704">
        <f>SUM(Y134:Y136)</f>
        <v>-204.19999999999993</v>
      </c>
      <c r="Z137" s="1704">
        <f>SUM(Z134:Z136)</f>
        <v>581.80000000000007</v>
      </c>
    </row>
    <row r="139" spans="1:32" x14ac:dyDescent="0.35">
      <c r="V139" s="2229"/>
    </row>
  </sheetData>
  <mergeCells count="403">
    <mergeCell ref="D90:J90"/>
    <mergeCell ref="A123:C123"/>
    <mergeCell ref="D123:J123"/>
    <mergeCell ref="K123:L123"/>
    <mergeCell ref="A128:C128"/>
    <mergeCell ref="K128:L128"/>
    <mergeCell ref="D128:J128"/>
    <mergeCell ref="A124:C124"/>
    <mergeCell ref="D124:J124"/>
    <mergeCell ref="K124:L124"/>
    <mergeCell ref="A125:C125"/>
    <mergeCell ref="D125:J125"/>
    <mergeCell ref="K125:L125"/>
    <mergeCell ref="A121:C121"/>
    <mergeCell ref="A122:C122"/>
    <mergeCell ref="D121:J121"/>
    <mergeCell ref="D122:J122"/>
    <mergeCell ref="K121:L121"/>
    <mergeCell ref="K122:L122"/>
    <mergeCell ref="A106:C107"/>
    <mergeCell ref="K106:L107"/>
    <mergeCell ref="A116:C116"/>
    <mergeCell ref="D116:J116"/>
    <mergeCell ref="K116:L116"/>
    <mergeCell ref="K12:X12"/>
    <mergeCell ref="K13:X13"/>
    <mergeCell ref="K14:X14"/>
    <mergeCell ref="K15:X15"/>
    <mergeCell ref="K16:X16"/>
    <mergeCell ref="N35:N36"/>
    <mergeCell ref="O35:O36"/>
    <mergeCell ref="A36:C36"/>
    <mergeCell ref="A120:C120"/>
    <mergeCell ref="D120:J120"/>
    <mergeCell ref="K120:L120"/>
    <mergeCell ref="R120:S120"/>
    <mergeCell ref="T120:U120"/>
    <mergeCell ref="A31:W31"/>
    <mergeCell ref="A32:L32"/>
    <mergeCell ref="A33:W33"/>
    <mergeCell ref="K34:L34"/>
    <mergeCell ref="R34:S34"/>
    <mergeCell ref="T34:U34"/>
    <mergeCell ref="D40:J41"/>
    <mergeCell ref="K40:L41"/>
    <mergeCell ref="M40:M41"/>
    <mergeCell ref="N40:N41"/>
    <mergeCell ref="O40:O41"/>
    <mergeCell ref="K37:L37"/>
    <mergeCell ref="R37:S37"/>
    <mergeCell ref="T37:U37"/>
    <mergeCell ref="A38:C39"/>
    <mergeCell ref="D38:J39"/>
    <mergeCell ref="T40:U41"/>
    <mergeCell ref="V40:V41"/>
    <mergeCell ref="W40:W41"/>
    <mergeCell ref="T38:U39"/>
    <mergeCell ref="V38:V39"/>
    <mergeCell ref="W38:W39"/>
    <mergeCell ref="U18:W18"/>
    <mergeCell ref="U19:W19"/>
    <mergeCell ref="K20:W20"/>
    <mergeCell ref="K21:W21"/>
    <mergeCell ref="A30:W30"/>
    <mergeCell ref="P35:P36"/>
    <mergeCell ref="Q35:Q36"/>
    <mergeCell ref="R35:S36"/>
    <mergeCell ref="T35:U36"/>
    <mergeCell ref="V35:V36"/>
    <mergeCell ref="W35:W36"/>
    <mergeCell ref="A35:C35"/>
    <mergeCell ref="D35:J36"/>
    <mergeCell ref="K35:L36"/>
    <mergeCell ref="M35:M36"/>
    <mergeCell ref="K22:X22"/>
    <mergeCell ref="M42:M43"/>
    <mergeCell ref="N42:N43"/>
    <mergeCell ref="O38:O39"/>
    <mergeCell ref="P38:P39"/>
    <mergeCell ref="P40:P41"/>
    <mergeCell ref="Q40:Q41"/>
    <mergeCell ref="R40:S41"/>
    <mergeCell ref="K38:L39"/>
    <mergeCell ref="M38:M39"/>
    <mergeCell ref="N38:N39"/>
    <mergeCell ref="Q42:Q43"/>
    <mergeCell ref="R42:S43"/>
    <mergeCell ref="Q38:Q39"/>
    <mergeCell ref="R38:S39"/>
    <mergeCell ref="T42:U43"/>
    <mergeCell ref="V42:V43"/>
    <mergeCell ref="W42:W43"/>
    <mergeCell ref="O42:O43"/>
    <mergeCell ref="P42:P43"/>
    <mergeCell ref="W44:W45"/>
    <mergeCell ref="A46:C46"/>
    <mergeCell ref="D46:J46"/>
    <mergeCell ref="K46:L46"/>
    <mergeCell ref="R46:S46"/>
    <mergeCell ref="T46:U46"/>
    <mergeCell ref="O44:O45"/>
    <mergeCell ref="P44:P45"/>
    <mergeCell ref="Q44:Q45"/>
    <mergeCell ref="R44:S45"/>
    <mergeCell ref="T44:U45"/>
    <mergeCell ref="V44:V45"/>
    <mergeCell ref="A44:C45"/>
    <mergeCell ref="D44:J45"/>
    <mergeCell ref="K44:L45"/>
    <mergeCell ref="M44:M45"/>
    <mergeCell ref="N44:N45"/>
    <mergeCell ref="A42:C43"/>
    <mergeCell ref="K42:L43"/>
    <mergeCell ref="W51:W52"/>
    <mergeCell ref="A54:C54"/>
    <mergeCell ref="K54:L54"/>
    <mergeCell ref="R54:S54"/>
    <mergeCell ref="T54:U54"/>
    <mergeCell ref="V51:V52"/>
    <mergeCell ref="W47:W48"/>
    <mergeCell ref="A47:C48"/>
    <mergeCell ref="D47:J48"/>
    <mergeCell ref="K47:L48"/>
    <mergeCell ref="M47:M48"/>
    <mergeCell ref="N47:N48"/>
    <mergeCell ref="O47:O48"/>
    <mergeCell ref="A50:C50"/>
    <mergeCell ref="D50:J50"/>
    <mergeCell ref="K50:L50"/>
    <mergeCell ref="R50:S50"/>
    <mergeCell ref="T50:U50"/>
    <mergeCell ref="P47:P48"/>
    <mergeCell ref="Q47:Q48"/>
    <mergeCell ref="R47:S48"/>
    <mergeCell ref="T47:U48"/>
    <mergeCell ref="V47:V48"/>
    <mergeCell ref="A55:C55"/>
    <mergeCell ref="K55:L55"/>
    <mergeCell ref="R55:S55"/>
    <mergeCell ref="T55:U55"/>
    <mergeCell ref="O51:O52"/>
    <mergeCell ref="P51:P52"/>
    <mergeCell ref="Q51:Q52"/>
    <mergeCell ref="R51:S52"/>
    <mergeCell ref="T51:U52"/>
    <mergeCell ref="A51:C52"/>
    <mergeCell ref="D51:J52"/>
    <mergeCell ref="K51:L52"/>
    <mergeCell ref="M51:M52"/>
    <mergeCell ref="N51:N52"/>
    <mergeCell ref="P57:P58"/>
    <mergeCell ref="Q57:Q58"/>
    <mergeCell ref="R57:S58"/>
    <mergeCell ref="T57:U58"/>
    <mergeCell ref="V57:V58"/>
    <mergeCell ref="W57:W58"/>
    <mergeCell ref="A56:C56"/>
    <mergeCell ref="K56:L56"/>
    <mergeCell ref="R56:S56"/>
    <mergeCell ref="T56:U56"/>
    <mergeCell ref="A57:C58"/>
    <mergeCell ref="D57:J58"/>
    <mergeCell ref="K57:L58"/>
    <mergeCell ref="M57:M58"/>
    <mergeCell ref="N57:N58"/>
    <mergeCell ref="O57:O58"/>
    <mergeCell ref="A63:C65"/>
    <mergeCell ref="K63:L65"/>
    <mergeCell ref="M63:M65"/>
    <mergeCell ref="N63:N65"/>
    <mergeCell ref="O63:O65"/>
    <mergeCell ref="A59:C62"/>
    <mergeCell ref="K59:L62"/>
    <mergeCell ref="M59:M62"/>
    <mergeCell ref="N59:N62"/>
    <mergeCell ref="O59:O62"/>
    <mergeCell ref="P63:P65"/>
    <mergeCell ref="Q63:Q65"/>
    <mergeCell ref="R63:S65"/>
    <mergeCell ref="T63:U65"/>
    <mergeCell ref="V63:V65"/>
    <mergeCell ref="W63:W65"/>
    <mergeCell ref="Q59:Q62"/>
    <mergeCell ref="R59:S62"/>
    <mergeCell ref="T59:U62"/>
    <mergeCell ref="V59:V62"/>
    <mergeCell ref="W59:W62"/>
    <mergeCell ref="P59:P62"/>
    <mergeCell ref="A70:C73"/>
    <mergeCell ref="K70:L73"/>
    <mergeCell ref="M70:M73"/>
    <mergeCell ref="N70:N73"/>
    <mergeCell ref="O70:O73"/>
    <mergeCell ref="A66:C69"/>
    <mergeCell ref="K66:L69"/>
    <mergeCell ref="M66:M69"/>
    <mergeCell ref="N66:N69"/>
    <mergeCell ref="O66:O69"/>
    <mergeCell ref="P70:P73"/>
    <mergeCell ref="Q70:Q73"/>
    <mergeCell ref="R70:S73"/>
    <mergeCell ref="T70:U73"/>
    <mergeCell ref="V70:V73"/>
    <mergeCell ref="W70:W73"/>
    <mergeCell ref="Q66:Q69"/>
    <mergeCell ref="R66:S69"/>
    <mergeCell ref="T66:U69"/>
    <mergeCell ref="V66:V69"/>
    <mergeCell ref="W66:W69"/>
    <mergeCell ref="P66:P69"/>
    <mergeCell ref="A78:C81"/>
    <mergeCell ref="K78:L81"/>
    <mergeCell ref="M78:M81"/>
    <mergeCell ref="N78:N81"/>
    <mergeCell ref="O78:O81"/>
    <mergeCell ref="A74:C77"/>
    <mergeCell ref="K74:L77"/>
    <mergeCell ref="M74:M77"/>
    <mergeCell ref="N74:N77"/>
    <mergeCell ref="O74:O77"/>
    <mergeCell ref="P78:P81"/>
    <mergeCell ref="Q78:Q81"/>
    <mergeCell ref="R78:S81"/>
    <mergeCell ref="T78:U81"/>
    <mergeCell ref="V78:V81"/>
    <mergeCell ref="W78:W81"/>
    <mergeCell ref="Q74:Q77"/>
    <mergeCell ref="R74:S77"/>
    <mergeCell ref="T74:U77"/>
    <mergeCell ref="V74:V77"/>
    <mergeCell ref="W74:W77"/>
    <mergeCell ref="P74:P77"/>
    <mergeCell ref="A84:C86"/>
    <mergeCell ref="K84:L86"/>
    <mergeCell ref="M84:M86"/>
    <mergeCell ref="N84:N86"/>
    <mergeCell ref="O84:O86"/>
    <mergeCell ref="A82:C83"/>
    <mergeCell ref="K82:L83"/>
    <mergeCell ref="M82:M83"/>
    <mergeCell ref="N82:N83"/>
    <mergeCell ref="O82:O83"/>
    <mergeCell ref="P84:P86"/>
    <mergeCell ref="Q84:Q86"/>
    <mergeCell ref="R84:S86"/>
    <mergeCell ref="T84:U86"/>
    <mergeCell ref="V84:V86"/>
    <mergeCell ref="W84:W86"/>
    <mergeCell ref="Q82:Q83"/>
    <mergeCell ref="R82:S83"/>
    <mergeCell ref="T82:U83"/>
    <mergeCell ref="V82:V83"/>
    <mergeCell ref="W82:W83"/>
    <mergeCell ref="P82:P83"/>
    <mergeCell ref="A87:C87"/>
    <mergeCell ref="K87:L87"/>
    <mergeCell ref="R87:S87"/>
    <mergeCell ref="T87:U87"/>
    <mergeCell ref="A88:C89"/>
    <mergeCell ref="K88:L89"/>
    <mergeCell ref="M88:M89"/>
    <mergeCell ref="N88:N89"/>
    <mergeCell ref="O88:O89"/>
    <mergeCell ref="P88:P89"/>
    <mergeCell ref="Q88:Q89"/>
    <mergeCell ref="R88:S89"/>
    <mergeCell ref="T88:U89"/>
    <mergeCell ref="V88:V89"/>
    <mergeCell ref="W88:W89"/>
    <mergeCell ref="A90:C90"/>
    <mergeCell ref="K90:L90"/>
    <mergeCell ref="R90:S90"/>
    <mergeCell ref="T90:U90"/>
    <mergeCell ref="A96:C98"/>
    <mergeCell ref="K96:L99"/>
    <mergeCell ref="M96:M98"/>
    <mergeCell ref="N96:N98"/>
    <mergeCell ref="O96:O98"/>
    <mergeCell ref="A91:C95"/>
    <mergeCell ref="K91:L95"/>
    <mergeCell ref="M91:M95"/>
    <mergeCell ref="N91:N95"/>
    <mergeCell ref="O91:O95"/>
    <mergeCell ref="P96:P98"/>
    <mergeCell ref="Q96:Q98"/>
    <mergeCell ref="R96:S99"/>
    <mergeCell ref="T96:U99"/>
    <mergeCell ref="V96:V99"/>
    <mergeCell ref="W96:W99"/>
    <mergeCell ref="Q91:Q95"/>
    <mergeCell ref="R91:S95"/>
    <mergeCell ref="W91:W95"/>
    <mergeCell ref="P91:P95"/>
    <mergeCell ref="W100:W101"/>
    <mergeCell ref="A102:C103"/>
    <mergeCell ref="D102:J103"/>
    <mergeCell ref="K102:L103"/>
    <mergeCell ref="R102:S103"/>
    <mergeCell ref="T102:U103"/>
    <mergeCell ref="V102:V103"/>
    <mergeCell ref="W102:W103"/>
    <mergeCell ref="A100:C101"/>
    <mergeCell ref="D100:J101"/>
    <mergeCell ref="K100:L101"/>
    <mergeCell ref="R100:S101"/>
    <mergeCell ref="T100:U101"/>
    <mergeCell ref="V100:V101"/>
    <mergeCell ref="A104:C105"/>
    <mergeCell ref="K104:L105"/>
    <mergeCell ref="M104:M105"/>
    <mergeCell ref="N104:N105"/>
    <mergeCell ref="O104:O105"/>
    <mergeCell ref="P106:P107"/>
    <mergeCell ref="P104:P105"/>
    <mergeCell ref="T91:U95"/>
    <mergeCell ref="V91:V95"/>
    <mergeCell ref="W106:W107"/>
    <mergeCell ref="Q104:Q105"/>
    <mergeCell ref="R104:S105"/>
    <mergeCell ref="T104:U105"/>
    <mergeCell ref="V104:V105"/>
    <mergeCell ref="W104:W105"/>
    <mergeCell ref="M106:M107"/>
    <mergeCell ref="N106:N107"/>
    <mergeCell ref="O106:O107"/>
    <mergeCell ref="A112:C112"/>
    <mergeCell ref="D112:J112"/>
    <mergeCell ref="K112:L112"/>
    <mergeCell ref="A113:C113"/>
    <mergeCell ref="D113:J113"/>
    <mergeCell ref="Q106:Q107"/>
    <mergeCell ref="R106:S107"/>
    <mergeCell ref="T106:U107"/>
    <mergeCell ref="V106:V107"/>
    <mergeCell ref="Q108:Q109"/>
    <mergeCell ref="R108:S110"/>
    <mergeCell ref="T108:U110"/>
    <mergeCell ref="V108:V110"/>
    <mergeCell ref="K113:L113"/>
    <mergeCell ref="W108:W110"/>
    <mergeCell ref="A111:C111"/>
    <mergeCell ref="D111:J111"/>
    <mergeCell ref="K111:L111"/>
    <mergeCell ref="R111:S111"/>
    <mergeCell ref="T111:U111"/>
    <mergeCell ref="A108:C109"/>
    <mergeCell ref="K108:L110"/>
    <mergeCell ref="M108:M109"/>
    <mergeCell ref="N108:N109"/>
    <mergeCell ref="O108:O109"/>
    <mergeCell ref="P108:P109"/>
    <mergeCell ref="A114:C114"/>
    <mergeCell ref="D114:J114"/>
    <mergeCell ref="K114:L114"/>
    <mergeCell ref="R117:S117"/>
    <mergeCell ref="T117:U117"/>
    <mergeCell ref="A119:C119"/>
    <mergeCell ref="D119:J119"/>
    <mergeCell ref="K119:L119"/>
    <mergeCell ref="R119:S119"/>
    <mergeCell ref="T119:U119"/>
    <mergeCell ref="A118:C118"/>
    <mergeCell ref="D118:J118"/>
    <mergeCell ref="K118:L118"/>
    <mergeCell ref="A117:C117"/>
    <mergeCell ref="D117:J117"/>
    <mergeCell ref="K117:L117"/>
    <mergeCell ref="A115:C115"/>
    <mergeCell ref="D115:J115"/>
    <mergeCell ref="K115:L115"/>
    <mergeCell ref="R125:S125"/>
    <mergeCell ref="T125:U125"/>
    <mergeCell ref="A126:C126"/>
    <mergeCell ref="D126:J126"/>
    <mergeCell ref="K126:L126"/>
    <mergeCell ref="R126:S126"/>
    <mergeCell ref="T126:U126"/>
    <mergeCell ref="A127:C127"/>
    <mergeCell ref="D127:J127"/>
    <mergeCell ref="K127:L127"/>
    <mergeCell ref="R127:S127"/>
    <mergeCell ref="T127:U127"/>
    <mergeCell ref="A129:C129"/>
    <mergeCell ref="D129:J129"/>
    <mergeCell ref="K129:L129"/>
    <mergeCell ref="R129:S129"/>
    <mergeCell ref="T129:U129"/>
    <mergeCell ref="P131:P132"/>
    <mergeCell ref="Q131:Q132"/>
    <mergeCell ref="R131:S132"/>
    <mergeCell ref="T131:U132"/>
    <mergeCell ref="V131:V132"/>
    <mergeCell ref="W131:W132"/>
    <mergeCell ref="A130:C130"/>
    <mergeCell ref="D130:J130"/>
    <mergeCell ref="K130:L130"/>
    <mergeCell ref="R130:S130"/>
    <mergeCell ref="T130:U130"/>
    <mergeCell ref="A131:C132"/>
    <mergeCell ref="K131:L132"/>
    <mergeCell ref="M131:M132"/>
    <mergeCell ref="N131:N132"/>
    <mergeCell ref="O131:O132"/>
  </mergeCells>
  <printOptions horizontalCentered="1"/>
  <pageMargins left="0.39370078740157483" right="0.27559055118110237" top="0.27559055118110237" bottom="0.15748031496062992" header="0.27559055118110237" footer="0.15748031496062992"/>
  <pageSetup paperSize="9" scale="50" orientation="portrait" r:id="rId1"/>
  <headerFooter alignWithMargins="0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Y386"/>
  <sheetViews>
    <sheetView topLeftCell="A18" zoomScale="90" zoomScaleNormal="90" zoomScaleSheetLayoutView="86" workbookViewId="0">
      <selection activeCell="H38" sqref="H38"/>
    </sheetView>
  </sheetViews>
  <sheetFormatPr defaultColWidth="9.1796875" defaultRowHeight="12.5" x14ac:dyDescent="0.25"/>
  <cols>
    <col min="1" max="1" width="5.26953125" style="1" customWidth="1"/>
    <col min="2" max="2" width="62.453125" style="6" customWidth="1"/>
    <col min="3" max="3" width="10" style="5" customWidth="1"/>
    <col min="4" max="4" width="9.26953125" style="4" customWidth="1"/>
    <col min="5" max="5" width="10.453125" style="4" customWidth="1"/>
    <col min="6" max="6" width="11.54296875" style="4" customWidth="1"/>
    <col min="7" max="7" width="10.26953125" style="4" customWidth="1"/>
    <col min="8" max="8" width="14.7265625" style="263" customWidth="1"/>
    <col min="9" max="9" width="18.7265625" style="263" hidden="1" customWidth="1"/>
    <col min="10" max="10" width="15.7265625" style="1" hidden="1" customWidth="1"/>
    <col min="11" max="11" width="11.1796875" style="1" hidden="1" customWidth="1"/>
    <col min="12" max="12" width="14.7265625" style="1" hidden="1" customWidth="1"/>
    <col min="13" max="13" width="13.1796875" style="1" hidden="1" customWidth="1"/>
    <col min="14" max="14" width="14.7265625" style="263" customWidth="1"/>
    <col min="15" max="16" width="8.81640625" style="1" hidden="1" customWidth="1"/>
    <col min="17" max="17" width="15.453125" style="1" hidden="1" customWidth="1"/>
    <col min="18" max="20" width="9.1796875" style="1" hidden="1" customWidth="1"/>
    <col min="21" max="21" width="14.7265625" style="263" customWidth="1"/>
    <col min="22" max="22" width="10.453125" style="1" hidden="1" customWidth="1"/>
    <col min="23" max="24" width="10.1796875" style="1" hidden="1" customWidth="1"/>
    <col min="25" max="25" width="0" style="1" hidden="1" customWidth="1"/>
    <col min="26" max="16384" width="9.1796875" style="1"/>
  </cols>
  <sheetData>
    <row r="1" spans="1:22" ht="15.5" x14ac:dyDescent="0.35">
      <c r="E1" s="1030"/>
      <c r="F1" s="1030"/>
      <c r="G1" s="1030"/>
      <c r="H1" s="1811"/>
      <c r="I1" s="261"/>
      <c r="J1" s="261"/>
      <c r="K1" s="261"/>
      <c r="L1" s="261"/>
      <c r="M1" s="261"/>
      <c r="O1" s="261"/>
      <c r="P1" s="261"/>
      <c r="Q1" s="261"/>
      <c r="R1" s="261"/>
      <c r="U1" s="1811" t="s">
        <v>946</v>
      </c>
    </row>
    <row r="2" spans="1:22" ht="15.5" x14ac:dyDescent="0.35">
      <c r="E2" s="261"/>
      <c r="F2" s="261"/>
      <c r="G2" s="261"/>
      <c r="H2" s="1811"/>
      <c r="I2" s="261"/>
      <c r="J2" s="261"/>
      <c r="K2" s="261"/>
      <c r="L2" s="261"/>
      <c r="M2" s="261"/>
      <c r="P2" s="261"/>
      <c r="Q2" s="261"/>
      <c r="R2" s="261"/>
      <c r="U2" s="1811" t="s">
        <v>450</v>
      </c>
    </row>
    <row r="3" spans="1:22" ht="15.5" x14ac:dyDescent="0.35">
      <c r="E3" s="261"/>
      <c r="F3" s="261"/>
      <c r="G3" s="261"/>
      <c r="H3" s="1811"/>
      <c r="I3" s="261"/>
      <c r="J3" s="261"/>
      <c r="K3" s="261"/>
      <c r="L3" s="261"/>
      <c r="M3" s="261"/>
      <c r="O3" s="261"/>
      <c r="P3" s="261"/>
      <c r="Q3" s="261"/>
      <c r="R3" s="261"/>
      <c r="U3" s="1811" t="s">
        <v>449</v>
      </c>
    </row>
    <row r="4" spans="1:22" ht="15.5" x14ac:dyDescent="0.35">
      <c r="E4" s="261"/>
      <c r="F4" s="261"/>
      <c r="G4" s="261"/>
      <c r="H4" s="1811"/>
      <c r="I4" s="261"/>
      <c r="J4" s="261"/>
      <c r="K4" s="261"/>
      <c r="L4" s="261"/>
      <c r="M4" s="261"/>
      <c r="O4" s="261"/>
      <c r="P4" s="261"/>
      <c r="Q4" s="261"/>
      <c r="R4" s="261"/>
      <c r="U4" s="1811" t="s">
        <v>448</v>
      </c>
    </row>
    <row r="5" spans="1:22" ht="15.5" x14ac:dyDescent="0.25">
      <c r="E5" s="388"/>
      <c r="F5" s="388"/>
      <c r="G5" s="388"/>
      <c r="H5" s="3164" t="s">
        <v>991</v>
      </c>
      <c r="I5" s="3164"/>
      <c r="J5" s="3164"/>
      <c r="K5" s="3164"/>
      <c r="L5" s="3164"/>
      <c r="M5" s="3164"/>
      <c r="N5" s="3164"/>
      <c r="O5" s="3164"/>
      <c r="P5" s="3164"/>
      <c r="Q5" s="3164"/>
      <c r="R5" s="3164"/>
      <c r="S5" s="3164"/>
      <c r="T5" s="3164"/>
      <c r="U5" s="3164"/>
      <c r="V5" s="258"/>
    </row>
    <row r="6" spans="1:22" ht="15.5" x14ac:dyDescent="0.35">
      <c r="I6" s="4"/>
      <c r="J6" s="4"/>
      <c r="K6" s="4"/>
      <c r="L6" s="4"/>
      <c r="M6" s="263"/>
      <c r="O6" s="1811"/>
      <c r="P6" s="1811"/>
      <c r="Q6" s="1811"/>
      <c r="R6" s="1811"/>
    </row>
    <row r="7" spans="1:22" ht="15.5" hidden="1" x14ac:dyDescent="0.35">
      <c r="E7" s="254"/>
      <c r="F7" s="254"/>
      <c r="G7" s="254"/>
      <c r="H7" s="1812" t="s">
        <v>446</v>
      </c>
      <c r="I7" s="4"/>
      <c r="J7" s="254"/>
      <c r="K7" s="254"/>
      <c r="L7" s="254"/>
      <c r="M7" s="1812"/>
      <c r="N7" s="1812" t="s">
        <v>446</v>
      </c>
      <c r="O7" s="1811"/>
      <c r="P7" s="1811"/>
      <c r="Q7" s="1811"/>
      <c r="R7" s="1811"/>
      <c r="U7" s="1812" t="s">
        <v>446</v>
      </c>
    </row>
    <row r="8" spans="1:22" ht="15.5" hidden="1" x14ac:dyDescent="0.35">
      <c r="E8" s="254"/>
      <c r="F8" s="254"/>
      <c r="G8" s="254"/>
      <c r="H8" s="384"/>
      <c r="I8" s="4"/>
      <c r="J8" s="254"/>
      <c r="K8" s="254"/>
      <c r="L8" s="254"/>
      <c r="M8" s="384"/>
      <c r="N8" s="384"/>
      <c r="P8" s="1811"/>
      <c r="Q8" s="1811"/>
      <c r="U8" s="384"/>
    </row>
    <row r="9" spans="1:22" ht="15.5" hidden="1" x14ac:dyDescent="0.35">
      <c r="E9" s="254"/>
      <c r="F9" s="254"/>
      <c r="G9" s="254"/>
      <c r="H9" s="1812" t="s">
        <v>848</v>
      </c>
      <c r="I9" s="4"/>
      <c r="J9" s="254"/>
      <c r="K9" s="254"/>
      <c r="L9" s="254"/>
      <c r="M9" s="1812"/>
      <c r="N9" s="1812" t="s">
        <v>848</v>
      </c>
      <c r="O9" s="1811"/>
      <c r="P9" s="1811"/>
      <c r="Q9" s="1811"/>
      <c r="R9" s="1811"/>
      <c r="U9" s="1812" t="s">
        <v>848</v>
      </c>
    </row>
    <row r="10" spans="1:22" ht="15.5" hidden="1" x14ac:dyDescent="0.35">
      <c r="H10" s="390"/>
      <c r="I10" s="391">
        <v>73707.5</v>
      </c>
      <c r="J10" s="4"/>
      <c r="K10" s="4"/>
      <c r="L10" s="4"/>
      <c r="M10" s="263"/>
      <c r="N10" s="390"/>
      <c r="O10" s="1811"/>
      <c r="P10" s="1811"/>
      <c r="Q10" s="1811"/>
      <c r="U10" s="390"/>
    </row>
    <row r="11" spans="1:22" ht="13" x14ac:dyDescent="0.3">
      <c r="G11" s="392"/>
      <c r="H11" s="393"/>
      <c r="I11" s="394">
        <v>3685.4</v>
      </c>
      <c r="N11" s="393"/>
      <c r="U11" s="393"/>
    </row>
    <row r="12" spans="1:22" ht="15.5" x14ac:dyDescent="0.3">
      <c r="B12" s="3387"/>
      <c r="C12" s="3387"/>
      <c r="D12" s="3387"/>
      <c r="E12" s="3387"/>
      <c r="F12" s="3387"/>
      <c r="G12" s="3387"/>
      <c r="H12" s="3387"/>
      <c r="I12" s="395" t="e">
        <f>I10-I11-#REF!</f>
        <v>#REF!</v>
      </c>
      <c r="N12" s="1"/>
      <c r="U12" s="1"/>
    </row>
    <row r="13" spans="1:22" ht="15.65" customHeight="1" x14ac:dyDescent="0.25">
      <c r="A13" s="3388" t="s">
        <v>614</v>
      </c>
      <c r="B13" s="3388"/>
      <c r="C13" s="3388"/>
      <c r="D13" s="3388"/>
      <c r="E13" s="3388"/>
      <c r="F13" s="3388"/>
      <c r="G13" s="3388"/>
      <c r="H13" s="3388"/>
      <c r="I13" s="3388"/>
      <c r="J13" s="3388"/>
      <c r="K13" s="3388"/>
      <c r="L13" s="3388"/>
      <c r="M13" s="3388"/>
      <c r="N13" s="3388"/>
      <c r="O13" s="3388"/>
      <c r="P13" s="3388"/>
      <c r="Q13" s="3388"/>
      <c r="R13" s="3388"/>
      <c r="S13" s="3388"/>
      <c r="T13" s="3388"/>
      <c r="U13" s="3388"/>
    </row>
    <row r="14" spans="1:22" ht="15.65" customHeight="1" x14ac:dyDescent="0.25">
      <c r="A14" s="3388" t="s">
        <v>613</v>
      </c>
      <c r="B14" s="3388"/>
      <c r="C14" s="3388"/>
      <c r="D14" s="3388"/>
      <c r="E14" s="3388"/>
      <c r="F14" s="3388"/>
      <c r="G14" s="3388"/>
      <c r="H14" s="3388"/>
      <c r="I14" s="3388"/>
      <c r="J14" s="3388"/>
      <c r="K14" s="3388"/>
      <c r="L14" s="3388"/>
      <c r="M14" s="3388"/>
      <c r="N14" s="3388"/>
      <c r="O14" s="3388"/>
      <c r="P14" s="3388"/>
      <c r="Q14" s="3388"/>
      <c r="R14" s="3388"/>
      <c r="S14" s="3388"/>
      <c r="T14" s="3388"/>
      <c r="U14" s="3388"/>
    </row>
    <row r="15" spans="1:22" ht="15" customHeight="1" x14ac:dyDescent="0.25">
      <c r="A15" s="3388" t="s">
        <v>995</v>
      </c>
      <c r="B15" s="3388"/>
      <c r="C15" s="3388"/>
      <c r="D15" s="3388"/>
      <c r="E15" s="3388"/>
      <c r="F15" s="3388"/>
      <c r="G15" s="3388"/>
      <c r="H15" s="3388"/>
      <c r="I15" s="3388"/>
      <c r="J15" s="3388"/>
      <c r="K15" s="3388"/>
      <c r="L15" s="3388"/>
      <c r="M15" s="3388"/>
      <c r="N15" s="3388"/>
      <c r="O15" s="3388"/>
      <c r="P15" s="3388"/>
      <c r="Q15" s="3388"/>
      <c r="R15" s="3388"/>
      <c r="S15" s="3388"/>
      <c r="T15" s="3388"/>
      <c r="U15" s="3388"/>
    </row>
    <row r="16" spans="1:22" ht="16" thickBot="1" x14ac:dyDescent="0.4">
      <c r="A16" s="375"/>
      <c r="B16" s="236"/>
      <c r="C16" s="235"/>
      <c r="D16" s="234"/>
      <c r="E16" s="234"/>
      <c r="F16" s="234"/>
      <c r="G16" s="234"/>
      <c r="H16" s="1157"/>
      <c r="I16" s="1816"/>
      <c r="N16" s="1157"/>
      <c r="U16" s="1157" t="s">
        <v>829</v>
      </c>
    </row>
    <row r="17" spans="1:21" ht="13" thickBot="1" x14ac:dyDescent="0.3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845</v>
      </c>
      <c r="I17" s="846" t="s">
        <v>604</v>
      </c>
      <c r="J17" s="368" t="s">
        <v>603</v>
      </c>
      <c r="N17" s="1162" t="s">
        <v>904</v>
      </c>
      <c r="U17" s="1673" t="s">
        <v>996</v>
      </c>
    </row>
    <row r="18" spans="1:21" ht="13.5" thickBot="1" x14ac:dyDescent="0.3">
      <c r="A18" s="1163"/>
      <c r="B18" s="1164" t="s">
        <v>618</v>
      </c>
      <c r="C18" s="1165"/>
      <c r="D18" s="1166"/>
      <c r="E18" s="1166"/>
      <c r="F18" s="1166"/>
      <c r="G18" s="1659"/>
      <c r="H18" s="1674">
        <f>H20</f>
        <v>96919.736000000004</v>
      </c>
      <c r="I18" s="847">
        <f>I19+I53+I363</f>
        <v>78942.399999999994</v>
      </c>
      <c r="J18" s="363">
        <f>J19+J53+J363</f>
        <v>79872.899999999994</v>
      </c>
      <c r="K18" s="1438">
        <f>K21+K118+K139+K145+K177+K183+K194+K210+K213+K218+K241+K279+K288+K310+K327+K351</f>
        <v>94361.999951999998</v>
      </c>
      <c r="L18" s="237">
        <v>95708.6</v>
      </c>
      <c r="M18" s="237">
        <f>H18-L18</f>
        <v>1211.1359999999986</v>
      </c>
      <c r="N18" s="1167">
        <f>N20</f>
        <v>94576.186999999991</v>
      </c>
      <c r="U18" s="1674">
        <f>U20</f>
        <v>94721.56</v>
      </c>
    </row>
    <row r="19" spans="1:21" ht="21.5" hidden="1" thickBot="1" x14ac:dyDescent="0.3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25493.936999999998</v>
      </c>
      <c r="I19" s="848">
        <f>I21</f>
        <v>2531.0699999999997</v>
      </c>
      <c r="J19" s="292">
        <f>J21</f>
        <v>2637.06</v>
      </c>
      <c r="N19" s="1170">
        <f>N21</f>
        <v>24974.25</v>
      </c>
      <c r="U19" s="1675">
        <f>U21</f>
        <v>25943.338</v>
      </c>
    </row>
    <row r="20" spans="1:21" ht="23.5" thickBot="1" x14ac:dyDescent="0.3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H21+H116+H142+H191+H276+H286++H309+H327+H108+H352</f>
        <v>96919.736000000004</v>
      </c>
      <c r="I20" s="848">
        <f>I21+I91+I117+I166+I240+I251+I282+I297+I83</f>
        <v>44063.945</v>
      </c>
      <c r="J20" s="293">
        <f>J21+J91+J117+J166+J240+J251+J282+J297+J83</f>
        <v>42129.229999999996</v>
      </c>
      <c r="N20" s="1170">
        <f>N21+N116+N142+N191+N276+N286++N309+N327+N108+N352</f>
        <v>94576.186999999991</v>
      </c>
      <c r="U20" s="1675">
        <f>U21+U116+U142+U191+U276+U286++U309+U327+U108+U352</f>
        <v>94721.56</v>
      </c>
    </row>
    <row r="21" spans="1:21" x14ac:dyDescent="0.25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H28+H34+H55+H73+H85+H91</f>
        <v>25493.936999999998</v>
      </c>
      <c r="I21" s="849">
        <f>I22+I34+I47</f>
        <v>2531.0699999999997</v>
      </c>
      <c r="J21" s="287">
        <f>J22+J34+J47</f>
        <v>2637.06</v>
      </c>
      <c r="K21" s="1440">
        <f>K33+K39+K40+K41+K60+K61+K62+K64+K66+K72+K78+K90+K94+K95+K96+K97</f>
        <v>24845.036951999999</v>
      </c>
      <c r="N21" s="1176">
        <f>N28+N34+N55+N73+N85+N91</f>
        <v>24974.25</v>
      </c>
      <c r="U21" s="1676">
        <f>U28+U34+U55+U73+U85+U91</f>
        <v>25943.338</v>
      </c>
    </row>
    <row r="22" spans="1:21" ht="21" hidden="1" x14ac:dyDescent="0.25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N22" s="1178"/>
      <c r="U22" s="1677"/>
    </row>
    <row r="23" spans="1:21" ht="21" hidden="1" x14ac:dyDescent="0.25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N23" s="1181"/>
      <c r="U23" s="1678"/>
    </row>
    <row r="24" spans="1:21" ht="21" hidden="1" x14ac:dyDescent="0.25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N24" s="1181"/>
      <c r="U24" s="1678"/>
    </row>
    <row r="25" spans="1:21" hidden="1" x14ac:dyDescent="0.25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N25" s="1181"/>
      <c r="U25" s="1678"/>
    </row>
    <row r="26" spans="1:21" ht="21" hidden="1" x14ac:dyDescent="0.25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N26" s="1181"/>
      <c r="U26" s="1678"/>
    </row>
    <row r="27" spans="1:21" hidden="1" x14ac:dyDescent="0.25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N27" s="1181"/>
      <c r="U27" s="1678"/>
    </row>
    <row r="28" spans="1:21" ht="23" x14ac:dyDescent="0.25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>
        <f>H29</f>
        <v>1694.001</v>
      </c>
      <c r="I28" s="851"/>
      <c r="J28" s="353"/>
      <c r="K28" s="237">
        <f>K33+K39+K40+K41</f>
        <v>3579.8849519999999</v>
      </c>
      <c r="L28" s="237">
        <f>K28-3579.885</f>
        <v>-4.8000000333559001E-5</v>
      </c>
      <c r="N28" s="1178">
        <f>N29</f>
        <v>1764.761</v>
      </c>
      <c r="U28" s="1677">
        <f>U29</f>
        <v>1832.232</v>
      </c>
    </row>
    <row r="29" spans="1:21" ht="24.75" customHeight="1" x14ac:dyDescent="0.25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>
        <f>H30</f>
        <v>1694.001</v>
      </c>
      <c r="I29" s="851"/>
      <c r="J29" s="353"/>
      <c r="N29" s="1181">
        <f>N30</f>
        <v>1764.761</v>
      </c>
      <c r="U29" s="1678">
        <f>U30</f>
        <v>1832.232</v>
      </c>
    </row>
    <row r="30" spans="1:21" ht="21" x14ac:dyDescent="0.25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>
        <f>H31</f>
        <v>1694.001</v>
      </c>
      <c r="I30" s="851"/>
      <c r="J30" s="353"/>
      <c r="N30" s="1181">
        <f>N31</f>
        <v>1764.761</v>
      </c>
      <c r="U30" s="1678">
        <f>U31</f>
        <v>1832.232</v>
      </c>
    </row>
    <row r="31" spans="1:21" x14ac:dyDescent="0.25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>
        <f>H32</f>
        <v>1694.001</v>
      </c>
      <c r="I31" s="851"/>
      <c r="J31" s="353"/>
      <c r="N31" s="1181">
        <f>N32</f>
        <v>1764.761</v>
      </c>
      <c r="U31" s="1678">
        <f>U32</f>
        <v>1832.232</v>
      </c>
    </row>
    <row r="32" spans="1:21" ht="21" x14ac:dyDescent="0.25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>
        <f>H33</f>
        <v>1694.001</v>
      </c>
      <c r="I32" s="851"/>
      <c r="J32" s="353"/>
      <c r="N32" s="1181">
        <f>N33</f>
        <v>1764.761</v>
      </c>
      <c r="U32" s="1678">
        <f>U33</f>
        <v>1832.232</v>
      </c>
    </row>
    <row r="33" spans="1:21" x14ac:dyDescent="0.25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>
        <v>1694.001</v>
      </c>
      <c r="I33" s="851"/>
      <c r="J33" s="353"/>
      <c r="K33" s="1">
        <f>1301.076*130.2/100</f>
        <v>1694.0009519999999</v>
      </c>
      <c r="N33" s="1181">
        <v>1764.761</v>
      </c>
      <c r="U33" s="1678">
        <v>1832.232</v>
      </c>
    </row>
    <row r="34" spans="1:21" ht="34.5" x14ac:dyDescent="0.25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7">
        <f>H35</f>
        <v>1885.884</v>
      </c>
      <c r="I34" s="850">
        <f>I35</f>
        <v>2531.0699999999997</v>
      </c>
      <c r="J34" s="355">
        <f>J35</f>
        <v>2637.06</v>
      </c>
      <c r="K34" s="237"/>
      <c r="L34" s="237"/>
      <c r="M34" s="237"/>
      <c r="N34" s="1178">
        <f>N35</f>
        <v>1958.319</v>
      </c>
      <c r="O34" s="237"/>
      <c r="P34" s="237"/>
      <c r="Q34" s="237"/>
      <c r="R34" s="237"/>
      <c r="S34" s="237"/>
      <c r="T34" s="237"/>
      <c r="U34" s="1677">
        <f>U35</f>
        <v>2039.7719999999999</v>
      </c>
    </row>
    <row r="35" spans="1:21" ht="26.25" customHeight="1" x14ac:dyDescent="0.25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>
        <f>H36+H43</f>
        <v>1885.884</v>
      </c>
      <c r="I35" s="851">
        <f>I36+I43</f>
        <v>2531.0699999999997</v>
      </c>
      <c r="J35" s="353">
        <f>J36+J43</f>
        <v>2637.06</v>
      </c>
      <c r="N35" s="1181">
        <f>N36+N43</f>
        <v>1958.319</v>
      </c>
      <c r="U35" s="1678">
        <f>U36+U43</f>
        <v>2039.7719999999999</v>
      </c>
    </row>
    <row r="36" spans="1:21" ht="27" customHeight="1" x14ac:dyDescent="0.25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>
        <f t="shared" ref="H36:J37" si="1">H37</f>
        <v>1885.884</v>
      </c>
      <c r="I36" s="851">
        <f t="shared" si="1"/>
        <v>1871.5079999999998</v>
      </c>
      <c r="J36" s="353">
        <f t="shared" si="1"/>
        <v>1911.5409999999999</v>
      </c>
      <c r="N36" s="1181">
        <f t="shared" ref="N36:N37" si="2">N37</f>
        <v>1958.319</v>
      </c>
      <c r="U36" s="1678">
        <f t="shared" ref="U36:U37" si="3">U37</f>
        <v>2039.7719999999999</v>
      </c>
    </row>
    <row r="37" spans="1:21" x14ac:dyDescent="0.25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>
        <f t="shared" si="1"/>
        <v>1885.884</v>
      </c>
      <c r="I37" s="851">
        <f t="shared" si="1"/>
        <v>1871.5079999999998</v>
      </c>
      <c r="J37" s="353">
        <f t="shared" si="1"/>
        <v>1911.5409999999999</v>
      </c>
      <c r="N37" s="1181">
        <f t="shared" si="2"/>
        <v>1958.319</v>
      </c>
      <c r="U37" s="1678">
        <f t="shared" si="3"/>
        <v>2039.7719999999999</v>
      </c>
    </row>
    <row r="38" spans="1:21" x14ac:dyDescent="0.25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>
        <f>H39+H40+H41</f>
        <v>1885.884</v>
      </c>
      <c r="I38" s="851">
        <f>I39+I40</f>
        <v>1871.5079999999998</v>
      </c>
      <c r="J38" s="353">
        <f>J39+J40</f>
        <v>1911.5409999999999</v>
      </c>
      <c r="N38" s="1181">
        <f>N39+N40+N41</f>
        <v>1958.319</v>
      </c>
      <c r="U38" s="1678">
        <f>U39+U40+U41</f>
        <v>2039.7719999999999</v>
      </c>
    </row>
    <row r="39" spans="1:21" x14ac:dyDescent="0.25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>
        <v>955.79899999999998</v>
      </c>
      <c r="I39" s="851">
        <v>672.428</v>
      </c>
      <c r="J39" s="352">
        <v>739.67200000000003</v>
      </c>
      <c r="K39" s="1">
        <v>955.79899999999998</v>
      </c>
      <c r="N39" s="1181">
        <v>994.03099999999995</v>
      </c>
      <c r="U39" s="1678">
        <v>1033.7919999999999</v>
      </c>
    </row>
    <row r="40" spans="1:21" ht="21" x14ac:dyDescent="0.25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680">
        <v>925.08500000000004</v>
      </c>
      <c r="I40" s="851">
        <v>1199.08</v>
      </c>
      <c r="J40" s="352">
        <v>1171.8689999999999</v>
      </c>
      <c r="K40" s="1031">
        <f>1068.271-143.186</f>
        <v>925.08499999999992</v>
      </c>
      <c r="N40" s="1186">
        <v>964.28800000000001</v>
      </c>
      <c r="U40" s="1680">
        <v>1005.98</v>
      </c>
    </row>
    <row r="41" spans="1:21" x14ac:dyDescent="0.25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680">
        <v>5</v>
      </c>
      <c r="I41" s="851"/>
      <c r="J41" s="1187"/>
      <c r="K41" s="1031">
        <v>5</v>
      </c>
      <c r="N41" s="1186"/>
      <c r="U41" s="1680"/>
    </row>
    <row r="42" spans="1:21" hidden="1" x14ac:dyDescent="0.25">
      <c r="A42" s="842"/>
      <c r="B42" s="1182"/>
      <c r="C42" s="1183"/>
      <c r="D42" s="409"/>
      <c r="E42" s="409"/>
      <c r="F42" s="409"/>
      <c r="G42" s="1662"/>
      <c r="H42" s="1680"/>
      <c r="I42" s="851"/>
      <c r="J42" s="1187"/>
      <c r="K42" s="1031"/>
      <c r="N42" s="1186"/>
      <c r="U42" s="1680"/>
    </row>
    <row r="43" spans="1:21" ht="31.5" hidden="1" x14ac:dyDescent="0.25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4">H44</f>
        <v>0</v>
      </c>
      <c r="I43" s="851">
        <f t="shared" si="4"/>
        <v>659.56200000000001</v>
      </c>
      <c r="J43" s="353">
        <f t="shared" si="4"/>
        <v>725.51900000000001</v>
      </c>
      <c r="N43" s="1181"/>
      <c r="U43" s="1678"/>
    </row>
    <row r="44" spans="1:21" hidden="1" x14ac:dyDescent="0.25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4"/>
        <v>0</v>
      </c>
      <c r="I44" s="851">
        <f t="shared" si="4"/>
        <v>659.56200000000001</v>
      </c>
      <c r="J44" s="353">
        <f t="shared" si="4"/>
        <v>725.51900000000001</v>
      </c>
      <c r="N44" s="1181"/>
      <c r="U44" s="1678"/>
    </row>
    <row r="45" spans="1:21" ht="21" hidden="1" x14ac:dyDescent="0.25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4"/>
        <v>0</v>
      </c>
      <c r="I45" s="851">
        <f t="shared" si="4"/>
        <v>659.56200000000001</v>
      </c>
      <c r="J45" s="353">
        <f t="shared" si="4"/>
        <v>725.51900000000001</v>
      </c>
      <c r="N45" s="1181"/>
      <c r="U45" s="1678"/>
    </row>
    <row r="46" spans="1:21" hidden="1" x14ac:dyDescent="0.25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1">
        <v>0</v>
      </c>
      <c r="N46" s="1181"/>
      <c r="U46" s="1678"/>
    </row>
    <row r="47" spans="1:21" ht="21" hidden="1" x14ac:dyDescent="0.25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5">I48</f>
        <v>0</v>
      </c>
      <c r="J47" s="354">
        <f t="shared" si="5"/>
        <v>0</v>
      </c>
      <c r="N47" s="1178"/>
      <c r="U47" s="1677"/>
    </row>
    <row r="48" spans="1:21" ht="21" hidden="1" x14ac:dyDescent="0.25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5"/>
        <v>0</v>
      </c>
      <c r="I48" s="851">
        <f t="shared" si="5"/>
        <v>0</v>
      </c>
      <c r="J48" s="352">
        <f t="shared" si="5"/>
        <v>0</v>
      </c>
      <c r="N48" s="1181">
        <f t="shared" ref="N48:N51" si="6">N49</f>
        <v>0</v>
      </c>
      <c r="U48" s="1678">
        <f t="shared" ref="U48:U51" si="7">U49</f>
        <v>0</v>
      </c>
    </row>
    <row r="49" spans="1:22" ht="21" hidden="1" x14ac:dyDescent="0.25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5"/>
        <v>0</v>
      </c>
      <c r="I49" s="851">
        <f t="shared" si="5"/>
        <v>0</v>
      </c>
      <c r="J49" s="352">
        <f t="shared" si="5"/>
        <v>0</v>
      </c>
      <c r="N49" s="1181">
        <f t="shared" si="6"/>
        <v>0</v>
      </c>
      <c r="U49" s="1678">
        <f t="shared" si="7"/>
        <v>0</v>
      </c>
    </row>
    <row r="50" spans="1:22" hidden="1" x14ac:dyDescent="0.25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5"/>
        <v>0</v>
      </c>
      <c r="I50" s="851">
        <f t="shared" si="5"/>
        <v>0</v>
      </c>
      <c r="J50" s="352">
        <f t="shared" si="5"/>
        <v>0</v>
      </c>
      <c r="N50" s="1181">
        <f t="shared" si="6"/>
        <v>0</v>
      </c>
      <c r="U50" s="1678">
        <f t="shared" si="7"/>
        <v>0</v>
      </c>
    </row>
    <row r="51" spans="1:22" ht="21" hidden="1" x14ac:dyDescent="0.25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5"/>
        <v>0</v>
      </c>
      <c r="I51" s="851">
        <f t="shared" si="5"/>
        <v>0</v>
      </c>
      <c r="J51" s="352">
        <f t="shared" si="5"/>
        <v>0</v>
      </c>
      <c r="N51" s="1181">
        <f t="shared" si="6"/>
        <v>0</v>
      </c>
      <c r="U51" s="1678">
        <f t="shared" si="7"/>
        <v>0</v>
      </c>
    </row>
    <row r="52" spans="1:22" hidden="1" x14ac:dyDescent="0.25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N52" s="1194"/>
      <c r="U52" s="1681"/>
    </row>
    <row r="53" spans="1:22" ht="23.5" hidden="1" thickBot="1" x14ac:dyDescent="0.3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H54+H116+H142+H191+H276+H287+H309+H327+H108</f>
        <v>88686.191999999995</v>
      </c>
      <c r="I53" s="848">
        <f>I54+I116+I142+I191+I276+I287+I309+I327+I108</f>
        <v>68198.73</v>
      </c>
      <c r="J53" s="293">
        <f>J54+J116+J142+J191+J276+J287+J309+J327+J108</f>
        <v>68972.84</v>
      </c>
      <c r="N53" s="1170">
        <f>N54+N116+N142+N191+N276+N287+N309+N327+N108</f>
        <v>86635.706999999995</v>
      </c>
      <c r="U53" s="1675">
        <f>U54+U116+U142+U191+U276+U287+U309+U327+U108</f>
        <v>86311.556000000011</v>
      </c>
    </row>
    <row r="54" spans="1:22" hidden="1" x14ac:dyDescent="0.25">
      <c r="A54" s="1195"/>
      <c r="B54" s="1173" t="s">
        <v>431</v>
      </c>
      <c r="C54" s="1174"/>
      <c r="D54" s="1175" t="s">
        <v>456</v>
      </c>
      <c r="E54" s="1175" t="s">
        <v>459</v>
      </c>
      <c r="F54" s="1175"/>
      <c r="G54" s="1660"/>
      <c r="H54" s="1676">
        <f>H55+H85+H91+H79</f>
        <v>21494.096999999998</v>
      </c>
      <c r="I54" s="849">
        <f>I55+I85+I91</f>
        <v>18535.740000000002</v>
      </c>
      <c r="J54" s="287">
        <f>J55+J85+J91</f>
        <v>19711.260000000002</v>
      </c>
      <c r="N54" s="1176">
        <f>N55+N85+N91+N79</f>
        <v>21251.17</v>
      </c>
      <c r="U54" s="1676">
        <f>U55+U85+U91+U79</f>
        <v>22071.333999999999</v>
      </c>
    </row>
    <row r="55" spans="1:22" ht="34.5" x14ac:dyDescent="0.25">
      <c r="A55" s="842"/>
      <c r="B55" s="1196" t="s">
        <v>105</v>
      </c>
      <c r="C55" s="1189"/>
      <c r="D55" s="408" t="s">
        <v>456</v>
      </c>
      <c r="E55" s="408" t="s">
        <v>452</v>
      </c>
      <c r="F55" s="408"/>
      <c r="G55" s="1661"/>
      <c r="H55" s="1677">
        <f>H56</f>
        <v>17729.852999999999</v>
      </c>
      <c r="I55" s="850">
        <f>I56</f>
        <v>15223.140000000001</v>
      </c>
      <c r="J55" s="355">
        <f>J56</f>
        <v>16197.52</v>
      </c>
      <c r="K55" s="237">
        <f>K60+K61+K62+K64+K66+K72+K78</f>
        <v>17500.908000000003</v>
      </c>
      <c r="L55" s="1">
        <f>18156.908</f>
        <v>18156.907999999999</v>
      </c>
      <c r="M55" s="237">
        <f>L55-K55</f>
        <v>655.99999999999636</v>
      </c>
      <c r="N55" s="1178">
        <f>N56</f>
        <v>17851.169999999998</v>
      </c>
      <c r="U55" s="1677">
        <f>U56</f>
        <v>18491.333999999999</v>
      </c>
      <c r="V55" s="237"/>
    </row>
    <row r="56" spans="1:22" ht="28.5" customHeight="1" x14ac:dyDescent="0.25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H57+H69</f>
        <v>17729.852999999999</v>
      </c>
      <c r="I56" s="851">
        <f>I57+I69</f>
        <v>15223.140000000001</v>
      </c>
      <c r="J56" s="353">
        <f>J57+J69</f>
        <v>16197.52</v>
      </c>
      <c r="N56" s="1181">
        <f>N57+N69</f>
        <v>17851.169999999998</v>
      </c>
      <c r="U56" s="1678">
        <f>U57+U69</f>
        <v>18491.333999999999</v>
      </c>
      <c r="V56" s="237"/>
    </row>
    <row r="57" spans="1:22" ht="30.75" customHeight="1" x14ac:dyDescent="0.25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16217.253000000001</v>
      </c>
      <c r="I57" s="851">
        <f>I58</f>
        <v>13595.477000000001</v>
      </c>
      <c r="J57" s="353">
        <f>J58</f>
        <v>14414.787</v>
      </c>
      <c r="N57" s="1181">
        <f>N58</f>
        <v>16278.065999999999</v>
      </c>
      <c r="U57" s="1678">
        <f>U58</f>
        <v>16855.306</v>
      </c>
    </row>
    <row r="58" spans="1:22" x14ac:dyDescent="0.25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H59+H63+H65+H67</f>
        <v>16217.253000000001</v>
      </c>
      <c r="I58" s="851">
        <f>I59+I63+I65+I67</f>
        <v>13595.477000000001</v>
      </c>
      <c r="J58" s="353">
        <f>J59+J63+J65+J67</f>
        <v>14414.787</v>
      </c>
      <c r="N58" s="1181">
        <f>N59+N63+N65+N67</f>
        <v>16278.065999999999</v>
      </c>
      <c r="U58" s="1678">
        <f>U59+U63+U65+U67</f>
        <v>16855.306</v>
      </c>
    </row>
    <row r="59" spans="1:22" x14ac:dyDescent="0.25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H60+H61+H62</f>
        <v>15859.153</v>
      </c>
      <c r="I59" s="851">
        <f>I60+I61</f>
        <v>13595.477000000001</v>
      </c>
      <c r="J59" s="353">
        <f>J60+J61</f>
        <v>14414.787</v>
      </c>
      <c r="N59" s="1181">
        <f>N60+N61+N62</f>
        <v>16278.065999999999</v>
      </c>
      <c r="U59" s="1678">
        <f>U60+U61+U62</f>
        <v>16855.306</v>
      </c>
    </row>
    <row r="60" spans="1:22" x14ac:dyDescent="0.25">
      <c r="A60" s="842"/>
      <c r="B60" s="1182" t="s">
        <v>571</v>
      </c>
      <c r="C60" s="1183"/>
      <c r="D60" s="409" t="s">
        <v>456</v>
      </c>
      <c r="E60" s="409" t="s">
        <v>452</v>
      </c>
      <c r="F60" s="409" t="s">
        <v>152</v>
      </c>
      <c r="G60" s="1662" t="s">
        <v>5</v>
      </c>
      <c r="H60" s="1678">
        <f>13742.608-127.234</f>
        <v>13615.374</v>
      </c>
      <c r="I60" s="851">
        <v>8998.8070000000007</v>
      </c>
      <c r="J60" s="352">
        <v>9997.6880000000001</v>
      </c>
      <c r="K60" s="1">
        <f>11012.345+22.735+0.6+3325.728-618.8</f>
        <v>13742.608</v>
      </c>
      <c r="N60" s="1181">
        <v>14292.312</v>
      </c>
      <c r="U60" s="1678">
        <v>14864</v>
      </c>
    </row>
    <row r="61" spans="1:22" ht="21" x14ac:dyDescent="0.25">
      <c r="A61" s="842"/>
      <c r="B61" s="1182" t="s">
        <v>454</v>
      </c>
      <c r="C61" s="1183"/>
      <c r="D61" s="409" t="s">
        <v>456</v>
      </c>
      <c r="E61" s="409" t="s">
        <v>452</v>
      </c>
      <c r="F61" s="409" t="s">
        <v>152</v>
      </c>
      <c r="G61" s="1662" t="s">
        <v>1</v>
      </c>
      <c r="H61" s="1678">
        <f>1457.645+127.234+648.9</f>
        <v>2233.779</v>
      </c>
      <c r="I61" s="851">
        <v>4596.67</v>
      </c>
      <c r="J61" s="352">
        <v>4417.0990000000002</v>
      </c>
      <c r="K61" s="1031">
        <f>1845.107-350.262-37.2</f>
        <v>1457.645</v>
      </c>
      <c r="N61" s="1181">
        <v>1985.7539999999999</v>
      </c>
      <c r="U61" s="1678">
        <v>1991.306</v>
      </c>
    </row>
    <row r="62" spans="1:22" x14ac:dyDescent="0.25">
      <c r="A62" s="842"/>
      <c r="B62" s="1198" t="s">
        <v>457</v>
      </c>
      <c r="C62" s="1183"/>
      <c r="D62" s="409" t="s">
        <v>456</v>
      </c>
      <c r="E62" s="409" t="s">
        <v>452</v>
      </c>
      <c r="F62" s="409" t="s">
        <v>152</v>
      </c>
      <c r="G62" s="1662" t="s">
        <v>91</v>
      </c>
      <c r="H62" s="1678">
        <v>10</v>
      </c>
      <c r="I62" s="851"/>
      <c r="J62" s="352"/>
      <c r="K62" s="1031">
        <v>10</v>
      </c>
      <c r="N62" s="1181"/>
      <c r="U62" s="1678"/>
    </row>
    <row r="63" spans="1:22" ht="21" x14ac:dyDescent="0.25">
      <c r="A63" s="842"/>
      <c r="B63" s="1199" t="s">
        <v>151</v>
      </c>
      <c r="C63" s="1188"/>
      <c r="D63" s="409" t="s">
        <v>456</v>
      </c>
      <c r="E63" s="409" t="s">
        <v>452</v>
      </c>
      <c r="F63" s="409" t="s">
        <v>623</v>
      </c>
      <c r="G63" s="1662"/>
      <c r="H63" s="1682">
        <f>H64</f>
        <v>50.6</v>
      </c>
      <c r="I63" s="529">
        <f>I64</f>
        <v>0</v>
      </c>
      <c r="J63" s="269">
        <f>J64</f>
        <v>0</v>
      </c>
      <c r="N63" s="1200"/>
      <c r="U63" s="1682"/>
    </row>
    <row r="64" spans="1:22" x14ac:dyDescent="0.25">
      <c r="A64" s="842"/>
      <c r="B64" s="1182" t="s">
        <v>575</v>
      </c>
      <c r="C64" s="1183"/>
      <c r="D64" s="409" t="s">
        <v>456</v>
      </c>
      <c r="E64" s="409" t="s">
        <v>452</v>
      </c>
      <c r="F64" s="409" t="s">
        <v>623</v>
      </c>
      <c r="G64" s="1662" t="s">
        <v>120</v>
      </c>
      <c r="H64" s="1682">
        <v>50.6</v>
      </c>
      <c r="I64" s="529"/>
      <c r="J64" s="269"/>
      <c r="K64" s="1">
        <v>50.6</v>
      </c>
      <c r="N64" s="1200"/>
      <c r="U64" s="1682"/>
    </row>
    <row r="65" spans="1:21" ht="21" x14ac:dyDescent="0.25">
      <c r="A65" s="842"/>
      <c r="B65" s="1201" t="s">
        <v>149</v>
      </c>
      <c r="C65" s="1188"/>
      <c r="D65" s="409" t="s">
        <v>456</v>
      </c>
      <c r="E65" s="409" t="s">
        <v>452</v>
      </c>
      <c r="F65" s="409" t="s">
        <v>148</v>
      </c>
      <c r="G65" s="1662"/>
      <c r="H65" s="1682">
        <f>H66</f>
        <v>307.5</v>
      </c>
      <c r="I65" s="529">
        <f>I66</f>
        <v>0</v>
      </c>
      <c r="J65" s="269">
        <f>J66</f>
        <v>0</v>
      </c>
      <c r="N65" s="1200"/>
      <c r="U65" s="1682"/>
    </row>
    <row r="66" spans="1:21" x14ac:dyDescent="0.25">
      <c r="A66" s="842"/>
      <c r="B66" s="1182" t="s">
        <v>575</v>
      </c>
      <c r="C66" s="1183"/>
      <c r="D66" s="409" t="s">
        <v>456</v>
      </c>
      <c r="E66" s="409" t="s">
        <v>452</v>
      </c>
      <c r="F66" s="409" t="s">
        <v>148</v>
      </c>
      <c r="G66" s="1662" t="s">
        <v>120</v>
      </c>
      <c r="H66" s="1682">
        <v>307.5</v>
      </c>
      <c r="I66" s="529"/>
      <c r="J66" s="269"/>
      <c r="K66" s="1">
        <v>307.5</v>
      </c>
      <c r="N66" s="1200"/>
      <c r="U66" s="1682"/>
    </row>
    <row r="67" spans="1:21" ht="31.5" hidden="1" x14ac:dyDescent="0.25">
      <c r="A67" s="842"/>
      <c r="B67" s="1202" t="s">
        <v>145</v>
      </c>
      <c r="C67" s="1183"/>
      <c r="D67" s="409" t="s">
        <v>456</v>
      </c>
      <c r="E67" s="409" t="s">
        <v>452</v>
      </c>
      <c r="F67" s="409" t="s">
        <v>144</v>
      </c>
      <c r="G67" s="1662"/>
      <c r="H67" s="1682">
        <f>H68</f>
        <v>0</v>
      </c>
      <c r="I67" s="529">
        <f>I68</f>
        <v>0</v>
      </c>
      <c r="J67" s="269">
        <f>J68</f>
        <v>0</v>
      </c>
      <c r="N67" s="1200">
        <f>N68</f>
        <v>0</v>
      </c>
      <c r="U67" s="1682">
        <f>U68</f>
        <v>0</v>
      </c>
    </row>
    <row r="68" spans="1:21" hidden="1" x14ac:dyDescent="0.25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144</v>
      </c>
      <c r="G68" s="1662" t="s">
        <v>120</v>
      </c>
      <c r="H68" s="1682">
        <v>0</v>
      </c>
      <c r="I68" s="529"/>
      <c r="J68" s="269"/>
      <c r="N68" s="1200">
        <v>0</v>
      </c>
      <c r="U68" s="1682">
        <v>0</v>
      </c>
    </row>
    <row r="69" spans="1:21" ht="31.5" x14ac:dyDescent="0.25">
      <c r="A69" s="842"/>
      <c r="B69" s="1203" t="s">
        <v>111</v>
      </c>
      <c r="C69" s="1183"/>
      <c r="D69" s="409" t="s">
        <v>456</v>
      </c>
      <c r="E69" s="409" t="s">
        <v>452</v>
      </c>
      <c r="F69" s="1204" t="s">
        <v>110</v>
      </c>
      <c r="G69" s="1662"/>
      <c r="H69" s="1682">
        <f>H70</f>
        <v>1512.6</v>
      </c>
      <c r="I69" s="529">
        <f t="shared" ref="I69:J71" si="8">I70</f>
        <v>1627.663</v>
      </c>
      <c r="J69" s="269">
        <f t="shared" si="8"/>
        <v>1782.7329999999999</v>
      </c>
      <c r="N69" s="1200">
        <f>N70</f>
        <v>1573.104</v>
      </c>
      <c r="U69" s="1682">
        <f>U70</f>
        <v>1636.028</v>
      </c>
    </row>
    <row r="70" spans="1:21" x14ac:dyDescent="0.25">
      <c r="A70" s="842"/>
      <c r="B70" s="1197" t="s">
        <v>109</v>
      </c>
      <c r="C70" s="1183"/>
      <c r="D70" s="409" t="s">
        <v>456</v>
      </c>
      <c r="E70" s="409" t="s">
        <v>452</v>
      </c>
      <c r="F70" s="1204" t="s">
        <v>108</v>
      </c>
      <c r="G70" s="1662"/>
      <c r="H70" s="1682">
        <f>H71</f>
        <v>1512.6</v>
      </c>
      <c r="I70" s="529">
        <f t="shared" si="8"/>
        <v>1627.663</v>
      </c>
      <c r="J70" s="269">
        <f t="shared" si="8"/>
        <v>1782.7329999999999</v>
      </c>
      <c r="N70" s="1200">
        <f>N71</f>
        <v>1573.104</v>
      </c>
      <c r="U70" s="1682">
        <f>U71</f>
        <v>1636.028</v>
      </c>
    </row>
    <row r="71" spans="1:21" ht="21" x14ac:dyDescent="0.25">
      <c r="A71" s="842"/>
      <c r="B71" s="1205" t="s">
        <v>107</v>
      </c>
      <c r="C71" s="1183"/>
      <c r="D71" s="409" t="s">
        <v>456</v>
      </c>
      <c r="E71" s="409" t="s">
        <v>452</v>
      </c>
      <c r="F71" s="1204" t="s">
        <v>104</v>
      </c>
      <c r="G71" s="1662"/>
      <c r="H71" s="1682">
        <f>H72</f>
        <v>1512.6</v>
      </c>
      <c r="I71" s="529">
        <f t="shared" si="8"/>
        <v>1627.663</v>
      </c>
      <c r="J71" s="269">
        <f t="shared" si="8"/>
        <v>1782.7329999999999</v>
      </c>
      <c r="N71" s="1200">
        <f>N72</f>
        <v>1573.104</v>
      </c>
      <c r="U71" s="1682">
        <f>U72</f>
        <v>1636.028</v>
      </c>
    </row>
    <row r="72" spans="1:21" x14ac:dyDescent="0.25">
      <c r="A72" s="842"/>
      <c r="B72" s="1182" t="s">
        <v>571</v>
      </c>
      <c r="C72" s="1183"/>
      <c r="D72" s="409" t="s">
        <v>456</v>
      </c>
      <c r="E72" s="409" t="s">
        <v>452</v>
      </c>
      <c r="F72" s="1204" t="s">
        <v>104</v>
      </c>
      <c r="G72" s="1662" t="s">
        <v>5</v>
      </c>
      <c r="H72" s="1682">
        <v>1512.6</v>
      </c>
      <c r="I72" s="529">
        <v>1627.663</v>
      </c>
      <c r="J72" s="269">
        <v>1782.7329999999999</v>
      </c>
      <c r="K72" s="1">
        <f>1161.751+350.849</f>
        <v>1512.6</v>
      </c>
      <c r="N72" s="1200">
        <v>1573.104</v>
      </c>
      <c r="U72" s="1682">
        <v>1636.028</v>
      </c>
    </row>
    <row r="73" spans="1:21" s="760" customFormat="1" ht="23" x14ac:dyDescent="0.3">
      <c r="A73" s="842"/>
      <c r="B73" s="1206" t="s">
        <v>122</v>
      </c>
      <c r="C73" s="1207"/>
      <c r="D73" s="408" t="s">
        <v>456</v>
      </c>
      <c r="E73" s="408" t="s">
        <v>585</v>
      </c>
      <c r="F73" s="763"/>
      <c r="G73" s="1661"/>
      <c r="H73" s="1683">
        <f>H74</f>
        <v>419.95499999999998</v>
      </c>
      <c r="I73" s="841"/>
      <c r="J73" s="276"/>
      <c r="N73" s="1208"/>
      <c r="U73" s="1683"/>
    </row>
    <row r="74" spans="1:21" ht="21" x14ac:dyDescent="0.25">
      <c r="A74" s="842"/>
      <c r="B74" s="1209" t="s">
        <v>588</v>
      </c>
      <c r="C74" s="1183"/>
      <c r="D74" s="409" t="s">
        <v>456</v>
      </c>
      <c r="E74" s="409" t="s">
        <v>585</v>
      </c>
      <c r="F74" s="1204" t="s">
        <v>157</v>
      </c>
      <c r="G74" s="1662"/>
      <c r="H74" s="1682">
        <f>H75</f>
        <v>419.95499999999998</v>
      </c>
      <c r="I74" s="529"/>
      <c r="J74" s="269"/>
      <c r="N74" s="1200"/>
      <c r="U74" s="1682"/>
    </row>
    <row r="75" spans="1:21" ht="21" x14ac:dyDescent="0.25">
      <c r="A75" s="842"/>
      <c r="B75" s="1209" t="s">
        <v>587</v>
      </c>
      <c r="C75" s="1183"/>
      <c r="D75" s="409" t="s">
        <v>456</v>
      </c>
      <c r="E75" s="409" t="s">
        <v>585</v>
      </c>
      <c r="F75" s="1204" t="s">
        <v>155</v>
      </c>
      <c r="G75" s="1662"/>
      <c r="H75" s="1682">
        <f>H76</f>
        <v>419.95499999999998</v>
      </c>
      <c r="I75" s="529"/>
      <c r="J75" s="269"/>
      <c r="N75" s="1200"/>
      <c r="U75" s="1682"/>
    </row>
    <row r="76" spans="1:21" x14ac:dyDescent="0.25">
      <c r="A76" s="842"/>
      <c r="B76" s="1209" t="s">
        <v>582</v>
      </c>
      <c r="C76" s="1183"/>
      <c r="D76" s="409" t="s">
        <v>456</v>
      </c>
      <c r="E76" s="409" t="s">
        <v>585</v>
      </c>
      <c r="F76" s="1204" t="s">
        <v>154</v>
      </c>
      <c r="G76" s="1662"/>
      <c r="H76" s="1682">
        <f>H77</f>
        <v>419.95499999999998</v>
      </c>
      <c r="I76" s="529"/>
      <c r="J76" s="269"/>
      <c r="N76" s="1200"/>
      <c r="U76" s="1682"/>
    </row>
    <row r="77" spans="1:21" ht="21" x14ac:dyDescent="0.25">
      <c r="A77" s="842"/>
      <c r="B77" s="1209" t="s">
        <v>586</v>
      </c>
      <c r="C77" s="1183"/>
      <c r="D77" s="409" t="s">
        <v>456</v>
      </c>
      <c r="E77" s="409" t="s">
        <v>585</v>
      </c>
      <c r="F77" s="1204" t="s">
        <v>129</v>
      </c>
      <c r="G77" s="1662"/>
      <c r="H77" s="1682">
        <f>H78</f>
        <v>419.95499999999998</v>
      </c>
      <c r="I77" s="529"/>
      <c r="J77" s="269"/>
      <c r="N77" s="1200"/>
      <c r="U77" s="1682"/>
    </row>
    <row r="78" spans="1:21" x14ac:dyDescent="0.25">
      <c r="A78" s="842"/>
      <c r="B78" s="1198" t="s">
        <v>575</v>
      </c>
      <c r="C78" s="1183"/>
      <c r="D78" s="409" t="s">
        <v>456</v>
      </c>
      <c r="E78" s="409" t="s">
        <v>585</v>
      </c>
      <c r="F78" s="1204" t="s">
        <v>129</v>
      </c>
      <c r="G78" s="1662" t="s">
        <v>120</v>
      </c>
      <c r="H78" s="1682">
        <v>419.95499999999998</v>
      </c>
      <c r="I78" s="529"/>
      <c r="J78" s="269"/>
      <c r="K78" s="1">
        <v>419.95499999999998</v>
      </c>
      <c r="N78" s="1200"/>
      <c r="U78" s="1682"/>
    </row>
    <row r="79" spans="1:21" s="760" customFormat="1" ht="13" x14ac:dyDescent="0.3">
      <c r="A79" s="842"/>
      <c r="B79" s="1210" t="s">
        <v>419</v>
      </c>
      <c r="C79" s="408"/>
      <c r="D79" s="408" t="s">
        <v>456</v>
      </c>
      <c r="E79" s="408" t="s">
        <v>506</v>
      </c>
      <c r="F79" s="763"/>
      <c r="G79" s="1661"/>
      <c r="H79" s="1683">
        <f>H80</f>
        <v>0</v>
      </c>
      <c r="I79" s="841"/>
      <c r="J79" s="276"/>
      <c r="N79" s="1208">
        <f>N80</f>
        <v>0</v>
      </c>
      <c r="U79" s="1683">
        <f>U80</f>
        <v>0</v>
      </c>
    </row>
    <row r="80" spans="1:21" ht="21" x14ac:dyDescent="0.25">
      <c r="A80" s="1179"/>
      <c r="B80" s="762" t="s">
        <v>499</v>
      </c>
      <c r="C80" s="409"/>
      <c r="D80" s="409" t="s">
        <v>456</v>
      </c>
      <c r="E80" s="409" t="s">
        <v>506</v>
      </c>
      <c r="F80" s="409" t="s">
        <v>89</v>
      </c>
      <c r="G80" s="1662"/>
      <c r="H80" s="1682">
        <f>H81</f>
        <v>0</v>
      </c>
      <c r="I80" s="529"/>
      <c r="J80" s="269"/>
      <c r="N80" s="1200">
        <f>N81</f>
        <v>0</v>
      </c>
      <c r="U80" s="1682">
        <f>U81</f>
        <v>0</v>
      </c>
    </row>
    <row r="81" spans="1:21" x14ac:dyDescent="0.25">
      <c r="A81" s="842"/>
      <c r="B81" s="709" t="s">
        <v>109</v>
      </c>
      <c r="C81" s="409"/>
      <c r="D81" s="409" t="s">
        <v>456</v>
      </c>
      <c r="E81" s="409" t="s">
        <v>506</v>
      </c>
      <c r="F81" s="409" t="s">
        <v>581</v>
      </c>
      <c r="G81" s="1662"/>
      <c r="H81" s="1682">
        <f>H82</f>
        <v>0</v>
      </c>
      <c r="I81" s="529"/>
      <c r="J81" s="269"/>
      <c r="N81" s="1200">
        <f>N82</f>
        <v>0</v>
      </c>
      <c r="U81" s="1682">
        <f>U82</f>
        <v>0</v>
      </c>
    </row>
    <row r="82" spans="1:21" x14ac:dyDescent="0.25">
      <c r="A82" s="842"/>
      <c r="B82" s="709" t="s">
        <v>109</v>
      </c>
      <c r="C82" s="409"/>
      <c r="D82" s="409" t="s">
        <v>456</v>
      </c>
      <c r="E82" s="409" t="s">
        <v>506</v>
      </c>
      <c r="F82" s="409" t="s">
        <v>82</v>
      </c>
      <c r="G82" s="1662"/>
      <c r="H82" s="1682">
        <f>H83</f>
        <v>0</v>
      </c>
      <c r="I82" s="529"/>
      <c r="J82" s="269"/>
      <c r="N82" s="1200">
        <f>N83</f>
        <v>0</v>
      </c>
      <c r="U82" s="1682">
        <f>U83</f>
        <v>0</v>
      </c>
    </row>
    <row r="83" spans="1:21" ht="21" x14ac:dyDescent="0.25">
      <c r="A83" s="842"/>
      <c r="B83" s="1209" t="s">
        <v>788</v>
      </c>
      <c r="C83" s="409"/>
      <c r="D83" s="409" t="s">
        <v>456</v>
      </c>
      <c r="E83" s="409" t="s">
        <v>506</v>
      </c>
      <c r="F83" s="409" t="s">
        <v>789</v>
      </c>
      <c r="G83" s="1662"/>
      <c r="H83" s="1682">
        <f>H84</f>
        <v>0</v>
      </c>
      <c r="I83" s="529"/>
      <c r="J83" s="269"/>
      <c r="N83" s="1200">
        <f>N84</f>
        <v>0</v>
      </c>
      <c r="U83" s="1682">
        <f>U84</f>
        <v>0</v>
      </c>
    </row>
    <row r="84" spans="1:21" ht="21" x14ac:dyDescent="0.25">
      <c r="A84" s="842"/>
      <c r="B84" s="1182" t="s">
        <v>454</v>
      </c>
      <c r="C84" s="409"/>
      <c r="D84" s="409" t="s">
        <v>456</v>
      </c>
      <c r="E84" s="409" t="s">
        <v>506</v>
      </c>
      <c r="F84" s="409" t="s">
        <v>789</v>
      </c>
      <c r="G84" s="1662" t="s">
        <v>1</v>
      </c>
      <c r="H84" s="1682">
        <v>0</v>
      </c>
      <c r="I84" s="529"/>
      <c r="J84" s="269"/>
      <c r="N84" s="1200">
        <v>0</v>
      </c>
      <c r="U84" s="1682">
        <v>0</v>
      </c>
    </row>
    <row r="85" spans="1:21" x14ac:dyDescent="0.25">
      <c r="A85" s="842"/>
      <c r="B85" s="1184" t="s">
        <v>68</v>
      </c>
      <c r="C85" s="1177"/>
      <c r="D85" s="408" t="s">
        <v>456</v>
      </c>
      <c r="E85" s="408" t="s">
        <v>464</v>
      </c>
      <c r="F85" s="408"/>
      <c r="G85" s="1661"/>
      <c r="H85" s="1683">
        <f t="shared" ref="H85:J89" si="9">H86</f>
        <v>2870</v>
      </c>
      <c r="I85" s="841">
        <f t="shared" si="9"/>
        <v>2500.6</v>
      </c>
      <c r="J85" s="276">
        <f t="shared" si="9"/>
        <v>2701.74</v>
      </c>
      <c r="N85" s="1208">
        <f t="shared" ref="N85:N89" si="10">N86</f>
        <v>2900</v>
      </c>
      <c r="U85" s="1683">
        <f t="shared" ref="U85:U89" si="11">U86</f>
        <v>2980</v>
      </c>
    </row>
    <row r="86" spans="1:21" ht="21" x14ac:dyDescent="0.25">
      <c r="A86" s="1179"/>
      <c r="B86" s="753" t="s">
        <v>499</v>
      </c>
      <c r="C86" s="1180"/>
      <c r="D86" s="409" t="s">
        <v>456</v>
      </c>
      <c r="E86" s="409" t="s">
        <v>464</v>
      </c>
      <c r="F86" s="409" t="s">
        <v>89</v>
      </c>
      <c r="G86" s="1662"/>
      <c r="H86" s="1682">
        <f t="shared" si="9"/>
        <v>2870</v>
      </c>
      <c r="I86" s="529">
        <f t="shared" si="9"/>
        <v>2500.6</v>
      </c>
      <c r="J86" s="269">
        <f t="shared" si="9"/>
        <v>2701.74</v>
      </c>
      <c r="N86" s="1200">
        <f t="shared" si="10"/>
        <v>2900</v>
      </c>
      <c r="U86" s="1682">
        <f t="shared" si="11"/>
        <v>2980</v>
      </c>
    </row>
    <row r="87" spans="1:21" x14ac:dyDescent="0.25">
      <c r="A87" s="842"/>
      <c r="B87" s="1180" t="s">
        <v>109</v>
      </c>
      <c r="C87" s="1180"/>
      <c r="D87" s="409" t="s">
        <v>456</v>
      </c>
      <c r="E87" s="409" t="s">
        <v>464</v>
      </c>
      <c r="F87" s="409" t="s">
        <v>581</v>
      </c>
      <c r="G87" s="1662"/>
      <c r="H87" s="1682">
        <f t="shared" si="9"/>
        <v>2870</v>
      </c>
      <c r="I87" s="529">
        <f t="shared" si="9"/>
        <v>2500.6</v>
      </c>
      <c r="J87" s="269">
        <f t="shared" si="9"/>
        <v>2701.74</v>
      </c>
      <c r="N87" s="1200">
        <f t="shared" si="10"/>
        <v>2900</v>
      </c>
      <c r="U87" s="1682">
        <f t="shared" si="11"/>
        <v>2980</v>
      </c>
    </row>
    <row r="88" spans="1:21" x14ac:dyDescent="0.25">
      <c r="A88" s="842"/>
      <c r="B88" s="1180" t="s">
        <v>109</v>
      </c>
      <c r="C88" s="1180"/>
      <c r="D88" s="409" t="s">
        <v>456</v>
      </c>
      <c r="E88" s="409" t="s">
        <v>464</v>
      </c>
      <c r="F88" s="409" t="s">
        <v>82</v>
      </c>
      <c r="G88" s="1662"/>
      <c r="H88" s="1682">
        <f t="shared" si="9"/>
        <v>2870</v>
      </c>
      <c r="I88" s="529">
        <f t="shared" si="9"/>
        <v>2500.6</v>
      </c>
      <c r="J88" s="269">
        <f t="shared" si="9"/>
        <v>2701.74</v>
      </c>
      <c r="N88" s="1200">
        <f t="shared" si="10"/>
        <v>2900</v>
      </c>
      <c r="U88" s="1682">
        <f t="shared" si="11"/>
        <v>2980</v>
      </c>
    </row>
    <row r="89" spans="1:21" ht="21" x14ac:dyDescent="0.25">
      <c r="A89" s="842"/>
      <c r="B89" s="1180" t="s">
        <v>72</v>
      </c>
      <c r="C89" s="1180"/>
      <c r="D89" s="409" t="s">
        <v>456</v>
      </c>
      <c r="E89" s="409" t="s">
        <v>464</v>
      </c>
      <c r="F89" s="409" t="s">
        <v>67</v>
      </c>
      <c r="G89" s="1662"/>
      <c r="H89" s="1682">
        <f t="shared" si="9"/>
        <v>2870</v>
      </c>
      <c r="I89" s="529">
        <f t="shared" si="9"/>
        <v>2500.6</v>
      </c>
      <c r="J89" s="269">
        <f t="shared" si="9"/>
        <v>2701.74</v>
      </c>
      <c r="N89" s="1200">
        <f t="shared" si="10"/>
        <v>2900</v>
      </c>
      <c r="U89" s="1682">
        <f t="shared" si="11"/>
        <v>2980</v>
      </c>
    </row>
    <row r="90" spans="1:21" ht="13.5" customHeight="1" x14ac:dyDescent="0.25">
      <c r="A90" s="842"/>
      <c r="B90" s="1182" t="s">
        <v>580</v>
      </c>
      <c r="C90" s="1183"/>
      <c r="D90" s="409" t="s">
        <v>456</v>
      </c>
      <c r="E90" s="409" t="s">
        <v>464</v>
      </c>
      <c r="F90" s="409" t="s">
        <v>67</v>
      </c>
      <c r="G90" s="1662" t="s">
        <v>579</v>
      </c>
      <c r="H90" s="1682">
        <v>2870</v>
      </c>
      <c r="I90" s="529">
        <v>2500.6</v>
      </c>
      <c r="J90" s="269">
        <v>2701.74</v>
      </c>
      <c r="K90" s="1">
        <v>2870</v>
      </c>
      <c r="N90" s="1200">
        <v>2900</v>
      </c>
      <c r="U90" s="1682">
        <v>2980</v>
      </c>
    </row>
    <row r="91" spans="1:21" x14ac:dyDescent="0.25">
      <c r="A91" s="842"/>
      <c r="B91" s="1184" t="s">
        <v>93</v>
      </c>
      <c r="C91" s="1177"/>
      <c r="D91" s="408" t="s">
        <v>456</v>
      </c>
      <c r="E91" s="408" t="s">
        <v>573</v>
      </c>
      <c r="F91" s="408"/>
      <c r="G91" s="1661"/>
      <c r="H91" s="1683">
        <f>H92+H98</f>
        <v>894.24399999999991</v>
      </c>
      <c r="I91" s="841">
        <f>I92+I98</f>
        <v>812</v>
      </c>
      <c r="J91" s="276">
        <f>J92+J98</f>
        <v>812</v>
      </c>
      <c r="N91" s="1208">
        <f>N92+N98</f>
        <v>500</v>
      </c>
      <c r="U91" s="1683">
        <f>U92+U98</f>
        <v>600</v>
      </c>
    </row>
    <row r="92" spans="1:21" x14ac:dyDescent="0.25">
      <c r="A92" s="1179"/>
      <c r="B92" s="753" t="s">
        <v>102</v>
      </c>
      <c r="C92" s="1180"/>
      <c r="D92" s="409" t="s">
        <v>456</v>
      </c>
      <c r="E92" s="409" t="s">
        <v>573</v>
      </c>
      <c r="F92" s="409" t="s">
        <v>101</v>
      </c>
      <c r="G92" s="1662"/>
      <c r="H92" s="1682">
        <f t="shared" ref="H92:J94" si="12">H93</f>
        <v>894.24399999999991</v>
      </c>
      <c r="I92" s="529">
        <f t="shared" si="12"/>
        <v>213.5</v>
      </c>
      <c r="J92" s="269">
        <f t="shared" si="12"/>
        <v>213.5</v>
      </c>
      <c r="N92" s="1200">
        <f t="shared" ref="N92:N94" si="13">N93</f>
        <v>500</v>
      </c>
      <c r="U92" s="1682">
        <f t="shared" ref="U92:U94" si="14">U93</f>
        <v>600</v>
      </c>
    </row>
    <row r="93" spans="1:21" x14ac:dyDescent="0.25">
      <c r="A93" s="1179"/>
      <c r="B93" s="753" t="s">
        <v>109</v>
      </c>
      <c r="C93" s="1180"/>
      <c r="D93" s="409" t="s">
        <v>456</v>
      </c>
      <c r="E93" s="409" t="s">
        <v>573</v>
      </c>
      <c r="F93" s="409" t="s">
        <v>100</v>
      </c>
      <c r="G93" s="1662"/>
      <c r="H93" s="1682">
        <f t="shared" si="12"/>
        <v>894.24399999999991</v>
      </c>
      <c r="I93" s="529">
        <f t="shared" si="12"/>
        <v>213.5</v>
      </c>
      <c r="J93" s="269">
        <f t="shared" si="12"/>
        <v>213.5</v>
      </c>
      <c r="N93" s="1200">
        <f t="shared" si="13"/>
        <v>500</v>
      </c>
      <c r="U93" s="1682">
        <f t="shared" si="14"/>
        <v>600</v>
      </c>
    </row>
    <row r="94" spans="1:21" x14ac:dyDescent="0.25">
      <c r="A94" s="1179"/>
      <c r="B94" s="753" t="s">
        <v>109</v>
      </c>
      <c r="C94" s="1180"/>
      <c r="D94" s="409" t="s">
        <v>456</v>
      </c>
      <c r="E94" s="409" t="s">
        <v>573</v>
      </c>
      <c r="F94" s="409" t="s">
        <v>99</v>
      </c>
      <c r="G94" s="1662"/>
      <c r="H94" s="1682">
        <f t="shared" si="12"/>
        <v>894.24399999999991</v>
      </c>
      <c r="I94" s="529">
        <f t="shared" si="12"/>
        <v>213.5</v>
      </c>
      <c r="J94" s="269">
        <f t="shared" si="12"/>
        <v>213.5</v>
      </c>
      <c r="N94" s="1200">
        <f t="shared" si="13"/>
        <v>500</v>
      </c>
      <c r="U94" s="1682">
        <f t="shared" si="14"/>
        <v>600</v>
      </c>
    </row>
    <row r="95" spans="1:21" x14ac:dyDescent="0.25">
      <c r="A95" s="1179"/>
      <c r="B95" s="753" t="s">
        <v>577</v>
      </c>
      <c r="C95" s="1180"/>
      <c r="D95" s="409" t="s">
        <v>456</v>
      </c>
      <c r="E95" s="409" t="s">
        <v>573</v>
      </c>
      <c r="F95" s="409" t="s">
        <v>92</v>
      </c>
      <c r="G95" s="1662"/>
      <c r="H95" s="1682">
        <f>H96+H97</f>
        <v>894.24399999999991</v>
      </c>
      <c r="I95" s="529">
        <f>I96+I97</f>
        <v>213.5</v>
      </c>
      <c r="J95" s="269">
        <f>J96+J97</f>
        <v>213.5</v>
      </c>
      <c r="K95" s="1">
        <v>500</v>
      </c>
      <c r="L95" s="1" t="s">
        <v>959</v>
      </c>
      <c r="N95" s="1200">
        <f>N96+N97</f>
        <v>500</v>
      </c>
      <c r="U95" s="1682">
        <f>U96+U97</f>
        <v>600</v>
      </c>
    </row>
    <row r="96" spans="1:21" ht="21" x14ac:dyDescent="0.25">
      <c r="A96" s="842"/>
      <c r="B96" s="1182" t="s">
        <v>454</v>
      </c>
      <c r="C96" s="1183"/>
      <c r="D96" s="409" t="s">
        <v>456</v>
      </c>
      <c r="E96" s="409" t="s">
        <v>573</v>
      </c>
      <c r="F96" s="409" t="s">
        <v>92</v>
      </c>
      <c r="G96" s="1662" t="s">
        <v>1</v>
      </c>
      <c r="H96" s="1682">
        <f>K95+K96</f>
        <v>844.24399999999991</v>
      </c>
      <c r="I96" s="529">
        <v>178.5</v>
      </c>
      <c r="J96" s="269">
        <v>178.5</v>
      </c>
      <c r="K96" s="1">
        <f>462.085-117.841</f>
        <v>344.24399999999997</v>
      </c>
      <c r="N96" s="1200">
        <v>400</v>
      </c>
      <c r="U96" s="1682">
        <v>500</v>
      </c>
    </row>
    <row r="97" spans="1:25" x14ac:dyDescent="0.25">
      <c r="A97" s="842"/>
      <c r="B97" s="1182" t="s">
        <v>457</v>
      </c>
      <c r="C97" s="1183"/>
      <c r="D97" s="409" t="s">
        <v>456</v>
      </c>
      <c r="E97" s="409" t="s">
        <v>573</v>
      </c>
      <c r="F97" s="409" t="s">
        <v>92</v>
      </c>
      <c r="G97" s="1662" t="s">
        <v>91</v>
      </c>
      <c r="H97" s="1682">
        <f>100-50</f>
        <v>50</v>
      </c>
      <c r="I97" s="529">
        <v>35</v>
      </c>
      <c r="J97" s="269">
        <v>35</v>
      </c>
      <c r="K97" s="1">
        <f>100-50</f>
        <v>50</v>
      </c>
      <c r="N97" s="1200">
        <v>100</v>
      </c>
      <c r="U97" s="1682">
        <v>100</v>
      </c>
    </row>
    <row r="98" spans="1:25" ht="21" hidden="1" x14ac:dyDescent="0.25">
      <c r="A98" s="1211"/>
      <c r="B98" s="753" t="s">
        <v>583</v>
      </c>
      <c r="C98" s="1177"/>
      <c r="D98" s="408" t="s">
        <v>456</v>
      </c>
      <c r="E98" s="408" t="s">
        <v>573</v>
      </c>
      <c r="F98" s="408" t="s">
        <v>157</v>
      </c>
      <c r="G98" s="1661"/>
      <c r="H98" s="1683">
        <f t="shared" ref="H98:J99" si="15">H99</f>
        <v>0</v>
      </c>
      <c r="I98" s="841">
        <f t="shared" si="15"/>
        <v>598.5</v>
      </c>
      <c r="J98" s="276">
        <f t="shared" si="15"/>
        <v>598.5</v>
      </c>
      <c r="N98" s="1208">
        <f t="shared" ref="N98:N99" si="16">N99</f>
        <v>0</v>
      </c>
      <c r="U98" s="1683">
        <f t="shared" ref="U98:U99" si="17">U99</f>
        <v>0</v>
      </c>
    </row>
    <row r="99" spans="1:25" ht="21" hidden="1" x14ac:dyDescent="0.25">
      <c r="A99" s="1179"/>
      <c r="B99" s="1197" t="s">
        <v>156</v>
      </c>
      <c r="C99" s="1180"/>
      <c r="D99" s="409" t="s">
        <v>456</v>
      </c>
      <c r="E99" s="409" t="s">
        <v>573</v>
      </c>
      <c r="F99" s="409" t="s">
        <v>155</v>
      </c>
      <c r="G99" s="1662"/>
      <c r="H99" s="1682">
        <f t="shared" si="15"/>
        <v>0</v>
      </c>
      <c r="I99" s="529">
        <f t="shared" si="15"/>
        <v>598.5</v>
      </c>
      <c r="J99" s="269">
        <f t="shared" si="15"/>
        <v>598.5</v>
      </c>
      <c r="N99" s="1200">
        <f t="shared" si="16"/>
        <v>0</v>
      </c>
      <c r="U99" s="1682">
        <f t="shared" si="17"/>
        <v>0</v>
      </c>
    </row>
    <row r="100" spans="1:25" hidden="1" x14ac:dyDescent="0.25">
      <c r="A100" s="1179"/>
      <c r="B100" s="753" t="s">
        <v>109</v>
      </c>
      <c r="C100" s="1180"/>
      <c r="D100" s="409" t="s">
        <v>456</v>
      </c>
      <c r="E100" s="409" t="s">
        <v>573</v>
      </c>
      <c r="F100" s="409" t="s">
        <v>154</v>
      </c>
      <c r="G100" s="1662"/>
      <c r="H100" s="1682">
        <f>H105</f>
        <v>0</v>
      </c>
      <c r="I100" s="529">
        <f>I105</f>
        <v>598.5</v>
      </c>
      <c r="J100" s="269">
        <f>J105</f>
        <v>598.5</v>
      </c>
      <c r="N100" s="1200">
        <f>N105</f>
        <v>0</v>
      </c>
      <c r="U100" s="1682">
        <f>U105</f>
        <v>0</v>
      </c>
    </row>
    <row r="101" spans="1:25" hidden="1" x14ac:dyDescent="0.25">
      <c r="A101" s="1179"/>
      <c r="B101" s="753" t="s">
        <v>577</v>
      </c>
      <c r="C101" s="1180"/>
      <c r="D101" s="409" t="s">
        <v>456</v>
      </c>
      <c r="E101" s="409" t="s">
        <v>573</v>
      </c>
      <c r="F101" s="409" t="s">
        <v>576</v>
      </c>
      <c r="G101" s="1662"/>
      <c r="H101" s="1682">
        <f>H102</f>
        <v>0</v>
      </c>
      <c r="I101" s="529">
        <f>I102</f>
        <v>0</v>
      </c>
      <c r="J101" s="269">
        <f>J102</f>
        <v>0</v>
      </c>
      <c r="N101" s="1200">
        <f>N102</f>
        <v>0</v>
      </c>
      <c r="U101" s="1682">
        <f>U102</f>
        <v>0</v>
      </c>
    </row>
    <row r="102" spans="1:25" ht="21" hidden="1" x14ac:dyDescent="0.25">
      <c r="A102" s="842"/>
      <c r="B102" s="1182" t="s">
        <v>454</v>
      </c>
      <c r="C102" s="1183"/>
      <c r="D102" s="409" t="s">
        <v>456</v>
      </c>
      <c r="E102" s="409" t="s">
        <v>573</v>
      </c>
      <c r="F102" s="409" t="s">
        <v>576</v>
      </c>
      <c r="G102" s="1662" t="s">
        <v>1</v>
      </c>
      <c r="H102" s="1682"/>
      <c r="I102" s="529"/>
      <c r="J102" s="269"/>
      <c r="N102" s="1200"/>
      <c r="U102" s="1682"/>
    </row>
    <row r="103" spans="1:25" ht="21" hidden="1" x14ac:dyDescent="0.25">
      <c r="A103" s="842"/>
      <c r="B103" s="1199" t="s">
        <v>151</v>
      </c>
      <c r="C103" s="1188"/>
      <c r="D103" s="409" t="s">
        <v>456</v>
      </c>
      <c r="E103" s="409" t="s">
        <v>452</v>
      </c>
      <c r="F103" s="409" t="s">
        <v>150</v>
      </c>
      <c r="G103" s="1662"/>
      <c r="H103" s="1682">
        <f>H104</f>
        <v>0</v>
      </c>
      <c r="I103" s="529">
        <f>I104</f>
        <v>0</v>
      </c>
      <c r="J103" s="269">
        <f>J104</f>
        <v>0</v>
      </c>
      <c r="N103" s="1200">
        <f>N104</f>
        <v>0</v>
      </c>
      <c r="U103" s="1682">
        <f>U104</f>
        <v>0</v>
      </c>
    </row>
    <row r="104" spans="1:25" hidden="1" x14ac:dyDescent="0.25">
      <c r="A104" s="842"/>
      <c r="B104" s="1182" t="s">
        <v>575</v>
      </c>
      <c r="C104" s="1183"/>
      <c r="D104" s="409" t="s">
        <v>456</v>
      </c>
      <c r="E104" s="409" t="s">
        <v>452</v>
      </c>
      <c r="F104" s="409" t="s">
        <v>150</v>
      </c>
      <c r="G104" s="1662" t="s">
        <v>120</v>
      </c>
      <c r="H104" s="1682"/>
      <c r="I104" s="529"/>
      <c r="J104" s="269"/>
      <c r="N104" s="1200"/>
      <c r="U104" s="1682"/>
    </row>
    <row r="105" spans="1:25" ht="52" hidden="1" x14ac:dyDescent="0.25">
      <c r="A105" s="842"/>
      <c r="B105" s="398" t="s">
        <v>574</v>
      </c>
      <c r="C105" s="1188"/>
      <c r="D105" s="409" t="s">
        <v>456</v>
      </c>
      <c r="E105" s="409" t="s">
        <v>573</v>
      </c>
      <c r="F105" s="409" t="s">
        <v>127</v>
      </c>
      <c r="G105" s="1662"/>
      <c r="H105" s="1682">
        <f>H106+H107</f>
        <v>0</v>
      </c>
      <c r="I105" s="529">
        <f>I106+I107</f>
        <v>598.5</v>
      </c>
      <c r="J105" s="269">
        <f>J106+J107</f>
        <v>598.5</v>
      </c>
      <c r="N105" s="1200">
        <f>N106+N107</f>
        <v>0</v>
      </c>
      <c r="U105" s="1682">
        <f>U106+U107</f>
        <v>0</v>
      </c>
    </row>
    <row r="106" spans="1:25" hidden="1" x14ac:dyDescent="0.25">
      <c r="A106" s="842"/>
      <c r="B106" s="1182" t="s">
        <v>571</v>
      </c>
      <c r="C106" s="1183"/>
      <c r="D106" s="409" t="s">
        <v>456</v>
      </c>
      <c r="E106" s="409" t="s">
        <v>573</v>
      </c>
      <c r="F106" s="409" t="s">
        <v>127</v>
      </c>
      <c r="G106" s="1662" t="s">
        <v>5</v>
      </c>
      <c r="H106" s="1682"/>
      <c r="I106" s="529">
        <v>561.29999999999995</v>
      </c>
      <c r="J106" s="269">
        <v>561.29999999999995</v>
      </c>
      <c r="N106" s="1200"/>
      <c r="U106" s="1682"/>
    </row>
    <row r="107" spans="1:25" ht="21" hidden="1" x14ac:dyDescent="0.25">
      <c r="A107" s="842"/>
      <c r="B107" s="1182" t="s">
        <v>454</v>
      </c>
      <c r="C107" s="1183"/>
      <c r="D107" s="409" t="s">
        <v>456</v>
      </c>
      <c r="E107" s="409" t="s">
        <v>573</v>
      </c>
      <c r="F107" s="409" t="s">
        <v>127</v>
      </c>
      <c r="G107" s="1662" t="s">
        <v>1</v>
      </c>
      <c r="H107" s="1682"/>
      <c r="I107" s="529">
        <v>37.200000000000003</v>
      </c>
      <c r="J107" s="269">
        <v>37.200000000000003</v>
      </c>
      <c r="N107" s="1200"/>
      <c r="U107" s="1682"/>
    </row>
    <row r="108" spans="1:25" x14ac:dyDescent="0.25">
      <c r="A108" s="842"/>
      <c r="B108" s="1212" t="s">
        <v>412</v>
      </c>
      <c r="C108" s="1183"/>
      <c r="D108" s="408" t="s">
        <v>488</v>
      </c>
      <c r="E108" s="408" t="s">
        <v>459</v>
      </c>
      <c r="F108" s="409"/>
      <c r="G108" s="1662"/>
      <c r="H108" s="1683">
        <f>H109</f>
        <v>834.7</v>
      </c>
      <c r="I108" s="841">
        <f t="shared" ref="I108:J112" si="18">I109</f>
        <v>0</v>
      </c>
      <c r="J108" s="276">
        <f t="shared" si="18"/>
        <v>0</v>
      </c>
      <c r="N108" s="1208">
        <f>N109</f>
        <v>844.2</v>
      </c>
      <c r="U108" s="1683">
        <f>U109</f>
        <v>874.4</v>
      </c>
      <c r="V108" s="1784">
        <v>834.7</v>
      </c>
      <c r="W108" s="1784">
        <v>844.2</v>
      </c>
      <c r="X108" s="1784">
        <v>874.4</v>
      </c>
      <c r="Y108" s="239" t="s">
        <v>444</v>
      </c>
    </row>
    <row r="109" spans="1:25" x14ac:dyDescent="0.25">
      <c r="A109" s="842"/>
      <c r="B109" s="1212" t="s">
        <v>6</v>
      </c>
      <c r="C109" s="1183"/>
      <c r="D109" s="408" t="s">
        <v>488</v>
      </c>
      <c r="E109" s="408" t="s">
        <v>495</v>
      </c>
      <c r="F109" s="409"/>
      <c r="G109" s="1662"/>
      <c r="H109" s="1683">
        <f>H110</f>
        <v>834.7</v>
      </c>
      <c r="I109" s="841">
        <f t="shared" si="18"/>
        <v>0</v>
      </c>
      <c r="J109" s="276">
        <f t="shared" si="18"/>
        <v>0</v>
      </c>
      <c r="K109" s="1439">
        <v>727.8</v>
      </c>
      <c r="N109" s="1208">
        <f>N110</f>
        <v>844.2</v>
      </c>
      <c r="U109" s="1683">
        <f>U110</f>
        <v>874.4</v>
      </c>
    </row>
    <row r="110" spans="1:25" ht="21" x14ac:dyDescent="0.25">
      <c r="A110" s="842"/>
      <c r="B110" s="752" t="s">
        <v>572</v>
      </c>
      <c r="C110" s="1183"/>
      <c r="D110" s="408" t="s">
        <v>488</v>
      </c>
      <c r="E110" s="408" t="s">
        <v>495</v>
      </c>
      <c r="F110" s="408" t="s">
        <v>89</v>
      </c>
      <c r="G110" s="1662"/>
      <c r="H110" s="1683">
        <f>H111</f>
        <v>834.7</v>
      </c>
      <c r="I110" s="841">
        <f t="shared" si="18"/>
        <v>0</v>
      </c>
      <c r="J110" s="276">
        <f t="shared" si="18"/>
        <v>0</v>
      </c>
      <c r="N110" s="1208">
        <f>N111</f>
        <v>844.2</v>
      </c>
      <c r="U110" s="1683">
        <f>U111</f>
        <v>874.4</v>
      </c>
    </row>
    <row r="111" spans="1:25" x14ac:dyDescent="0.25">
      <c r="A111" s="842"/>
      <c r="B111" s="753" t="s">
        <v>109</v>
      </c>
      <c r="C111" s="1183"/>
      <c r="D111" s="409" t="s">
        <v>488</v>
      </c>
      <c r="E111" s="409" t="s">
        <v>495</v>
      </c>
      <c r="F111" s="409" t="s">
        <v>84</v>
      </c>
      <c r="G111" s="1662"/>
      <c r="H111" s="1682">
        <f>H112</f>
        <v>834.7</v>
      </c>
      <c r="I111" s="529">
        <f t="shared" si="18"/>
        <v>0</v>
      </c>
      <c r="J111" s="269">
        <f t="shared" si="18"/>
        <v>0</v>
      </c>
      <c r="N111" s="1200">
        <f>N112</f>
        <v>844.2</v>
      </c>
      <c r="U111" s="1682">
        <f>U112</f>
        <v>874.4</v>
      </c>
    </row>
    <row r="112" spans="1:25" x14ac:dyDescent="0.25">
      <c r="A112" s="842"/>
      <c r="B112" s="753" t="s">
        <v>109</v>
      </c>
      <c r="C112" s="1183"/>
      <c r="D112" s="409" t="s">
        <v>488</v>
      </c>
      <c r="E112" s="409" t="s">
        <v>495</v>
      </c>
      <c r="F112" s="409" t="s">
        <v>82</v>
      </c>
      <c r="G112" s="1662"/>
      <c r="H112" s="1682">
        <f>H113</f>
        <v>834.7</v>
      </c>
      <c r="I112" s="529">
        <f t="shared" si="18"/>
        <v>0</v>
      </c>
      <c r="J112" s="269">
        <f t="shared" si="18"/>
        <v>0</v>
      </c>
      <c r="N112" s="1200">
        <f>N113</f>
        <v>844.2</v>
      </c>
      <c r="U112" s="1682">
        <f>U113</f>
        <v>874.4</v>
      </c>
    </row>
    <row r="113" spans="1:24" ht="21" x14ac:dyDescent="0.25">
      <c r="A113" s="842"/>
      <c r="B113" s="1213" t="s">
        <v>8</v>
      </c>
      <c r="C113" s="1183"/>
      <c r="D113" s="409" t="s">
        <v>488</v>
      </c>
      <c r="E113" s="409" t="s">
        <v>495</v>
      </c>
      <c r="F113" s="409" t="s">
        <v>2</v>
      </c>
      <c r="G113" s="1662"/>
      <c r="H113" s="1682">
        <f>H114+H115</f>
        <v>834.7</v>
      </c>
      <c r="I113" s="529">
        <f>I114+I115</f>
        <v>0</v>
      </c>
      <c r="J113" s="269">
        <f>J114+J115</f>
        <v>0</v>
      </c>
      <c r="N113" s="1200">
        <f>N114+N115</f>
        <v>844.2</v>
      </c>
      <c r="U113" s="1682">
        <f>U114+U115</f>
        <v>874.4</v>
      </c>
    </row>
    <row r="114" spans="1:24" x14ac:dyDescent="0.25">
      <c r="A114" s="842"/>
      <c r="B114" s="1182" t="s">
        <v>571</v>
      </c>
      <c r="C114" s="1183"/>
      <c r="D114" s="409" t="s">
        <v>488</v>
      </c>
      <c r="E114" s="409" t="s">
        <v>495</v>
      </c>
      <c r="F114" s="409" t="s">
        <v>2</v>
      </c>
      <c r="G114" s="1662" t="s">
        <v>5</v>
      </c>
      <c r="H114" s="1682">
        <v>807.12400000000002</v>
      </c>
      <c r="I114" s="529"/>
      <c r="J114" s="269"/>
      <c r="K114" s="1">
        <v>700.22400000000005</v>
      </c>
      <c r="N114" s="1200">
        <v>816.62400000000002</v>
      </c>
      <c r="U114" s="1682">
        <v>846.82399999999996</v>
      </c>
      <c r="V114" s="2">
        <v>807.12400000000002</v>
      </c>
      <c r="W114" s="2">
        <v>816.62400000000002</v>
      </c>
      <c r="X114" s="2">
        <v>846.82399999999996</v>
      </c>
    </row>
    <row r="115" spans="1:24" ht="21" x14ac:dyDescent="0.25">
      <c r="A115" s="842"/>
      <c r="B115" s="1182" t="s">
        <v>454</v>
      </c>
      <c r="C115" s="1183"/>
      <c r="D115" s="409" t="s">
        <v>488</v>
      </c>
      <c r="E115" s="409" t="s">
        <v>495</v>
      </c>
      <c r="F115" s="409" t="s">
        <v>2</v>
      </c>
      <c r="G115" s="1662" t="s">
        <v>1</v>
      </c>
      <c r="H115" s="1682">
        <v>27.576000000000001</v>
      </c>
      <c r="I115" s="529"/>
      <c r="J115" s="269"/>
      <c r="K115" s="1">
        <v>27.576000000000001</v>
      </c>
      <c r="N115" s="1200">
        <v>27.576000000000001</v>
      </c>
      <c r="U115" s="1682">
        <v>27.576000000000001</v>
      </c>
      <c r="V115" s="2"/>
      <c r="W115" s="2"/>
      <c r="X115" s="2">
        <v>27.576000000000001</v>
      </c>
    </row>
    <row r="116" spans="1:24" x14ac:dyDescent="0.25">
      <c r="A116" s="1179"/>
      <c r="B116" s="1214" t="s">
        <v>407</v>
      </c>
      <c r="C116" s="1177"/>
      <c r="D116" s="408" t="s">
        <v>495</v>
      </c>
      <c r="E116" s="408" t="s">
        <v>459</v>
      </c>
      <c r="F116" s="408"/>
      <c r="G116" s="1661"/>
      <c r="H116" s="1683">
        <f>H118+H135</f>
        <v>843.1</v>
      </c>
      <c r="I116" s="841">
        <f>I117</f>
        <v>1202</v>
      </c>
      <c r="J116" s="276">
        <f>J117</f>
        <v>676</v>
      </c>
      <c r="N116" s="1683">
        <f>N118+N135</f>
        <v>1209.0999999999999</v>
      </c>
      <c r="U116" s="1683">
        <f>U118+U135</f>
        <v>1257.1399999999999</v>
      </c>
    </row>
    <row r="117" spans="1:24" ht="23" x14ac:dyDescent="0.25">
      <c r="A117" s="842"/>
      <c r="B117" s="1184" t="s">
        <v>570</v>
      </c>
      <c r="C117" s="1177"/>
      <c r="D117" s="408" t="s">
        <v>495</v>
      </c>
      <c r="E117" s="408" t="s">
        <v>539</v>
      </c>
      <c r="F117" s="408"/>
      <c r="G117" s="1661"/>
      <c r="H117" s="1708">
        <f>H118</f>
        <v>836</v>
      </c>
      <c r="I117" s="841">
        <f>I118+I138</f>
        <v>1202</v>
      </c>
      <c r="J117" s="276">
        <f>J118+J138</f>
        <v>676</v>
      </c>
      <c r="N117" s="1708">
        <f>N118</f>
        <v>1202</v>
      </c>
      <c r="U117" s="1708">
        <f>U118</f>
        <v>1250.04</v>
      </c>
    </row>
    <row r="118" spans="1:24" ht="21" x14ac:dyDescent="0.25">
      <c r="A118" s="1179"/>
      <c r="B118" s="1205" t="s">
        <v>912</v>
      </c>
      <c r="C118" s="1215"/>
      <c r="D118" s="409" t="s">
        <v>495</v>
      </c>
      <c r="E118" s="409" t="s">
        <v>539</v>
      </c>
      <c r="F118" s="409" t="s">
        <v>240</v>
      </c>
      <c r="G118" s="1662"/>
      <c r="H118" s="1682">
        <f>H122+H129+H134</f>
        <v>836</v>
      </c>
      <c r="I118" s="529">
        <f>I119+I131</f>
        <v>1202</v>
      </c>
      <c r="J118" s="269">
        <f>J119+J131</f>
        <v>676</v>
      </c>
      <c r="K118" s="1439">
        <f>K122+K129+K134</f>
        <v>836</v>
      </c>
      <c r="N118" s="1200">
        <f>N122+N129+N134</f>
        <v>1202</v>
      </c>
      <c r="U118" s="1682">
        <f>U122+U129+U134</f>
        <v>1250.04</v>
      </c>
    </row>
    <row r="119" spans="1:24" ht="42" x14ac:dyDescent="0.25">
      <c r="A119" s="1179"/>
      <c r="B119" s="1216" t="s">
        <v>926</v>
      </c>
      <c r="C119" s="1215"/>
      <c r="D119" s="1217" t="s">
        <v>495</v>
      </c>
      <c r="E119" s="1217" t="s">
        <v>539</v>
      </c>
      <c r="F119" s="1217" t="s">
        <v>238</v>
      </c>
      <c r="G119" s="1664"/>
      <c r="H119" s="1682">
        <f>H120+H127</f>
        <v>443.32</v>
      </c>
      <c r="I119" s="529">
        <f>I120+I127</f>
        <v>506</v>
      </c>
      <c r="J119" s="269">
        <f>J120+J127</f>
        <v>646</v>
      </c>
      <c r="N119" s="1200">
        <f>N120+N127</f>
        <v>606</v>
      </c>
      <c r="U119" s="1682">
        <f>U120+U127</f>
        <v>630.20000000000005</v>
      </c>
    </row>
    <row r="120" spans="1:24" ht="21" x14ac:dyDescent="0.25">
      <c r="A120" s="1179"/>
      <c r="B120" s="1197" t="s">
        <v>236</v>
      </c>
      <c r="C120" s="1215"/>
      <c r="D120" s="1217" t="s">
        <v>495</v>
      </c>
      <c r="E120" s="1217" t="s">
        <v>539</v>
      </c>
      <c r="F120" s="1217" t="s">
        <v>235</v>
      </c>
      <c r="G120" s="1664"/>
      <c r="H120" s="1682">
        <f>H121+H123+H125</f>
        <v>133.32</v>
      </c>
      <c r="I120" s="529">
        <f>I121+I123+I125</f>
        <v>320</v>
      </c>
      <c r="J120" s="269">
        <f>J121+J123+J125</f>
        <v>340</v>
      </c>
      <c r="N120" s="1200">
        <f>N121+N123+N125</f>
        <v>376</v>
      </c>
      <c r="U120" s="1682">
        <f>U121+U123+U125</f>
        <v>391</v>
      </c>
    </row>
    <row r="121" spans="1:24" ht="21" x14ac:dyDescent="0.25">
      <c r="A121" s="1179"/>
      <c r="B121" s="1218" t="s">
        <v>237</v>
      </c>
      <c r="C121" s="1215"/>
      <c r="D121" s="1217" t="s">
        <v>495</v>
      </c>
      <c r="E121" s="1217" t="s">
        <v>539</v>
      </c>
      <c r="F121" s="1217" t="s">
        <v>233</v>
      </c>
      <c r="G121" s="1664"/>
      <c r="H121" s="1682">
        <f>H122</f>
        <v>133.32</v>
      </c>
      <c r="I121" s="529">
        <f>I122</f>
        <v>320</v>
      </c>
      <c r="J121" s="269">
        <f>J122</f>
        <v>340</v>
      </c>
      <c r="N121" s="1200">
        <f>N122</f>
        <v>376</v>
      </c>
      <c r="U121" s="1682">
        <f>U122</f>
        <v>391</v>
      </c>
    </row>
    <row r="122" spans="1:24" ht="21" x14ac:dyDescent="0.25">
      <c r="A122" s="1179"/>
      <c r="B122" s="1182" t="s">
        <v>454</v>
      </c>
      <c r="C122" s="1183"/>
      <c r="D122" s="1217" t="s">
        <v>495</v>
      </c>
      <c r="E122" s="1217" t="s">
        <v>539</v>
      </c>
      <c r="F122" s="1217" t="s">
        <v>233</v>
      </c>
      <c r="G122" s="1662" t="s">
        <v>1</v>
      </c>
      <c r="H122" s="1682">
        <v>133.32</v>
      </c>
      <c r="I122" s="529">
        <v>320</v>
      </c>
      <c r="J122" s="269">
        <v>340</v>
      </c>
      <c r="K122" s="1">
        <v>133.32</v>
      </c>
      <c r="N122" s="1200">
        <v>376</v>
      </c>
      <c r="U122" s="1682">
        <v>391</v>
      </c>
    </row>
    <row r="123" spans="1:24" hidden="1" x14ac:dyDescent="0.25">
      <c r="A123" s="1179"/>
      <c r="B123" s="1219" t="s">
        <v>568</v>
      </c>
      <c r="C123" s="1215"/>
      <c r="D123" s="1217" t="s">
        <v>495</v>
      </c>
      <c r="E123" s="1217" t="s">
        <v>539</v>
      </c>
      <c r="F123" s="1217" t="s">
        <v>567</v>
      </c>
      <c r="G123" s="1664"/>
      <c r="H123" s="1682">
        <f>H124</f>
        <v>0</v>
      </c>
      <c r="I123" s="529">
        <f>I124</f>
        <v>0</v>
      </c>
      <c r="J123" s="269">
        <f>J124</f>
        <v>0</v>
      </c>
      <c r="N123" s="1200">
        <f>N124</f>
        <v>0</v>
      </c>
      <c r="U123" s="1682">
        <f>U124</f>
        <v>0</v>
      </c>
    </row>
    <row r="124" spans="1:24" ht="21" hidden="1" x14ac:dyDescent="0.25">
      <c r="A124" s="1179"/>
      <c r="B124" s="1182" t="s">
        <v>454</v>
      </c>
      <c r="C124" s="1183"/>
      <c r="D124" s="1217" t="s">
        <v>495</v>
      </c>
      <c r="E124" s="1217" t="s">
        <v>539</v>
      </c>
      <c r="F124" s="1217" t="s">
        <v>567</v>
      </c>
      <c r="G124" s="1662" t="s">
        <v>1</v>
      </c>
      <c r="H124" s="1682"/>
      <c r="I124" s="529"/>
      <c r="J124" s="269"/>
      <c r="N124" s="1200"/>
      <c r="U124" s="1682"/>
    </row>
    <row r="125" spans="1:24" hidden="1" x14ac:dyDescent="0.25">
      <c r="A125" s="1179"/>
      <c r="B125" s="1219" t="s">
        <v>566</v>
      </c>
      <c r="C125" s="1215"/>
      <c r="D125" s="1217" t="s">
        <v>495</v>
      </c>
      <c r="E125" s="1217" t="s">
        <v>539</v>
      </c>
      <c r="F125" s="1217" t="s">
        <v>565</v>
      </c>
      <c r="G125" s="1664"/>
      <c r="H125" s="1682">
        <f>H126</f>
        <v>0</v>
      </c>
      <c r="I125" s="529">
        <f>I126</f>
        <v>0</v>
      </c>
      <c r="J125" s="269">
        <f>J126</f>
        <v>0</v>
      </c>
      <c r="N125" s="1200">
        <f>N126</f>
        <v>0</v>
      </c>
      <c r="U125" s="1682">
        <f>U126</f>
        <v>0</v>
      </c>
    </row>
    <row r="126" spans="1:24" ht="21" hidden="1" x14ac:dyDescent="0.25">
      <c r="A126" s="1179"/>
      <c r="B126" s="1182" t="s">
        <v>454</v>
      </c>
      <c r="C126" s="1183"/>
      <c r="D126" s="1217" t="s">
        <v>495</v>
      </c>
      <c r="E126" s="1217" t="s">
        <v>539</v>
      </c>
      <c r="F126" s="1217" t="s">
        <v>565</v>
      </c>
      <c r="G126" s="1662" t="s">
        <v>1</v>
      </c>
      <c r="H126" s="1682"/>
      <c r="I126" s="529"/>
      <c r="J126" s="269"/>
      <c r="N126" s="1200"/>
      <c r="U126" s="1682"/>
    </row>
    <row r="127" spans="1:24" x14ac:dyDescent="0.25">
      <c r="A127" s="1179"/>
      <c r="B127" s="1219" t="s">
        <v>564</v>
      </c>
      <c r="C127" s="1215"/>
      <c r="D127" s="1217" t="s">
        <v>495</v>
      </c>
      <c r="E127" s="1217" t="s">
        <v>539</v>
      </c>
      <c r="F127" s="1217" t="s">
        <v>231</v>
      </c>
      <c r="G127" s="1664"/>
      <c r="H127" s="1682">
        <f>H128</f>
        <v>310</v>
      </c>
      <c r="I127" s="529">
        <f>I128</f>
        <v>186</v>
      </c>
      <c r="J127" s="269">
        <f>J128</f>
        <v>306</v>
      </c>
      <c r="N127" s="1200">
        <f>N128</f>
        <v>230</v>
      </c>
      <c r="U127" s="1682">
        <f>U128</f>
        <v>239.2</v>
      </c>
    </row>
    <row r="128" spans="1:24" x14ac:dyDescent="0.25">
      <c r="A128" s="1179"/>
      <c r="B128" s="1117" t="s">
        <v>563</v>
      </c>
      <c r="C128" s="1188"/>
      <c r="D128" s="409" t="s">
        <v>495</v>
      </c>
      <c r="E128" s="409" t="s">
        <v>539</v>
      </c>
      <c r="F128" s="1217" t="s">
        <v>229</v>
      </c>
      <c r="G128" s="1664"/>
      <c r="H128" s="1682">
        <f>H129+H130</f>
        <v>310</v>
      </c>
      <c r="I128" s="529">
        <f>I129+I130</f>
        <v>186</v>
      </c>
      <c r="J128" s="269">
        <f>J129+J130</f>
        <v>306</v>
      </c>
      <c r="N128" s="1200">
        <f>N129+N130</f>
        <v>230</v>
      </c>
      <c r="U128" s="1682">
        <f>U129+U130</f>
        <v>239.2</v>
      </c>
    </row>
    <row r="129" spans="1:25" ht="21" x14ac:dyDescent="0.25">
      <c r="A129" s="1179"/>
      <c r="B129" s="1182" t="s">
        <v>454</v>
      </c>
      <c r="C129" s="1183"/>
      <c r="D129" s="409" t="s">
        <v>495</v>
      </c>
      <c r="E129" s="409" t="s">
        <v>539</v>
      </c>
      <c r="F129" s="1217" t="s">
        <v>229</v>
      </c>
      <c r="G129" s="1664">
        <v>240</v>
      </c>
      <c r="H129" s="1682">
        <v>310</v>
      </c>
      <c r="I129" s="529">
        <v>186</v>
      </c>
      <c r="J129" s="269">
        <v>306</v>
      </c>
      <c r="K129" s="1">
        <v>310</v>
      </c>
      <c r="N129" s="1200">
        <v>230</v>
      </c>
      <c r="U129" s="1682">
        <v>239.2</v>
      </c>
    </row>
    <row r="130" spans="1:25" ht="21" hidden="1" x14ac:dyDescent="0.25">
      <c r="A130" s="1179"/>
      <c r="B130" s="1183" t="s">
        <v>562</v>
      </c>
      <c r="C130" s="1183"/>
      <c r="D130" s="409" t="s">
        <v>495</v>
      </c>
      <c r="E130" s="409" t="s">
        <v>539</v>
      </c>
      <c r="F130" s="1217" t="s">
        <v>229</v>
      </c>
      <c r="G130" s="1664" t="s">
        <v>561</v>
      </c>
      <c r="H130" s="1682"/>
      <c r="I130" s="529"/>
      <c r="J130" s="269"/>
      <c r="N130" s="1200"/>
      <c r="U130" s="1682"/>
    </row>
    <row r="131" spans="1:25" x14ac:dyDescent="0.25">
      <c r="A131" s="1179"/>
      <c r="B131" s="1219" t="s">
        <v>560</v>
      </c>
      <c r="C131" s="1215"/>
      <c r="D131" s="1217" t="s">
        <v>495</v>
      </c>
      <c r="E131" s="1217" t="s">
        <v>539</v>
      </c>
      <c r="F131" s="1217" t="s">
        <v>227</v>
      </c>
      <c r="G131" s="1664"/>
      <c r="H131" s="1682">
        <f>H132</f>
        <v>392.68</v>
      </c>
      <c r="I131" s="529">
        <f>I132</f>
        <v>696</v>
      </c>
      <c r="J131" s="269">
        <f>J132</f>
        <v>30</v>
      </c>
      <c r="N131" s="1200">
        <f>N132</f>
        <v>596</v>
      </c>
      <c r="U131" s="1682">
        <f>U132</f>
        <v>619.84</v>
      </c>
    </row>
    <row r="132" spans="1:25" ht="21" x14ac:dyDescent="0.25">
      <c r="A132" s="1179"/>
      <c r="B132" s="1219" t="s">
        <v>559</v>
      </c>
      <c r="C132" s="1215"/>
      <c r="D132" s="1217" t="s">
        <v>495</v>
      </c>
      <c r="E132" s="1217" t="s">
        <v>539</v>
      </c>
      <c r="F132" s="1217" t="s">
        <v>225</v>
      </c>
      <c r="G132" s="1664"/>
      <c r="H132" s="1682">
        <f>H133</f>
        <v>392.68</v>
      </c>
      <c r="I132" s="529">
        <f>I133+I135</f>
        <v>696</v>
      </c>
      <c r="J132" s="269">
        <f>J133+J135</f>
        <v>30</v>
      </c>
      <c r="N132" s="1200">
        <f>N133</f>
        <v>596</v>
      </c>
      <c r="U132" s="1682">
        <f>U133</f>
        <v>619.84</v>
      </c>
    </row>
    <row r="133" spans="1:25" x14ac:dyDescent="0.25">
      <c r="A133" s="1179"/>
      <c r="B133" s="1220" t="s">
        <v>224</v>
      </c>
      <c r="C133" s="1188"/>
      <c r="D133" s="1217" t="s">
        <v>495</v>
      </c>
      <c r="E133" s="1217" t="s">
        <v>539</v>
      </c>
      <c r="F133" s="1217" t="s">
        <v>220</v>
      </c>
      <c r="G133" s="1664"/>
      <c r="H133" s="1682">
        <f>H134</f>
        <v>392.68</v>
      </c>
      <c r="I133" s="529">
        <f>I134</f>
        <v>696</v>
      </c>
      <c r="J133" s="269">
        <f>J134</f>
        <v>30</v>
      </c>
      <c r="N133" s="1200">
        <f>N134</f>
        <v>596</v>
      </c>
      <c r="U133" s="1682">
        <f>U134</f>
        <v>619.84</v>
      </c>
    </row>
    <row r="134" spans="1:25" ht="21" x14ac:dyDescent="0.25">
      <c r="A134" s="1179"/>
      <c r="B134" s="1182" t="s">
        <v>454</v>
      </c>
      <c r="C134" s="1183"/>
      <c r="D134" s="1217" t="s">
        <v>495</v>
      </c>
      <c r="E134" s="1217" t="s">
        <v>539</v>
      </c>
      <c r="F134" s="1217" t="s">
        <v>220</v>
      </c>
      <c r="G134" s="1662" t="s">
        <v>1</v>
      </c>
      <c r="H134" s="1682">
        <v>392.68</v>
      </c>
      <c r="I134" s="529">
        <v>696</v>
      </c>
      <c r="J134" s="269">
        <v>30</v>
      </c>
      <c r="K134" s="1">
        <v>392.68</v>
      </c>
      <c r="N134" s="1200">
        <v>596</v>
      </c>
      <c r="U134" s="1682">
        <v>619.84</v>
      </c>
    </row>
    <row r="135" spans="1:25" ht="27" customHeight="1" x14ac:dyDescent="0.25">
      <c r="A135" s="1179"/>
      <c r="B135" s="1214" t="s">
        <v>833</v>
      </c>
      <c r="C135" s="1188"/>
      <c r="D135" s="1221" t="s">
        <v>495</v>
      </c>
      <c r="E135" s="1221" t="s">
        <v>832</v>
      </c>
      <c r="F135" s="408"/>
      <c r="G135" s="1769"/>
      <c r="H135" s="1683">
        <f>H137</f>
        <v>7.1</v>
      </c>
      <c r="I135" s="529">
        <f>I137</f>
        <v>0</v>
      </c>
      <c r="J135" s="269">
        <f>J137</f>
        <v>0</v>
      </c>
      <c r="N135" s="1208">
        <f>N137</f>
        <v>7.1</v>
      </c>
      <c r="U135" s="1683">
        <f>U137</f>
        <v>7.1</v>
      </c>
      <c r="V135" s="1784">
        <v>7.1</v>
      </c>
      <c r="W135" s="1784">
        <v>7.1</v>
      </c>
      <c r="X135" s="1784">
        <v>7.1</v>
      </c>
      <c r="Y135" s="239" t="s">
        <v>444</v>
      </c>
    </row>
    <row r="136" spans="1:25" ht="26.25" customHeight="1" x14ac:dyDescent="0.25">
      <c r="A136" s="1179"/>
      <c r="B136" s="753" t="s">
        <v>583</v>
      </c>
      <c r="C136" s="1188"/>
      <c r="D136" s="1217" t="s">
        <v>495</v>
      </c>
      <c r="E136" s="1217" t="s">
        <v>832</v>
      </c>
      <c r="F136" s="409" t="s">
        <v>157</v>
      </c>
      <c r="G136" s="1664"/>
      <c r="H136" s="1682">
        <f>H137</f>
        <v>7.1</v>
      </c>
      <c r="I136" s="529"/>
      <c r="J136" s="269"/>
      <c r="N136" s="1200">
        <f>N137</f>
        <v>7.1</v>
      </c>
      <c r="U136" s="1682">
        <f>U137</f>
        <v>7.1</v>
      </c>
    </row>
    <row r="137" spans="1:25" ht="27.75" customHeight="1" x14ac:dyDescent="0.25">
      <c r="A137" s="1179"/>
      <c r="B137" s="1197" t="s">
        <v>156</v>
      </c>
      <c r="C137" s="1183"/>
      <c r="D137" s="1217" t="s">
        <v>495</v>
      </c>
      <c r="E137" s="1217" t="s">
        <v>832</v>
      </c>
      <c r="F137" s="409" t="s">
        <v>155</v>
      </c>
      <c r="G137" s="1662"/>
      <c r="H137" s="1682">
        <f>H138</f>
        <v>7.1</v>
      </c>
      <c r="I137" s="529"/>
      <c r="J137" s="269"/>
      <c r="N137" s="1200">
        <f>N138</f>
        <v>7.1</v>
      </c>
      <c r="U137" s="1682">
        <f>U138</f>
        <v>7.1</v>
      </c>
    </row>
    <row r="138" spans="1:25" x14ac:dyDescent="0.25">
      <c r="A138" s="842"/>
      <c r="B138" s="1219" t="s">
        <v>109</v>
      </c>
      <c r="C138" s="1222"/>
      <c r="D138" s="409" t="s">
        <v>495</v>
      </c>
      <c r="E138" s="409" t="s">
        <v>832</v>
      </c>
      <c r="F138" s="409" t="s">
        <v>154</v>
      </c>
      <c r="G138" s="1662"/>
      <c r="H138" s="1682">
        <f>H139</f>
        <v>7.1</v>
      </c>
      <c r="I138" s="841">
        <f t="shared" ref="I138:J139" si="19">I139</f>
        <v>0</v>
      </c>
      <c r="J138" s="276">
        <f t="shared" si="19"/>
        <v>0</v>
      </c>
      <c r="N138" s="1200">
        <f>N139</f>
        <v>7.1</v>
      </c>
      <c r="U138" s="1682">
        <f>U139</f>
        <v>7.1</v>
      </c>
    </row>
    <row r="139" spans="1:25" ht="31.5" x14ac:dyDescent="0.25">
      <c r="A139" s="1179"/>
      <c r="B139" s="1219" t="s">
        <v>834</v>
      </c>
      <c r="C139" s="1223"/>
      <c r="D139" s="409" t="s">
        <v>495</v>
      </c>
      <c r="E139" s="409" t="s">
        <v>832</v>
      </c>
      <c r="F139" s="409" t="s">
        <v>127</v>
      </c>
      <c r="G139" s="1662"/>
      <c r="H139" s="1682">
        <f>H140+H141</f>
        <v>7.1</v>
      </c>
      <c r="I139" s="529">
        <f t="shared" si="19"/>
        <v>0</v>
      </c>
      <c r="J139" s="269">
        <f t="shared" si="19"/>
        <v>0</v>
      </c>
      <c r="K139" s="1439">
        <f>K140+K141</f>
        <v>37.200000000000003</v>
      </c>
      <c r="N139" s="1200">
        <f>N140+N141</f>
        <v>7.1</v>
      </c>
      <c r="U139" s="1682">
        <f>U140+U141</f>
        <v>7.1</v>
      </c>
    </row>
    <row r="140" spans="1:25" x14ac:dyDescent="0.25">
      <c r="A140" s="842"/>
      <c r="B140" s="753" t="s">
        <v>571</v>
      </c>
      <c r="C140" s="1224"/>
      <c r="D140" s="1217" t="s">
        <v>495</v>
      </c>
      <c r="E140" s="1217" t="s">
        <v>832</v>
      </c>
      <c r="F140" s="409" t="s">
        <v>127</v>
      </c>
      <c r="G140" s="1662" t="s">
        <v>5</v>
      </c>
      <c r="H140" s="1682"/>
      <c r="I140" s="529"/>
      <c r="J140" s="269"/>
      <c r="N140" s="1200"/>
      <c r="U140" s="1682"/>
    </row>
    <row r="141" spans="1:25" ht="21" x14ac:dyDescent="0.25">
      <c r="A141" s="1179"/>
      <c r="B141" s="1182" t="s">
        <v>454</v>
      </c>
      <c r="C141" s="1183"/>
      <c r="D141" s="1217" t="s">
        <v>495</v>
      </c>
      <c r="E141" s="1217" t="s">
        <v>832</v>
      </c>
      <c r="F141" s="409" t="s">
        <v>127</v>
      </c>
      <c r="G141" s="1662" t="s">
        <v>1</v>
      </c>
      <c r="H141" s="1682">
        <v>7.1</v>
      </c>
      <c r="I141" s="529"/>
      <c r="J141" s="269"/>
      <c r="K141" s="1">
        <v>37.200000000000003</v>
      </c>
      <c r="N141" s="1200">
        <v>7.1</v>
      </c>
      <c r="U141" s="1682">
        <v>7.1</v>
      </c>
      <c r="V141" s="1784">
        <v>7.1</v>
      </c>
      <c r="W141" s="1784">
        <v>7.1</v>
      </c>
      <c r="X141" s="1784">
        <v>7.1</v>
      </c>
    </row>
    <row r="142" spans="1:25" x14ac:dyDescent="0.25">
      <c r="A142" s="1179"/>
      <c r="B142" s="1225" t="s">
        <v>396</v>
      </c>
      <c r="C142" s="1226"/>
      <c r="D142" s="1227" t="s">
        <v>452</v>
      </c>
      <c r="E142" s="1227" t="s">
        <v>459</v>
      </c>
      <c r="F142" s="1227"/>
      <c r="G142" s="1665"/>
      <c r="H142" s="1684">
        <f>H143+H176</f>
        <v>7119.9639999999999</v>
      </c>
      <c r="I142" s="853">
        <f>I143+I176</f>
        <v>6055</v>
      </c>
      <c r="J142" s="400">
        <f>J143+J176</f>
        <v>6300</v>
      </c>
      <c r="N142" s="1228">
        <f>N143+N176</f>
        <v>5644.7219999999998</v>
      </c>
      <c r="U142" s="1684">
        <f>U143+U176</f>
        <v>3924.0209999999997</v>
      </c>
    </row>
    <row r="143" spans="1:25" x14ac:dyDescent="0.25">
      <c r="A143" s="1229"/>
      <c r="B143" s="1225" t="s">
        <v>60</v>
      </c>
      <c r="C143" s="1227"/>
      <c r="D143" s="1227" t="s">
        <v>452</v>
      </c>
      <c r="E143" s="1227" t="s">
        <v>539</v>
      </c>
      <c r="F143" s="1227"/>
      <c r="G143" s="1665"/>
      <c r="H143" s="1684">
        <f>H148+H150+H156+H158+H175</f>
        <v>5289.9639999999999</v>
      </c>
      <c r="I143" s="853">
        <f>I144</f>
        <v>5740</v>
      </c>
      <c r="J143" s="400">
        <f>J144</f>
        <v>5980</v>
      </c>
      <c r="N143" s="1228">
        <f>N148+N150+N156+N158+N175</f>
        <v>3908.3220000000001</v>
      </c>
      <c r="U143" s="1684">
        <f>U148+U150+U156+U158+U175</f>
        <v>3021.3209999999999</v>
      </c>
    </row>
    <row r="144" spans="1:25" ht="30" customHeight="1" x14ac:dyDescent="0.25">
      <c r="A144" s="1179"/>
      <c r="B144" s="1205" t="s">
        <v>927</v>
      </c>
      <c r="C144" s="409"/>
      <c r="D144" s="409" t="s">
        <v>452</v>
      </c>
      <c r="E144" s="409" t="s">
        <v>539</v>
      </c>
      <c r="F144" s="409" t="s">
        <v>218</v>
      </c>
      <c r="G144" s="1662"/>
      <c r="H144" s="1682">
        <f>H145+H153</f>
        <v>5289.9639999999999</v>
      </c>
      <c r="I144" s="529">
        <f>I145+I153</f>
        <v>5740</v>
      </c>
      <c r="J144" s="270">
        <f>J145+J153</f>
        <v>5980</v>
      </c>
      <c r="N144" s="1200">
        <f>N145+N153</f>
        <v>2182.1999999999998</v>
      </c>
      <c r="U144" s="1682">
        <f>U145+U153</f>
        <v>1295.1990000000001</v>
      </c>
    </row>
    <row r="145" spans="1:24" ht="21" x14ac:dyDescent="0.25">
      <c r="A145" s="1179"/>
      <c r="B145" s="1205" t="s">
        <v>217</v>
      </c>
      <c r="C145" s="1217"/>
      <c r="D145" s="1217" t="s">
        <v>452</v>
      </c>
      <c r="E145" s="1217" t="s">
        <v>539</v>
      </c>
      <c r="F145" s="409" t="s">
        <v>216</v>
      </c>
      <c r="G145" s="1664"/>
      <c r="H145" s="1682">
        <f>H146</f>
        <v>4099.9639999999999</v>
      </c>
      <c r="I145" s="529">
        <f>I146</f>
        <v>0</v>
      </c>
      <c r="J145" s="270">
        <f>J146</f>
        <v>0</v>
      </c>
      <c r="K145" s="1440">
        <f>K148+K150+K156+K158+K175</f>
        <v>5289.9639999999999</v>
      </c>
      <c r="N145" s="1200"/>
      <c r="U145" s="1682"/>
    </row>
    <row r="146" spans="1:24" ht="52.5" x14ac:dyDescent="0.25">
      <c r="A146" s="1179"/>
      <c r="B146" s="1197" t="s">
        <v>986</v>
      </c>
      <c r="C146" s="1217"/>
      <c r="D146" s="1217" t="s">
        <v>452</v>
      </c>
      <c r="E146" s="1217" t="s">
        <v>539</v>
      </c>
      <c r="F146" s="1217" t="s">
        <v>214</v>
      </c>
      <c r="G146" s="1664"/>
      <c r="H146" s="1682">
        <f>H147+H149+H152</f>
        <v>4099.9639999999999</v>
      </c>
      <c r="I146" s="529">
        <f>I147+I149+I152</f>
        <v>0</v>
      </c>
      <c r="J146" s="270">
        <f>J147+J149+J152</f>
        <v>0</v>
      </c>
      <c r="N146" s="1200"/>
      <c r="U146" s="1682"/>
    </row>
    <row r="147" spans="1:24" x14ac:dyDescent="0.25">
      <c r="A147" s="1179"/>
      <c r="B147" s="1197" t="s">
        <v>619</v>
      </c>
      <c r="C147" s="1217"/>
      <c r="D147" s="1217" t="s">
        <v>452</v>
      </c>
      <c r="E147" s="1217" t="s">
        <v>539</v>
      </c>
      <c r="F147" s="1217" t="s">
        <v>213</v>
      </c>
      <c r="G147" s="1662"/>
      <c r="H147" s="1682">
        <f>H148</f>
        <v>2404.9500000000003</v>
      </c>
      <c r="I147" s="529">
        <f>I148</f>
        <v>0</v>
      </c>
      <c r="J147" s="270">
        <f>J148</f>
        <v>0</v>
      </c>
      <c r="N147" s="1200"/>
      <c r="U147" s="1682"/>
    </row>
    <row r="148" spans="1:24" ht="21" x14ac:dyDescent="0.25">
      <c r="A148" s="1179"/>
      <c r="B148" s="1182" t="s">
        <v>454</v>
      </c>
      <c r="C148" s="1217"/>
      <c r="D148" s="1217" t="s">
        <v>452</v>
      </c>
      <c r="E148" s="1217" t="s">
        <v>539</v>
      </c>
      <c r="F148" s="1217" t="s">
        <v>213</v>
      </c>
      <c r="G148" s="1662" t="s">
        <v>1</v>
      </c>
      <c r="H148" s="1682">
        <f>2821.65-416.7</f>
        <v>2404.9500000000003</v>
      </c>
      <c r="I148" s="529"/>
      <c r="J148" s="269"/>
      <c r="K148" s="1">
        <v>2043.85</v>
      </c>
      <c r="N148" s="1200"/>
      <c r="U148" s="1682"/>
      <c r="V148" s="237">
        <f>H143-V150-V156-V158</f>
        <v>2404.9499999999998</v>
      </c>
      <c r="W148" s="237"/>
      <c r="X148" s="237"/>
    </row>
    <row r="149" spans="1:24" ht="21" x14ac:dyDescent="0.25">
      <c r="A149" s="1179"/>
      <c r="B149" s="1197" t="s">
        <v>212</v>
      </c>
      <c r="C149" s="1217"/>
      <c r="D149" s="1217" t="s">
        <v>452</v>
      </c>
      <c r="E149" s="1217" t="s">
        <v>539</v>
      </c>
      <c r="F149" s="1217" t="s">
        <v>984</v>
      </c>
      <c r="G149" s="1662"/>
      <c r="H149" s="1682">
        <f>H150</f>
        <v>1695.0139999999999</v>
      </c>
      <c r="I149" s="529">
        <f>I150</f>
        <v>0</v>
      </c>
      <c r="J149" s="269">
        <f>J150</f>
        <v>0</v>
      </c>
      <c r="N149" s="1200"/>
      <c r="U149" s="1682"/>
    </row>
    <row r="150" spans="1:24" ht="21" x14ac:dyDescent="0.25">
      <c r="A150" s="1179"/>
      <c r="B150" s="1182" t="s">
        <v>454</v>
      </c>
      <c r="C150" s="1217"/>
      <c r="D150" s="1217" t="s">
        <v>452</v>
      </c>
      <c r="E150" s="1217" t="s">
        <v>539</v>
      </c>
      <c r="F150" s="1217" t="s">
        <v>984</v>
      </c>
      <c r="G150" s="1662" t="s">
        <v>1</v>
      </c>
      <c r="H150" s="1682">
        <v>1695.0139999999999</v>
      </c>
      <c r="I150" s="529"/>
      <c r="J150" s="269"/>
      <c r="K150" s="1">
        <v>750</v>
      </c>
      <c r="N150" s="1200">
        <v>1726.1220000000001</v>
      </c>
      <c r="U150" s="1682">
        <v>1726.1220000000001</v>
      </c>
      <c r="V150" s="1">
        <v>1695.0139999999999</v>
      </c>
      <c r="W150" s="1">
        <v>1726.1220000000001</v>
      </c>
      <c r="X150" s="1">
        <v>1726.1220000000001</v>
      </c>
    </row>
    <row r="151" spans="1:24" ht="26" hidden="1" x14ac:dyDescent="0.3">
      <c r="A151" s="1179"/>
      <c r="B151" s="336" t="s">
        <v>206</v>
      </c>
      <c r="C151" s="1217"/>
      <c r="D151" s="1217" t="s">
        <v>452</v>
      </c>
      <c r="E151" s="1217" t="s">
        <v>539</v>
      </c>
      <c r="F151" s="1217" t="s">
        <v>205</v>
      </c>
      <c r="G151" s="1662"/>
      <c r="H151" s="1682">
        <f>H152</f>
        <v>0</v>
      </c>
      <c r="I151" s="529">
        <f>I152</f>
        <v>0</v>
      </c>
      <c r="J151" s="269">
        <f>J152</f>
        <v>0</v>
      </c>
      <c r="N151" s="1200">
        <f>N152</f>
        <v>0</v>
      </c>
      <c r="U151" s="1682">
        <f>U152</f>
        <v>0</v>
      </c>
    </row>
    <row r="152" spans="1:24" ht="21" hidden="1" x14ac:dyDescent="0.25">
      <c r="A152" s="1179"/>
      <c r="B152" s="1182" t="s">
        <v>454</v>
      </c>
      <c r="C152" s="1217"/>
      <c r="D152" s="1217" t="s">
        <v>452</v>
      </c>
      <c r="E152" s="1217" t="s">
        <v>539</v>
      </c>
      <c r="F152" s="1217" t="s">
        <v>205</v>
      </c>
      <c r="G152" s="1662" t="s">
        <v>1</v>
      </c>
      <c r="H152" s="1682"/>
      <c r="I152" s="529"/>
      <c r="J152" s="269"/>
      <c r="N152" s="1200"/>
      <c r="U152" s="1682"/>
    </row>
    <row r="153" spans="1:24" ht="31.5" x14ac:dyDescent="0.25">
      <c r="A153" s="1179"/>
      <c r="B153" s="1205" t="s">
        <v>837</v>
      </c>
      <c r="C153" s="1217"/>
      <c r="D153" s="1217" t="s">
        <v>452</v>
      </c>
      <c r="E153" s="1217" t="s">
        <v>539</v>
      </c>
      <c r="F153" s="409" t="s">
        <v>204</v>
      </c>
      <c r="G153" s="1662"/>
      <c r="H153" s="1682">
        <f>H154</f>
        <v>1190</v>
      </c>
      <c r="I153" s="529">
        <f>I154</f>
        <v>5740</v>
      </c>
      <c r="J153" s="269">
        <f>J154</f>
        <v>5980</v>
      </c>
      <c r="N153" s="1200">
        <f>N154</f>
        <v>2182.1999999999998</v>
      </c>
      <c r="U153" s="1682">
        <f>U154</f>
        <v>1295.1990000000001</v>
      </c>
    </row>
    <row r="154" spans="1:24" x14ac:dyDescent="0.25">
      <c r="A154" s="1179"/>
      <c r="B154" s="1197" t="s">
        <v>203</v>
      </c>
      <c r="C154" s="1217"/>
      <c r="D154" s="1217" t="s">
        <v>452</v>
      </c>
      <c r="E154" s="1217" t="s">
        <v>539</v>
      </c>
      <c r="F154" s="1217" t="s">
        <v>202</v>
      </c>
      <c r="G154" s="1662"/>
      <c r="H154" s="1682">
        <f>H155+H157</f>
        <v>1190</v>
      </c>
      <c r="I154" s="529">
        <f>I155+I157</f>
        <v>5740</v>
      </c>
      <c r="J154" s="269">
        <f>J155+J157</f>
        <v>5980</v>
      </c>
      <c r="N154" s="1200">
        <f>N155+N157</f>
        <v>2182.1999999999998</v>
      </c>
      <c r="U154" s="1682">
        <f>U155+U157</f>
        <v>1295.1990000000001</v>
      </c>
    </row>
    <row r="155" spans="1:24" x14ac:dyDescent="0.25">
      <c r="A155" s="1179"/>
      <c r="B155" s="1197" t="s">
        <v>619</v>
      </c>
      <c r="C155" s="1217"/>
      <c r="D155" s="1217" t="s">
        <v>452</v>
      </c>
      <c r="E155" s="1217" t="s">
        <v>539</v>
      </c>
      <c r="F155" s="1217" t="s">
        <v>200</v>
      </c>
      <c r="G155" s="1662"/>
      <c r="H155" s="1682">
        <f>H156</f>
        <v>750</v>
      </c>
      <c r="I155" s="529">
        <f>I156</f>
        <v>5240</v>
      </c>
      <c r="J155" s="269">
        <f>J156</f>
        <v>5380</v>
      </c>
      <c r="N155" s="1200">
        <f>N156</f>
        <v>1722.2</v>
      </c>
      <c r="U155" s="1682">
        <f>U156</f>
        <v>775.19899999999996</v>
      </c>
    </row>
    <row r="156" spans="1:24" ht="21" x14ac:dyDescent="0.25">
      <c r="A156" s="1179"/>
      <c r="B156" s="1182" t="s">
        <v>454</v>
      </c>
      <c r="C156" s="1217"/>
      <c r="D156" s="1217" t="s">
        <v>452</v>
      </c>
      <c r="E156" s="1217" t="s">
        <v>539</v>
      </c>
      <c r="F156" s="1217" t="s">
        <v>200</v>
      </c>
      <c r="G156" s="1662" t="s">
        <v>1</v>
      </c>
      <c r="H156" s="1682">
        <v>750</v>
      </c>
      <c r="I156" s="529">
        <v>5240</v>
      </c>
      <c r="J156" s="269">
        <v>5380</v>
      </c>
      <c r="K156" s="1">
        <v>1667.2139999999999</v>
      </c>
      <c r="N156" s="1200">
        <v>1722.2</v>
      </c>
      <c r="U156" s="1682">
        <v>775.19899999999996</v>
      </c>
      <c r="V156" s="1">
        <v>750</v>
      </c>
    </row>
    <row r="157" spans="1:24" ht="21" x14ac:dyDescent="0.25">
      <c r="A157" s="1179"/>
      <c r="B157" s="1197" t="s">
        <v>199</v>
      </c>
      <c r="C157" s="1217"/>
      <c r="D157" s="1217" t="s">
        <v>452</v>
      </c>
      <c r="E157" s="1217" t="s">
        <v>539</v>
      </c>
      <c r="F157" s="1217" t="s">
        <v>198</v>
      </c>
      <c r="G157" s="1662"/>
      <c r="H157" s="1682">
        <f>H158</f>
        <v>440</v>
      </c>
      <c r="I157" s="529">
        <f>I158</f>
        <v>500</v>
      </c>
      <c r="J157" s="269">
        <f>J158</f>
        <v>600</v>
      </c>
      <c r="N157" s="1200">
        <f>N158</f>
        <v>460</v>
      </c>
      <c r="U157" s="1682">
        <f>U158</f>
        <v>520</v>
      </c>
    </row>
    <row r="158" spans="1:24" ht="21" x14ac:dyDescent="0.25">
      <c r="A158" s="1179"/>
      <c r="B158" s="1182" t="s">
        <v>454</v>
      </c>
      <c r="C158" s="1217"/>
      <c r="D158" s="1217" t="s">
        <v>452</v>
      </c>
      <c r="E158" s="1217" t="s">
        <v>539</v>
      </c>
      <c r="F158" s="1217" t="s">
        <v>198</v>
      </c>
      <c r="G158" s="1662" t="s">
        <v>1</v>
      </c>
      <c r="H158" s="1682">
        <v>440</v>
      </c>
      <c r="I158" s="529">
        <v>500</v>
      </c>
      <c r="J158" s="269">
        <v>600</v>
      </c>
      <c r="K158" s="1">
        <v>440</v>
      </c>
      <c r="N158" s="1200">
        <v>460</v>
      </c>
      <c r="U158" s="1682">
        <v>520</v>
      </c>
      <c r="V158" s="1">
        <v>440</v>
      </c>
      <c r="W158" s="1">
        <v>460</v>
      </c>
      <c r="X158" s="1">
        <v>520</v>
      </c>
    </row>
    <row r="159" spans="1:24" ht="31.5" hidden="1" x14ac:dyDescent="0.25">
      <c r="A159" s="842"/>
      <c r="B159" s="1230" t="s">
        <v>557</v>
      </c>
      <c r="C159" s="408"/>
      <c r="D159" s="408" t="s">
        <v>452</v>
      </c>
      <c r="E159" s="408" t="s">
        <v>539</v>
      </c>
      <c r="F159" s="408" t="s">
        <v>556</v>
      </c>
      <c r="G159" s="1661"/>
      <c r="H159" s="1683">
        <f>H160</f>
        <v>0</v>
      </c>
      <c r="I159" s="841">
        <f>I160</f>
        <v>0</v>
      </c>
      <c r="J159" s="276">
        <f>J160</f>
        <v>0</v>
      </c>
      <c r="N159" s="1208">
        <f>N160</f>
        <v>0</v>
      </c>
      <c r="U159" s="1683">
        <f>U160</f>
        <v>0</v>
      </c>
    </row>
    <row r="160" spans="1:24" ht="21" hidden="1" x14ac:dyDescent="0.25">
      <c r="A160" s="1179"/>
      <c r="B160" s="1219" t="s">
        <v>555</v>
      </c>
      <c r="C160" s="1217"/>
      <c r="D160" s="1217" t="s">
        <v>452</v>
      </c>
      <c r="E160" s="1217" t="s">
        <v>539</v>
      </c>
      <c r="F160" s="1217" t="s">
        <v>554</v>
      </c>
      <c r="G160" s="1664"/>
      <c r="H160" s="1682">
        <f>H161+H164</f>
        <v>0</v>
      </c>
      <c r="I160" s="529">
        <f>I161+I164</f>
        <v>0</v>
      </c>
      <c r="J160" s="269">
        <f>J161+J164</f>
        <v>0</v>
      </c>
      <c r="N160" s="1200">
        <f>N161+N164</f>
        <v>0</v>
      </c>
      <c r="U160" s="1682">
        <f>U161+U164</f>
        <v>0</v>
      </c>
    </row>
    <row r="161" spans="1:21" ht="31.5" hidden="1" x14ac:dyDescent="0.25">
      <c r="A161" s="1179"/>
      <c r="B161" s="1219" t="s">
        <v>553</v>
      </c>
      <c r="C161" s="1217"/>
      <c r="D161" s="1217" t="s">
        <v>452</v>
      </c>
      <c r="E161" s="1217" t="s">
        <v>539</v>
      </c>
      <c r="F161" s="1217" t="s">
        <v>552</v>
      </c>
      <c r="G161" s="1664"/>
      <c r="H161" s="1682">
        <f t="shared" ref="H161:J162" si="20">H162</f>
        <v>0</v>
      </c>
      <c r="I161" s="529">
        <f t="shared" si="20"/>
        <v>0</v>
      </c>
      <c r="J161" s="269">
        <f t="shared" si="20"/>
        <v>0</v>
      </c>
      <c r="N161" s="1200">
        <f t="shared" ref="N161:N162" si="21">N162</f>
        <v>0</v>
      </c>
      <c r="U161" s="1682">
        <f t="shared" ref="U161:U162" si="22">U162</f>
        <v>0</v>
      </c>
    </row>
    <row r="162" spans="1:21" ht="31.5" hidden="1" x14ac:dyDescent="0.25">
      <c r="A162" s="1179"/>
      <c r="B162" s="753" t="s">
        <v>551</v>
      </c>
      <c r="C162" s="1217"/>
      <c r="D162" s="1217" t="s">
        <v>452</v>
      </c>
      <c r="E162" s="1217" t="s">
        <v>539</v>
      </c>
      <c r="F162" s="1217" t="s">
        <v>550</v>
      </c>
      <c r="G162" s="1664"/>
      <c r="H162" s="1682">
        <f t="shared" si="20"/>
        <v>0</v>
      </c>
      <c r="I162" s="529">
        <f t="shared" si="20"/>
        <v>0</v>
      </c>
      <c r="J162" s="269">
        <f t="shared" si="20"/>
        <v>0</v>
      </c>
      <c r="N162" s="1200">
        <f t="shared" si="21"/>
        <v>0</v>
      </c>
      <c r="U162" s="1682">
        <f t="shared" si="22"/>
        <v>0</v>
      </c>
    </row>
    <row r="163" spans="1:21" hidden="1" x14ac:dyDescent="0.25">
      <c r="A163" s="1179"/>
      <c r="B163" s="1182" t="s">
        <v>481</v>
      </c>
      <c r="C163" s="1217"/>
      <c r="D163" s="1217" t="s">
        <v>452</v>
      </c>
      <c r="E163" s="1217" t="s">
        <v>539</v>
      </c>
      <c r="F163" s="1217" t="s">
        <v>550</v>
      </c>
      <c r="G163" s="1662" t="s">
        <v>26</v>
      </c>
      <c r="H163" s="1682">
        <v>0</v>
      </c>
      <c r="I163" s="529">
        <v>0</v>
      </c>
      <c r="J163" s="269">
        <v>0</v>
      </c>
      <c r="N163" s="1200">
        <v>0</v>
      </c>
      <c r="U163" s="1682">
        <v>0</v>
      </c>
    </row>
    <row r="164" spans="1:21" ht="42" hidden="1" x14ac:dyDescent="0.25">
      <c r="A164" s="1179"/>
      <c r="B164" s="1219" t="s">
        <v>549</v>
      </c>
      <c r="C164" s="1217"/>
      <c r="D164" s="1217" t="s">
        <v>548</v>
      </c>
      <c r="E164" s="1217" t="s">
        <v>539</v>
      </c>
      <c r="F164" s="1217" t="s">
        <v>547</v>
      </c>
      <c r="G164" s="1664"/>
      <c r="H164" s="1682">
        <f>H165+H167+H169</f>
        <v>0</v>
      </c>
      <c r="I164" s="529">
        <f>I165+I167+I169</f>
        <v>0</v>
      </c>
      <c r="J164" s="269">
        <f>J165+J167+J169</f>
        <v>0</v>
      </c>
      <c r="N164" s="1200">
        <f>N165+N167+N169</f>
        <v>0</v>
      </c>
      <c r="U164" s="1682">
        <f>U165+U167+U169</f>
        <v>0</v>
      </c>
    </row>
    <row r="165" spans="1:21" ht="21" hidden="1" x14ac:dyDescent="0.25">
      <c r="A165" s="1179"/>
      <c r="B165" s="753" t="s">
        <v>546</v>
      </c>
      <c r="C165" s="1217"/>
      <c r="D165" s="1217" t="s">
        <v>452</v>
      </c>
      <c r="E165" s="1217" t="s">
        <v>539</v>
      </c>
      <c r="F165" s="1217" t="s">
        <v>545</v>
      </c>
      <c r="G165" s="1664"/>
      <c r="H165" s="1682">
        <f>H166</f>
        <v>0</v>
      </c>
      <c r="I165" s="529">
        <f>I166</f>
        <v>0</v>
      </c>
      <c r="J165" s="269">
        <f>J166</f>
        <v>0</v>
      </c>
      <c r="N165" s="1200">
        <f>N166</f>
        <v>0</v>
      </c>
      <c r="U165" s="1682">
        <f>U166</f>
        <v>0</v>
      </c>
    </row>
    <row r="166" spans="1:21" ht="21" hidden="1" x14ac:dyDescent="0.25">
      <c r="A166" s="1179"/>
      <c r="B166" s="1182" t="s">
        <v>454</v>
      </c>
      <c r="C166" s="1217"/>
      <c r="D166" s="1217" t="s">
        <v>452</v>
      </c>
      <c r="E166" s="1217" t="s">
        <v>539</v>
      </c>
      <c r="F166" s="1217" t="s">
        <v>545</v>
      </c>
      <c r="G166" s="1662" t="s">
        <v>1</v>
      </c>
      <c r="H166" s="1682"/>
      <c r="I166" s="529"/>
      <c r="J166" s="269"/>
      <c r="N166" s="1200"/>
      <c r="U166" s="1682"/>
    </row>
    <row r="167" spans="1:21" ht="31.5" hidden="1" x14ac:dyDescent="0.25">
      <c r="A167" s="1229"/>
      <c r="B167" s="753" t="s">
        <v>544</v>
      </c>
      <c r="C167" s="1217"/>
      <c r="D167" s="1217" t="s">
        <v>452</v>
      </c>
      <c r="E167" s="1217" t="s">
        <v>539</v>
      </c>
      <c r="F167" s="1217" t="s">
        <v>543</v>
      </c>
      <c r="G167" s="1664"/>
      <c r="H167" s="1682">
        <f>H168</f>
        <v>0</v>
      </c>
      <c r="I167" s="529">
        <f>I168</f>
        <v>0</v>
      </c>
      <c r="J167" s="269">
        <f>J168</f>
        <v>0</v>
      </c>
      <c r="N167" s="1200">
        <f>N168</f>
        <v>0</v>
      </c>
      <c r="U167" s="1682">
        <f>U168</f>
        <v>0</v>
      </c>
    </row>
    <row r="168" spans="1:21" ht="21" hidden="1" x14ac:dyDescent="0.25">
      <c r="A168" s="1229"/>
      <c r="B168" s="1182" t="s">
        <v>454</v>
      </c>
      <c r="C168" s="1217"/>
      <c r="D168" s="1217" t="s">
        <v>452</v>
      </c>
      <c r="E168" s="1217" t="s">
        <v>539</v>
      </c>
      <c r="F168" s="1217" t="s">
        <v>543</v>
      </c>
      <c r="G168" s="1662" t="s">
        <v>1</v>
      </c>
      <c r="H168" s="1682"/>
      <c r="I168" s="529"/>
      <c r="J168" s="269"/>
      <c r="N168" s="1200"/>
      <c r="U168" s="1682"/>
    </row>
    <row r="169" spans="1:21" ht="31.5" hidden="1" x14ac:dyDescent="0.25">
      <c r="A169" s="1229"/>
      <c r="B169" s="753" t="s">
        <v>542</v>
      </c>
      <c r="C169" s="1217"/>
      <c r="D169" s="1217" t="s">
        <v>452</v>
      </c>
      <c r="E169" s="1217" t="s">
        <v>539</v>
      </c>
      <c r="F169" s="1217" t="s">
        <v>541</v>
      </c>
      <c r="G169" s="1664"/>
      <c r="H169" s="1682">
        <f>H170</f>
        <v>0</v>
      </c>
      <c r="I169" s="529">
        <f>I170</f>
        <v>0</v>
      </c>
      <c r="J169" s="269">
        <f>J170</f>
        <v>0</v>
      </c>
      <c r="N169" s="1200">
        <f>N170</f>
        <v>0</v>
      </c>
      <c r="U169" s="1682">
        <f>U170</f>
        <v>0</v>
      </c>
    </row>
    <row r="170" spans="1:21" ht="21" hidden="1" x14ac:dyDescent="0.25">
      <c r="A170" s="1229"/>
      <c r="B170" s="1182" t="s">
        <v>454</v>
      </c>
      <c r="C170" s="1217"/>
      <c r="D170" s="1217" t="s">
        <v>452</v>
      </c>
      <c r="E170" s="1217" t="s">
        <v>539</v>
      </c>
      <c r="F170" s="1217" t="s">
        <v>541</v>
      </c>
      <c r="G170" s="1662" t="s">
        <v>1</v>
      </c>
      <c r="H170" s="1682"/>
      <c r="I170" s="529"/>
      <c r="J170" s="269"/>
      <c r="N170" s="1200"/>
      <c r="U170" s="1682"/>
    </row>
    <row r="171" spans="1:21" ht="21" hidden="1" x14ac:dyDescent="0.25">
      <c r="A171" s="1211"/>
      <c r="B171" s="753" t="s">
        <v>499</v>
      </c>
      <c r="C171" s="1177"/>
      <c r="D171" s="409" t="s">
        <v>452</v>
      </c>
      <c r="E171" s="409" t="s">
        <v>539</v>
      </c>
      <c r="F171" s="409" t="s">
        <v>89</v>
      </c>
      <c r="G171" s="1662"/>
      <c r="H171" s="1682">
        <f t="shared" ref="H171:J174" si="23">H172</f>
        <v>0</v>
      </c>
      <c r="I171" s="841">
        <f t="shared" si="23"/>
        <v>0</v>
      </c>
      <c r="J171" s="276">
        <f t="shared" si="23"/>
        <v>0</v>
      </c>
      <c r="N171" s="1200">
        <f t="shared" ref="N171:N174" si="24">N172</f>
        <v>0</v>
      </c>
      <c r="U171" s="1682">
        <f t="shared" ref="U171:U174" si="25">U172</f>
        <v>0</v>
      </c>
    </row>
    <row r="172" spans="1:21" hidden="1" x14ac:dyDescent="0.25">
      <c r="A172" s="842"/>
      <c r="B172" s="753" t="s">
        <v>109</v>
      </c>
      <c r="C172" s="1177"/>
      <c r="D172" s="409" t="s">
        <v>452</v>
      </c>
      <c r="E172" s="409" t="s">
        <v>539</v>
      </c>
      <c r="F172" s="409" t="s">
        <v>84</v>
      </c>
      <c r="G172" s="1662"/>
      <c r="H172" s="1682">
        <f t="shared" si="23"/>
        <v>0</v>
      </c>
      <c r="I172" s="841">
        <f t="shared" si="23"/>
        <v>0</v>
      </c>
      <c r="J172" s="276">
        <f t="shared" si="23"/>
        <v>0</v>
      </c>
      <c r="N172" s="1200">
        <f t="shared" si="24"/>
        <v>0</v>
      </c>
      <c r="U172" s="1682">
        <f t="shared" si="25"/>
        <v>0</v>
      </c>
    </row>
    <row r="173" spans="1:21" hidden="1" x14ac:dyDescent="0.25">
      <c r="A173" s="842"/>
      <c r="B173" s="753" t="s">
        <v>109</v>
      </c>
      <c r="C173" s="1177"/>
      <c r="D173" s="409" t="s">
        <v>452</v>
      </c>
      <c r="E173" s="409" t="s">
        <v>539</v>
      </c>
      <c r="F173" s="409" t="s">
        <v>82</v>
      </c>
      <c r="G173" s="1662"/>
      <c r="H173" s="1682">
        <f>H174</f>
        <v>0</v>
      </c>
      <c r="I173" s="841">
        <f t="shared" si="23"/>
        <v>0</v>
      </c>
      <c r="J173" s="276">
        <f t="shared" si="23"/>
        <v>0</v>
      </c>
      <c r="K173" s="1">
        <v>388.9</v>
      </c>
      <c r="N173" s="1200">
        <f>N174</f>
        <v>0</v>
      </c>
      <c r="U173" s="1682">
        <f>U174</f>
        <v>0</v>
      </c>
    </row>
    <row r="174" spans="1:21" ht="21" hidden="1" x14ac:dyDescent="0.25">
      <c r="A174" s="1229"/>
      <c r="B174" s="1481" t="s">
        <v>967</v>
      </c>
      <c r="C174" s="409"/>
      <c r="D174" s="409" t="s">
        <v>452</v>
      </c>
      <c r="E174" s="409" t="s">
        <v>539</v>
      </c>
      <c r="F174" s="1231" t="s">
        <v>965</v>
      </c>
      <c r="G174" s="1662"/>
      <c r="H174" s="1682">
        <f t="shared" si="23"/>
        <v>0</v>
      </c>
      <c r="I174" s="529">
        <f t="shared" si="23"/>
        <v>0</v>
      </c>
      <c r="J174" s="269">
        <f t="shared" si="23"/>
        <v>0</v>
      </c>
      <c r="N174" s="1200">
        <f t="shared" si="24"/>
        <v>0</v>
      </c>
      <c r="U174" s="1682">
        <f t="shared" si="25"/>
        <v>0</v>
      </c>
    </row>
    <row r="175" spans="1:21" ht="21" hidden="1" x14ac:dyDescent="0.25">
      <c r="A175" s="1229"/>
      <c r="B175" s="1182" t="s">
        <v>454</v>
      </c>
      <c r="C175" s="1217"/>
      <c r="D175" s="1217" t="s">
        <v>452</v>
      </c>
      <c r="E175" s="1217" t="s">
        <v>539</v>
      </c>
      <c r="F175" s="1231" t="s">
        <v>965</v>
      </c>
      <c r="G175" s="1662" t="s">
        <v>1</v>
      </c>
      <c r="H175" s="1682"/>
      <c r="I175" s="529"/>
      <c r="J175" s="269"/>
      <c r="K175" s="1">
        <v>388.9</v>
      </c>
      <c r="N175" s="1200"/>
      <c r="U175" s="1682"/>
    </row>
    <row r="176" spans="1:21" x14ac:dyDescent="0.25">
      <c r="A176" s="1229"/>
      <c r="B176" s="1225" t="s">
        <v>51</v>
      </c>
      <c r="C176" s="1227"/>
      <c r="D176" s="1227" t="s">
        <v>452</v>
      </c>
      <c r="E176" s="1227" t="s">
        <v>534</v>
      </c>
      <c r="F176" s="1227"/>
      <c r="G176" s="1665"/>
      <c r="H176" s="1684">
        <f>H177+H181</f>
        <v>1830</v>
      </c>
      <c r="I176" s="853">
        <f>I177+I181</f>
        <v>315</v>
      </c>
      <c r="J176" s="400">
        <f>J177+J181</f>
        <v>320</v>
      </c>
      <c r="N176" s="1228">
        <f>N177+N181</f>
        <v>1736.4</v>
      </c>
      <c r="U176" s="1684">
        <f>U177+U181</f>
        <v>902.69999999999993</v>
      </c>
    </row>
    <row r="177" spans="1:21" ht="31.5" x14ac:dyDescent="0.25">
      <c r="A177" s="1179"/>
      <c r="B177" s="1205" t="s">
        <v>907</v>
      </c>
      <c r="C177" s="409"/>
      <c r="D177" s="409" t="s">
        <v>452</v>
      </c>
      <c r="E177" s="409" t="s">
        <v>534</v>
      </c>
      <c r="F177" s="409" t="s">
        <v>292</v>
      </c>
      <c r="G177" s="1662"/>
      <c r="H177" s="1682">
        <f t="shared" ref="H177:J179" si="26">H178</f>
        <v>330</v>
      </c>
      <c r="I177" s="529">
        <f t="shared" si="26"/>
        <v>315</v>
      </c>
      <c r="J177" s="270">
        <f t="shared" si="26"/>
        <v>320</v>
      </c>
      <c r="K177" s="1439">
        <f>330</f>
        <v>330</v>
      </c>
      <c r="N177" s="1200">
        <f t="shared" ref="N177:N179" si="27">N178</f>
        <v>330</v>
      </c>
      <c r="U177" s="1682">
        <f t="shared" ref="U177:U179" si="28">U178</f>
        <v>350</v>
      </c>
    </row>
    <row r="178" spans="1:21" ht="31.5" x14ac:dyDescent="0.25">
      <c r="A178" s="1179"/>
      <c r="B178" s="1197" t="s">
        <v>289</v>
      </c>
      <c r="C178" s="409"/>
      <c r="D178" s="409" t="s">
        <v>452</v>
      </c>
      <c r="E178" s="409" t="s">
        <v>534</v>
      </c>
      <c r="F178" s="409" t="s">
        <v>286</v>
      </c>
      <c r="G178" s="1662"/>
      <c r="H178" s="1682">
        <f t="shared" si="26"/>
        <v>330</v>
      </c>
      <c r="I178" s="529">
        <f t="shared" si="26"/>
        <v>315</v>
      </c>
      <c r="J178" s="270">
        <f t="shared" si="26"/>
        <v>320</v>
      </c>
      <c r="N178" s="1200">
        <f t="shared" si="27"/>
        <v>330</v>
      </c>
      <c r="U178" s="1682">
        <f t="shared" si="28"/>
        <v>350</v>
      </c>
    </row>
    <row r="179" spans="1:21" ht="21" x14ac:dyDescent="0.25">
      <c r="A179" s="1179"/>
      <c r="B179" s="1232" t="s">
        <v>287</v>
      </c>
      <c r="C179" s="1217"/>
      <c r="D179" s="1217" t="s">
        <v>452</v>
      </c>
      <c r="E179" s="1217" t="s">
        <v>534</v>
      </c>
      <c r="F179" s="1217" t="s">
        <v>275</v>
      </c>
      <c r="G179" s="1664"/>
      <c r="H179" s="1682">
        <f t="shared" si="26"/>
        <v>330</v>
      </c>
      <c r="I179" s="529">
        <f t="shared" si="26"/>
        <v>315</v>
      </c>
      <c r="J179" s="270">
        <f t="shared" si="26"/>
        <v>320</v>
      </c>
      <c r="N179" s="1200">
        <f t="shared" si="27"/>
        <v>330</v>
      </c>
      <c r="U179" s="1682">
        <f t="shared" si="28"/>
        <v>350</v>
      </c>
    </row>
    <row r="180" spans="1:21" ht="21" x14ac:dyDescent="0.25">
      <c r="A180" s="1179"/>
      <c r="B180" s="1182" t="s">
        <v>454</v>
      </c>
      <c r="C180" s="1217"/>
      <c r="D180" s="1217" t="s">
        <v>452</v>
      </c>
      <c r="E180" s="1217" t="s">
        <v>534</v>
      </c>
      <c r="F180" s="1217" t="s">
        <v>275</v>
      </c>
      <c r="G180" s="1662" t="s">
        <v>1</v>
      </c>
      <c r="H180" s="1682">
        <v>330</v>
      </c>
      <c r="I180" s="529">
        <v>315</v>
      </c>
      <c r="J180" s="269">
        <v>320</v>
      </c>
      <c r="K180" s="1">
        <v>330</v>
      </c>
      <c r="N180" s="1200">
        <v>330</v>
      </c>
      <c r="U180" s="1682">
        <v>350</v>
      </c>
    </row>
    <row r="181" spans="1:21" ht="21" x14ac:dyDescent="0.25">
      <c r="A181" s="1233"/>
      <c r="B181" s="753" t="s">
        <v>499</v>
      </c>
      <c r="C181" s="1180"/>
      <c r="D181" s="409" t="s">
        <v>452</v>
      </c>
      <c r="E181" s="409" t="s">
        <v>534</v>
      </c>
      <c r="F181" s="409" t="s">
        <v>89</v>
      </c>
      <c r="G181" s="1662"/>
      <c r="H181" s="1682">
        <f>H182</f>
        <v>1500</v>
      </c>
      <c r="I181" s="529">
        <f t="shared" ref="H181:J182" si="29">I182</f>
        <v>0</v>
      </c>
      <c r="J181" s="270">
        <f t="shared" si="29"/>
        <v>0</v>
      </c>
      <c r="N181" s="1200">
        <f>N182</f>
        <v>1406.4</v>
      </c>
      <c r="U181" s="1682">
        <f>U182</f>
        <v>552.69999999999993</v>
      </c>
    </row>
    <row r="182" spans="1:21" x14ac:dyDescent="0.25">
      <c r="A182" s="1179"/>
      <c r="B182" s="753" t="s">
        <v>109</v>
      </c>
      <c r="C182" s="1180"/>
      <c r="D182" s="409" t="s">
        <v>452</v>
      </c>
      <c r="E182" s="409" t="s">
        <v>534</v>
      </c>
      <c r="F182" s="409" t="s">
        <v>84</v>
      </c>
      <c r="G182" s="1662"/>
      <c r="H182" s="1682">
        <f t="shared" si="29"/>
        <v>1500</v>
      </c>
      <c r="I182" s="529">
        <f t="shared" si="29"/>
        <v>0</v>
      </c>
      <c r="J182" s="270">
        <f t="shared" si="29"/>
        <v>0</v>
      </c>
      <c r="N182" s="1200">
        <f t="shared" ref="N182" si="30">N183</f>
        <v>1406.4</v>
      </c>
      <c r="U182" s="1682">
        <f t="shared" ref="U182" si="31">U183</f>
        <v>552.69999999999993</v>
      </c>
    </row>
    <row r="183" spans="1:21" x14ac:dyDescent="0.25">
      <c r="A183" s="1179"/>
      <c r="B183" s="753" t="s">
        <v>109</v>
      </c>
      <c r="C183" s="1180"/>
      <c r="D183" s="409" t="s">
        <v>452</v>
      </c>
      <c r="E183" s="409" t="s">
        <v>534</v>
      </c>
      <c r="F183" s="409" t="s">
        <v>82</v>
      </c>
      <c r="G183" s="1662"/>
      <c r="H183" s="1682">
        <f>H184+H186+H189+H190</f>
        <v>1500</v>
      </c>
      <c r="I183" s="529">
        <f>I184+I186+I189</f>
        <v>0</v>
      </c>
      <c r="J183" s="270">
        <f>J184+J186+J189</f>
        <v>0</v>
      </c>
      <c r="K183" s="1439">
        <f>K185+K187+K189</f>
        <v>1500</v>
      </c>
      <c r="N183" s="1200">
        <f>N184+N186+N189+N190</f>
        <v>1406.4</v>
      </c>
      <c r="U183" s="1682">
        <f>U184+U186+U189+U190</f>
        <v>552.69999999999993</v>
      </c>
    </row>
    <row r="184" spans="1:21" x14ac:dyDescent="0.25">
      <c r="A184" s="842"/>
      <c r="B184" s="753" t="s">
        <v>537</v>
      </c>
      <c r="C184" s="409"/>
      <c r="D184" s="409" t="s">
        <v>452</v>
      </c>
      <c r="E184" s="409" t="s">
        <v>534</v>
      </c>
      <c r="F184" s="409" t="s">
        <v>536</v>
      </c>
      <c r="G184" s="1662"/>
      <c r="H184" s="1682">
        <f>H185</f>
        <v>500</v>
      </c>
      <c r="I184" s="529">
        <f>I185</f>
        <v>0</v>
      </c>
      <c r="J184" s="270">
        <f>J185</f>
        <v>0</v>
      </c>
      <c r="N184" s="1200">
        <f>N185</f>
        <v>902.4</v>
      </c>
      <c r="U184" s="1682">
        <f>U185</f>
        <v>248.69999999999993</v>
      </c>
    </row>
    <row r="185" spans="1:21" ht="21" x14ac:dyDescent="0.25">
      <c r="A185" s="1229"/>
      <c r="B185" s="1182" t="s">
        <v>454</v>
      </c>
      <c r="C185" s="1217"/>
      <c r="D185" s="1217" t="s">
        <v>452</v>
      </c>
      <c r="E185" s="1217" t="s">
        <v>534</v>
      </c>
      <c r="F185" s="1217" t="s">
        <v>536</v>
      </c>
      <c r="G185" s="1662" t="s">
        <v>1</v>
      </c>
      <c r="H185" s="1682">
        <v>500</v>
      </c>
      <c r="I185" s="529"/>
      <c r="J185" s="270"/>
      <c r="K185" s="1031">
        <v>500</v>
      </c>
      <c r="N185" s="1200">
        <f>1054.5-152.1</f>
        <v>902.4</v>
      </c>
      <c r="U185" s="1682">
        <f>586.8-338.1</f>
        <v>248.69999999999993</v>
      </c>
    </row>
    <row r="186" spans="1:21" x14ac:dyDescent="0.25">
      <c r="A186" s="842"/>
      <c r="B186" s="753" t="s">
        <v>535</v>
      </c>
      <c r="C186" s="409"/>
      <c r="D186" s="409" t="s">
        <v>452</v>
      </c>
      <c r="E186" s="409" t="s">
        <v>534</v>
      </c>
      <c r="F186" s="409" t="s">
        <v>54</v>
      </c>
      <c r="G186" s="1662"/>
      <c r="H186" s="1682">
        <f>H187</f>
        <v>94.8</v>
      </c>
      <c r="I186" s="529">
        <f>I187</f>
        <v>0</v>
      </c>
      <c r="J186" s="270">
        <f>J187</f>
        <v>0</v>
      </c>
      <c r="N186" s="1200"/>
      <c r="U186" s="1682"/>
    </row>
    <row r="187" spans="1:21" ht="21" x14ac:dyDescent="0.25">
      <c r="A187" s="1234"/>
      <c r="B187" s="1182" t="s">
        <v>454</v>
      </c>
      <c r="C187" s="1217"/>
      <c r="D187" s="1217" t="s">
        <v>452</v>
      </c>
      <c r="E187" s="1217" t="s">
        <v>534</v>
      </c>
      <c r="F187" s="1217" t="s">
        <v>54</v>
      </c>
      <c r="G187" s="1662" t="s">
        <v>1</v>
      </c>
      <c r="H187" s="1682">
        <v>94.8</v>
      </c>
      <c r="I187" s="529"/>
      <c r="J187" s="269"/>
      <c r="K187" s="1">
        <v>94.8</v>
      </c>
      <c r="N187" s="1200"/>
      <c r="U187" s="1682"/>
    </row>
    <row r="188" spans="1:21" x14ac:dyDescent="0.25">
      <c r="A188" s="1234"/>
      <c r="B188" s="753" t="s">
        <v>53</v>
      </c>
      <c r="C188" s="409"/>
      <c r="D188" s="409" t="s">
        <v>452</v>
      </c>
      <c r="E188" s="409" t="s">
        <v>534</v>
      </c>
      <c r="F188" s="409" t="s">
        <v>50</v>
      </c>
      <c r="G188" s="1662"/>
      <c r="H188" s="1682">
        <f>H189+H190</f>
        <v>905.2</v>
      </c>
      <c r="I188" s="529">
        <f>I189</f>
        <v>0</v>
      </c>
      <c r="J188" s="269">
        <f>J189</f>
        <v>0</v>
      </c>
      <c r="N188" s="1200">
        <f>N189+N190</f>
        <v>504</v>
      </c>
      <c r="U188" s="1682">
        <f>U189+U190</f>
        <v>304</v>
      </c>
    </row>
    <row r="189" spans="1:21" ht="21" x14ac:dyDescent="0.25">
      <c r="A189" s="1234"/>
      <c r="B189" s="1182" t="s">
        <v>454</v>
      </c>
      <c r="C189" s="1217"/>
      <c r="D189" s="1217" t="s">
        <v>452</v>
      </c>
      <c r="E189" s="1217" t="s">
        <v>534</v>
      </c>
      <c r="F189" s="1217" t="s">
        <v>50</v>
      </c>
      <c r="G189" s="1662" t="s">
        <v>1</v>
      </c>
      <c r="H189" s="1682">
        <v>905.2</v>
      </c>
      <c r="I189" s="529"/>
      <c r="J189" s="269"/>
      <c r="K189" s="1031">
        <v>905.2</v>
      </c>
      <c r="N189" s="1200">
        <v>504</v>
      </c>
      <c r="U189" s="1682">
        <f>904-600</f>
        <v>304</v>
      </c>
    </row>
    <row r="190" spans="1:21" hidden="1" x14ac:dyDescent="0.25">
      <c r="A190" s="1234"/>
      <c r="B190" s="1182" t="s">
        <v>622</v>
      </c>
      <c r="C190" s="1217"/>
      <c r="D190" s="1217"/>
      <c r="E190" s="1217"/>
      <c r="F190" s="1217"/>
      <c r="G190" s="1662"/>
      <c r="H190" s="1682"/>
      <c r="I190" s="529"/>
      <c r="J190" s="404"/>
      <c r="N190" s="1200"/>
      <c r="U190" s="1682"/>
    </row>
    <row r="191" spans="1:21" x14ac:dyDescent="0.25">
      <c r="A191" s="1234"/>
      <c r="B191" s="1225" t="s">
        <v>378</v>
      </c>
      <c r="C191" s="1226"/>
      <c r="D191" s="1227" t="s">
        <v>463</v>
      </c>
      <c r="E191" s="1227" t="s">
        <v>459</v>
      </c>
      <c r="F191" s="1227"/>
      <c r="G191" s="1665"/>
      <c r="H191" s="1684">
        <f>H192+H212+H240</f>
        <v>43676.213000000003</v>
      </c>
      <c r="I191" s="853">
        <f>I192+I212+I240</f>
        <v>40536.79</v>
      </c>
      <c r="J191" s="400">
        <f>J192+J212+J240</f>
        <v>40253.18</v>
      </c>
      <c r="N191" s="1228">
        <f>N192+N212+N240</f>
        <v>43860.957999999999</v>
      </c>
      <c r="U191" s="1684">
        <f>U192+U212+U240</f>
        <v>44010.890000000007</v>
      </c>
    </row>
    <row r="192" spans="1:21" x14ac:dyDescent="0.25">
      <c r="A192" s="1229"/>
      <c r="B192" s="1225" t="s">
        <v>11</v>
      </c>
      <c r="C192" s="1227"/>
      <c r="D192" s="1227" t="s">
        <v>463</v>
      </c>
      <c r="E192" s="1227" t="s">
        <v>456</v>
      </c>
      <c r="F192" s="1227"/>
      <c r="G192" s="1665"/>
      <c r="H192" s="1684">
        <f>H202+H193</f>
        <v>947.01</v>
      </c>
      <c r="I192" s="853">
        <f>I202</f>
        <v>799.11500000000001</v>
      </c>
      <c r="J192" s="400">
        <f>J202</f>
        <v>895.01</v>
      </c>
      <c r="N192" s="1228">
        <f>N202+N193</f>
        <v>947.01</v>
      </c>
      <c r="U192" s="1684">
        <f>U202+U193</f>
        <v>947.01</v>
      </c>
    </row>
    <row r="193" spans="1:21" ht="31.5" hidden="1" x14ac:dyDescent="0.25">
      <c r="A193" s="1229"/>
      <c r="B193" s="931" t="s">
        <v>861</v>
      </c>
      <c r="C193" s="1177"/>
      <c r="D193" s="408" t="s">
        <v>463</v>
      </c>
      <c r="E193" s="408" t="s">
        <v>456</v>
      </c>
      <c r="F193" s="408" t="s">
        <v>468</v>
      </c>
      <c r="G193" s="1661"/>
      <c r="H193" s="1683">
        <f>H194+H198</f>
        <v>0</v>
      </c>
      <c r="I193" s="853"/>
      <c r="J193" s="400"/>
      <c r="N193" s="1208"/>
      <c r="U193" s="1683"/>
    </row>
    <row r="194" spans="1:21" hidden="1" x14ac:dyDescent="0.25">
      <c r="A194" s="1229"/>
      <c r="B194" s="1203" t="s">
        <v>849</v>
      </c>
      <c r="C194" s="1180"/>
      <c r="D194" s="409" t="s">
        <v>463</v>
      </c>
      <c r="E194" s="409" t="s">
        <v>456</v>
      </c>
      <c r="F194" s="409" t="s">
        <v>854</v>
      </c>
      <c r="G194" s="1662"/>
      <c r="H194" s="1682">
        <f>H195</f>
        <v>0</v>
      </c>
      <c r="I194" s="853"/>
      <c r="J194" s="400"/>
      <c r="K194" s="1439">
        <v>186.20699999999999</v>
      </c>
      <c r="N194" s="1200"/>
      <c r="U194" s="1682"/>
    </row>
    <row r="195" spans="1:21" hidden="1" x14ac:dyDescent="0.25">
      <c r="A195" s="1229"/>
      <c r="B195" s="1203" t="s">
        <v>850</v>
      </c>
      <c r="C195" s="1180"/>
      <c r="D195" s="409" t="s">
        <v>463</v>
      </c>
      <c r="E195" s="409" t="s">
        <v>456</v>
      </c>
      <c r="F195" s="409" t="s">
        <v>855</v>
      </c>
      <c r="G195" s="1662"/>
      <c r="H195" s="1682">
        <f>H196</f>
        <v>0</v>
      </c>
      <c r="I195" s="853"/>
      <c r="J195" s="400"/>
      <c r="N195" s="1200"/>
      <c r="U195" s="1682"/>
    </row>
    <row r="196" spans="1:21" ht="31.5" hidden="1" x14ac:dyDescent="0.25">
      <c r="A196" s="1229"/>
      <c r="B196" s="1232" t="s">
        <v>851</v>
      </c>
      <c r="C196" s="1180"/>
      <c r="D196" s="409" t="s">
        <v>463</v>
      </c>
      <c r="E196" s="409" t="s">
        <v>456</v>
      </c>
      <c r="F196" s="1235" t="s">
        <v>856</v>
      </c>
      <c r="G196" s="1662"/>
      <c r="H196" s="1682">
        <f>H197</f>
        <v>0</v>
      </c>
      <c r="I196" s="853"/>
      <c r="J196" s="400"/>
      <c r="N196" s="1200"/>
      <c r="U196" s="1682"/>
    </row>
    <row r="197" spans="1:21" hidden="1" x14ac:dyDescent="0.25">
      <c r="A197" s="1229"/>
      <c r="B197" s="1236" t="s">
        <v>497</v>
      </c>
      <c r="C197" s="1183"/>
      <c r="D197" s="409" t="s">
        <v>463</v>
      </c>
      <c r="E197" s="409" t="s">
        <v>456</v>
      </c>
      <c r="F197" s="1235" t="s">
        <v>856</v>
      </c>
      <c r="G197" s="1662" t="s">
        <v>77</v>
      </c>
      <c r="H197" s="1685"/>
      <c r="I197" s="853"/>
      <c r="J197" s="400"/>
      <c r="K197" s="1">
        <v>130.441</v>
      </c>
      <c r="N197" s="1237"/>
      <c r="U197" s="1685"/>
    </row>
    <row r="198" spans="1:21" ht="21" hidden="1" x14ac:dyDescent="0.25">
      <c r="A198" s="1229"/>
      <c r="B198" s="1203" t="s">
        <v>853</v>
      </c>
      <c r="C198" s="1183"/>
      <c r="D198" s="409" t="s">
        <v>463</v>
      </c>
      <c r="E198" s="409" t="s">
        <v>456</v>
      </c>
      <c r="F198" s="1235" t="s">
        <v>857</v>
      </c>
      <c r="G198" s="1662"/>
      <c r="H198" s="1685">
        <f>H199</f>
        <v>0</v>
      </c>
      <c r="I198" s="853"/>
      <c r="J198" s="400"/>
      <c r="N198" s="1237"/>
      <c r="U198" s="1685"/>
    </row>
    <row r="199" spans="1:21" hidden="1" x14ac:dyDescent="0.25">
      <c r="A199" s="1229"/>
      <c r="B199" s="1203" t="s">
        <v>850</v>
      </c>
      <c r="C199" s="1183"/>
      <c r="D199" s="409" t="s">
        <v>463</v>
      </c>
      <c r="E199" s="409" t="s">
        <v>456</v>
      </c>
      <c r="F199" s="409" t="s">
        <v>858</v>
      </c>
      <c r="G199" s="1662"/>
      <c r="H199" s="1685">
        <f>H200</f>
        <v>0</v>
      </c>
      <c r="I199" s="853"/>
      <c r="J199" s="400"/>
      <c r="N199" s="1237"/>
      <c r="U199" s="1685"/>
    </row>
    <row r="200" spans="1:21" ht="31.5" hidden="1" x14ac:dyDescent="0.25">
      <c r="A200" s="1229"/>
      <c r="B200" s="1203" t="s">
        <v>851</v>
      </c>
      <c r="C200" s="1183"/>
      <c r="D200" s="409" t="s">
        <v>463</v>
      </c>
      <c r="E200" s="409" t="s">
        <v>456</v>
      </c>
      <c r="F200" s="1235" t="s">
        <v>859</v>
      </c>
      <c r="G200" s="1662"/>
      <c r="H200" s="1685">
        <f>H201</f>
        <v>0</v>
      </c>
      <c r="I200" s="853"/>
      <c r="J200" s="400"/>
      <c r="N200" s="1237"/>
      <c r="U200" s="1685"/>
    </row>
    <row r="201" spans="1:21" hidden="1" x14ac:dyDescent="0.25">
      <c r="A201" s="1229"/>
      <c r="B201" s="1236" t="s">
        <v>497</v>
      </c>
      <c r="C201" s="1183"/>
      <c r="D201" s="409" t="s">
        <v>463</v>
      </c>
      <c r="E201" s="409" t="s">
        <v>456</v>
      </c>
      <c r="F201" s="1235" t="s">
        <v>859</v>
      </c>
      <c r="G201" s="1662" t="s">
        <v>77</v>
      </c>
      <c r="H201" s="1685"/>
      <c r="I201" s="853"/>
      <c r="J201" s="400"/>
      <c r="K201" s="1">
        <v>55.765999999999998</v>
      </c>
      <c r="N201" s="1237"/>
      <c r="U201" s="1685"/>
    </row>
    <row r="202" spans="1:21" ht="22.5" customHeight="1" x14ac:dyDescent="0.25">
      <c r="A202" s="1233"/>
      <c r="B202" s="753" t="s">
        <v>499</v>
      </c>
      <c r="C202" s="1180"/>
      <c r="D202" s="409" t="s">
        <v>463</v>
      </c>
      <c r="E202" s="409" t="s">
        <v>456</v>
      </c>
      <c r="F202" s="409" t="s">
        <v>89</v>
      </c>
      <c r="G202" s="1662"/>
      <c r="H202" s="1682">
        <f t="shared" ref="H202:J203" si="32">H203</f>
        <v>947.01</v>
      </c>
      <c r="I202" s="529">
        <f t="shared" si="32"/>
        <v>799.11500000000001</v>
      </c>
      <c r="J202" s="270">
        <f t="shared" si="32"/>
        <v>895.01</v>
      </c>
      <c r="N202" s="1200">
        <f t="shared" ref="N202:N203" si="33">N203</f>
        <v>947.01</v>
      </c>
      <c r="U202" s="1682">
        <f t="shared" ref="U202:U203" si="34">U203</f>
        <v>947.01</v>
      </c>
    </row>
    <row r="203" spans="1:21" x14ac:dyDescent="0.25">
      <c r="A203" s="1179"/>
      <c r="B203" s="753" t="s">
        <v>109</v>
      </c>
      <c r="C203" s="1180"/>
      <c r="D203" s="409" t="s">
        <v>463</v>
      </c>
      <c r="E203" s="409" t="s">
        <v>456</v>
      </c>
      <c r="F203" s="409" t="s">
        <v>84</v>
      </c>
      <c r="G203" s="1662"/>
      <c r="H203" s="1682">
        <f t="shared" si="32"/>
        <v>947.01</v>
      </c>
      <c r="I203" s="529">
        <f t="shared" si="32"/>
        <v>799.11500000000001</v>
      </c>
      <c r="J203" s="270">
        <f t="shared" si="32"/>
        <v>895.01</v>
      </c>
      <c r="N203" s="1200">
        <f t="shared" si="33"/>
        <v>947.01</v>
      </c>
      <c r="U203" s="1682">
        <f t="shared" si="34"/>
        <v>947.01</v>
      </c>
    </row>
    <row r="204" spans="1:21" x14ac:dyDescent="0.25">
      <c r="A204" s="1179"/>
      <c r="B204" s="753" t="s">
        <v>109</v>
      </c>
      <c r="C204" s="1180"/>
      <c r="D204" s="409" t="s">
        <v>463</v>
      </c>
      <c r="E204" s="409" t="s">
        <v>456</v>
      </c>
      <c r="F204" s="409" t="s">
        <v>82</v>
      </c>
      <c r="G204" s="1662"/>
      <c r="H204" s="1682">
        <f>H205+H207+H209</f>
        <v>947.01</v>
      </c>
      <c r="I204" s="529">
        <f>I205+I207+I209</f>
        <v>799.11500000000001</v>
      </c>
      <c r="J204" s="270">
        <f>J205+J207+J209</f>
        <v>895.01</v>
      </c>
      <c r="N204" s="1200">
        <f>N205+N207+N209</f>
        <v>947.01</v>
      </c>
      <c r="U204" s="1682">
        <f>U205+U207+U209</f>
        <v>947.01</v>
      </c>
    </row>
    <row r="205" spans="1:21" hidden="1" x14ac:dyDescent="0.25">
      <c r="A205" s="842"/>
      <c r="B205" s="753" t="s">
        <v>533</v>
      </c>
      <c r="C205" s="409"/>
      <c r="D205" s="409" t="s">
        <v>463</v>
      </c>
      <c r="E205" s="409" t="s">
        <v>456</v>
      </c>
      <c r="F205" s="409" t="s">
        <v>30</v>
      </c>
      <c r="G205" s="1662"/>
      <c r="H205" s="1682">
        <f>H206</f>
        <v>0</v>
      </c>
      <c r="I205" s="529">
        <f>I206</f>
        <v>0</v>
      </c>
      <c r="J205" s="270">
        <f>J206</f>
        <v>0</v>
      </c>
      <c r="N205" s="1200">
        <f>N206</f>
        <v>0</v>
      </c>
      <c r="U205" s="1682">
        <f>U206</f>
        <v>0</v>
      </c>
    </row>
    <row r="206" spans="1:21" ht="21" hidden="1" x14ac:dyDescent="0.25">
      <c r="A206" s="1229"/>
      <c r="B206" s="1182" t="s">
        <v>454</v>
      </c>
      <c r="C206" s="409"/>
      <c r="D206" s="1217" t="s">
        <v>463</v>
      </c>
      <c r="E206" s="1217" t="s">
        <v>456</v>
      </c>
      <c r="F206" s="409" t="s">
        <v>30</v>
      </c>
      <c r="G206" s="1662" t="s">
        <v>1</v>
      </c>
      <c r="H206" s="1682">
        <v>0</v>
      </c>
      <c r="I206" s="529"/>
      <c r="J206" s="269"/>
      <c r="N206" s="1200">
        <v>0</v>
      </c>
      <c r="U206" s="1682">
        <v>0</v>
      </c>
    </row>
    <row r="207" spans="1:21" hidden="1" x14ac:dyDescent="0.25">
      <c r="A207" s="842"/>
      <c r="B207" s="753" t="s">
        <v>532</v>
      </c>
      <c r="C207" s="409"/>
      <c r="D207" s="409" t="s">
        <v>463</v>
      </c>
      <c r="E207" s="409" t="s">
        <v>456</v>
      </c>
      <c r="F207" s="409" t="s">
        <v>531</v>
      </c>
      <c r="G207" s="1662"/>
      <c r="H207" s="1682">
        <f>H208</f>
        <v>0</v>
      </c>
      <c r="I207" s="529">
        <f>I208</f>
        <v>0</v>
      </c>
      <c r="J207" s="269">
        <f>J208</f>
        <v>0</v>
      </c>
      <c r="N207" s="1200">
        <f>N208</f>
        <v>0</v>
      </c>
      <c r="U207" s="1682">
        <f>U208</f>
        <v>0</v>
      </c>
    </row>
    <row r="208" spans="1:21" ht="21" hidden="1" x14ac:dyDescent="0.25">
      <c r="A208" s="1229"/>
      <c r="B208" s="1182" t="s">
        <v>454</v>
      </c>
      <c r="C208" s="409"/>
      <c r="D208" s="1217" t="s">
        <v>463</v>
      </c>
      <c r="E208" s="1217" t="s">
        <v>456</v>
      </c>
      <c r="F208" s="1217" t="s">
        <v>531</v>
      </c>
      <c r="G208" s="1662" t="s">
        <v>1</v>
      </c>
      <c r="H208" s="1682"/>
      <c r="I208" s="529"/>
      <c r="J208" s="269"/>
      <c r="N208" s="1200"/>
      <c r="U208" s="1682"/>
    </row>
    <row r="209" spans="1:21" x14ac:dyDescent="0.25">
      <c r="A209" s="842"/>
      <c r="B209" s="753" t="s">
        <v>12</v>
      </c>
      <c r="C209" s="409"/>
      <c r="D209" s="409" t="s">
        <v>463</v>
      </c>
      <c r="E209" s="409" t="s">
        <v>456</v>
      </c>
      <c r="F209" s="409" t="s">
        <v>10</v>
      </c>
      <c r="G209" s="1662"/>
      <c r="H209" s="1682">
        <f>H210</f>
        <v>947.01</v>
      </c>
      <c r="I209" s="529">
        <f>I210</f>
        <v>799.11500000000001</v>
      </c>
      <c r="J209" s="269">
        <f>J210</f>
        <v>895.01</v>
      </c>
      <c r="N209" s="1200">
        <f>N210</f>
        <v>947.01</v>
      </c>
      <c r="U209" s="1682">
        <f>U210</f>
        <v>947.01</v>
      </c>
    </row>
    <row r="210" spans="1:21" ht="21" x14ac:dyDescent="0.25">
      <c r="A210" s="1229"/>
      <c r="B210" s="1182" t="s">
        <v>454</v>
      </c>
      <c r="C210" s="409"/>
      <c r="D210" s="1217" t="s">
        <v>463</v>
      </c>
      <c r="E210" s="1217" t="s">
        <v>456</v>
      </c>
      <c r="F210" s="1217" t="s">
        <v>10</v>
      </c>
      <c r="G210" s="1662" t="s">
        <v>1</v>
      </c>
      <c r="H210" s="1682">
        <v>947.01</v>
      </c>
      <c r="I210" s="529">
        <v>799.11500000000001</v>
      </c>
      <c r="J210" s="269">
        <v>895.01</v>
      </c>
      <c r="K210" s="1439">
        <v>947.01</v>
      </c>
      <c r="N210" s="1200">
        <v>947.01</v>
      </c>
      <c r="U210" s="1682">
        <v>947.01</v>
      </c>
    </row>
    <row r="211" spans="1:21" hidden="1" x14ac:dyDescent="0.25">
      <c r="A211" s="1179"/>
      <c r="B211" s="1184" t="s">
        <v>45</v>
      </c>
      <c r="C211" s="1177"/>
      <c r="D211" s="408" t="s">
        <v>496</v>
      </c>
      <c r="E211" s="408" t="s">
        <v>495</v>
      </c>
      <c r="F211" s="408"/>
      <c r="G211" s="1661"/>
      <c r="H211" s="1683" t="e">
        <f>#REF!</f>
        <v>#REF!</v>
      </c>
      <c r="I211" s="529"/>
      <c r="J211" s="404"/>
      <c r="N211" s="1208" t="e">
        <f>#REF!</f>
        <v>#REF!</v>
      </c>
      <c r="U211" s="1683" t="e">
        <f>#REF!</f>
        <v>#REF!</v>
      </c>
    </row>
    <row r="212" spans="1:21" x14ac:dyDescent="0.25">
      <c r="A212" s="1234"/>
      <c r="B212" s="1225" t="s">
        <v>530</v>
      </c>
      <c r="C212" s="1227"/>
      <c r="D212" s="1227" t="s">
        <v>463</v>
      </c>
      <c r="E212" s="1227" t="s">
        <v>488</v>
      </c>
      <c r="F212" s="1227"/>
      <c r="G212" s="1665"/>
      <c r="H212" s="1684">
        <f>H213+H217+H225+H230</f>
        <v>10500.703</v>
      </c>
      <c r="I212" s="853">
        <f>I213+I217+I225</f>
        <v>3718.8</v>
      </c>
      <c r="J212" s="400">
        <f>J213+J217+J225</f>
        <v>4854</v>
      </c>
      <c r="N212" s="1228">
        <f>N213+N217+N225+N230</f>
        <v>8590.3080000000009</v>
      </c>
      <c r="U212" s="1684">
        <f>U213+U217+U225+U230</f>
        <v>6975.5</v>
      </c>
    </row>
    <row r="213" spans="1:21" ht="21" x14ac:dyDescent="0.25">
      <c r="A213" s="1234"/>
      <c r="B213" s="1238" t="s">
        <v>884</v>
      </c>
      <c r="C213" s="409"/>
      <c r="D213" s="409" t="s">
        <v>463</v>
      </c>
      <c r="E213" s="409" t="s">
        <v>488</v>
      </c>
      <c r="F213" s="409" t="s">
        <v>196</v>
      </c>
      <c r="G213" s="1662"/>
      <c r="H213" s="1682">
        <f t="shared" ref="H213:J215" si="35">H214</f>
        <v>3500.703</v>
      </c>
      <c r="I213" s="529">
        <f t="shared" si="35"/>
        <v>48</v>
      </c>
      <c r="J213" s="270">
        <f t="shared" si="35"/>
        <v>816.12</v>
      </c>
      <c r="K213" s="1439">
        <f>K216</f>
        <v>3500.703</v>
      </c>
      <c r="N213" s="1200">
        <f t="shared" ref="N213:N215" si="36">N214</f>
        <v>4981.808</v>
      </c>
      <c r="U213" s="1682">
        <f t="shared" ref="U213:U215" si="37">U214</f>
        <v>3700</v>
      </c>
    </row>
    <row r="214" spans="1:21" x14ac:dyDescent="0.25">
      <c r="A214" s="1234"/>
      <c r="B214" s="1203" t="s">
        <v>195</v>
      </c>
      <c r="C214" s="409"/>
      <c r="D214" s="1217" t="s">
        <v>463</v>
      </c>
      <c r="E214" s="1217" t="s">
        <v>488</v>
      </c>
      <c r="F214" s="409" t="s">
        <v>194</v>
      </c>
      <c r="G214" s="1662"/>
      <c r="H214" s="1682">
        <f t="shared" si="35"/>
        <v>3500.703</v>
      </c>
      <c r="I214" s="529">
        <f t="shared" si="35"/>
        <v>48</v>
      </c>
      <c r="J214" s="270">
        <f t="shared" si="35"/>
        <v>816.12</v>
      </c>
      <c r="N214" s="1200">
        <f t="shared" si="36"/>
        <v>4981.808</v>
      </c>
      <c r="U214" s="1682">
        <f t="shared" si="37"/>
        <v>3700</v>
      </c>
    </row>
    <row r="215" spans="1:21" ht="21" x14ac:dyDescent="0.25">
      <c r="A215" s="1234"/>
      <c r="B215" s="1239" t="s">
        <v>193</v>
      </c>
      <c r="C215" s="1217"/>
      <c r="D215" s="1217" t="s">
        <v>463</v>
      </c>
      <c r="E215" s="1217" t="s">
        <v>488</v>
      </c>
      <c r="F215" s="1217" t="s">
        <v>191</v>
      </c>
      <c r="G215" s="1664"/>
      <c r="H215" s="1682">
        <f t="shared" si="35"/>
        <v>3500.703</v>
      </c>
      <c r="I215" s="529">
        <f t="shared" si="35"/>
        <v>48</v>
      </c>
      <c r="J215" s="270">
        <f t="shared" si="35"/>
        <v>816.12</v>
      </c>
      <c r="N215" s="1200">
        <f t="shared" si="36"/>
        <v>4981.808</v>
      </c>
      <c r="U215" s="1682">
        <f t="shared" si="37"/>
        <v>3700</v>
      </c>
    </row>
    <row r="216" spans="1:21" x14ac:dyDescent="0.25">
      <c r="A216" s="1234"/>
      <c r="B216" s="1182" t="s">
        <v>481</v>
      </c>
      <c r="C216" s="409"/>
      <c r="D216" s="1217" t="s">
        <v>463</v>
      </c>
      <c r="E216" s="1217" t="s">
        <v>488</v>
      </c>
      <c r="F216" s="1217" t="s">
        <v>191</v>
      </c>
      <c r="G216" s="1662" t="s">
        <v>26</v>
      </c>
      <c r="H216" s="1682">
        <v>3500.703</v>
      </c>
      <c r="I216" s="529">
        <v>48</v>
      </c>
      <c r="J216" s="269">
        <v>816.12</v>
      </c>
      <c r="K216" s="1">
        <v>3500.703</v>
      </c>
      <c r="N216" s="1200">
        <v>4981.808</v>
      </c>
      <c r="U216" s="1682">
        <v>3700</v>
      </c>
    </row>
    <row r="217" spans="1:21" ht="45.65" customHeight="1" x14ac:dyDescent="0.25">
      <c r="A217" s="1179"/>
      <c r="B217" s="1203" t="s">
        <v>928</v>
      </c>
      <c r="C217" s="409"/>
      <c r="D217" s="409" t="s">
        <v>463</v>
      </c>
      <c r="E217" s="409" t="s">
        <v>488</v>
      </c>
      <c r="F217" s="409" t="s">
        <v>181</v>
      </c>
      <c r="G217" s="1662"/>
      <c r="H217" s="1682">
        <f>H220+H224</f>
        <v>7000</v>
      </c>
      <c r="I217" s="529">
        <f>I218</f>
        <v>3670.8</v>
      </c>
      <c r="J217" s="270">
        <f>J218</f>
        <v>4037.88</v>
      </c>
      <c r="N217" s="1200">
        <f>N220+N224</f>
        <v>3608.5</v>
      </c>
      <c r="U217" s="1682">
        <f>U220+U224</f>
        <v>3275.5</v>
      </c>
    </row>
    <row r="218" spans="1:21" ht="21" x14ac:dyDescent="0.25">
      <c r="A218" s="1240"/>
      <c r="B218" s="1197" t="s">
        <v>180</v>
      </c>
      <c r="C218" s="1217"/>
      <c r="D218" s="1217" t="s">
        <v>463</v>
      </c>
      <c r="E218" s="1217" t="s">
        <v>488</v>
      </c>
      <c r="F218" s="1217" t="s">
        <v>179</v>
      </c>
      <c r="G218" s="1664"/>
      <c r="H218" s="1682">
        <f>H219</f>
        <v>7000</v>
      </c>
      <c r="I218" s="529">
        <f>I219</f>
        <v>3670.8</v>
      </c>
      <c r="J218" s="270">
        <f>J219</f>
        <v>4037.88</v>
      </c>
      <c r="K218" s="1439">
        <f>K220</f>
        <v>7000</v>
      </c>
      <c r="N218" s="1200">
        <f>N219</f>
        <v>3608.5</v>
      </c>
      <c r="U218" s="1682">
        <f>U219</f>
        <v>3275.5</v>
      </c>
    </row>
    <row r="219" spans="1:21" ht="30" customHeight="1" x14ac:dyDescent="0.25">
      <c r="A219" s="1240"/>
      <c r="B219" s="1197" t="s">
        <v>23</v>
      </c>
      <c r="C219" s="1217"/>
      <c r="D219" s="1217" t="s">
        <v>463</v>
      </c>
      <c r="E219" s="1217" t="s">
        <v>488</v>
      </c>
      <c r="F219" s="1217" t="s">
        <v>178</v>
      </c>
      <c r="G219" s="1664"/>
      <c r="H219" s="1682">
        <f>H220+H221</f>
        <v>7000</v>
      </c>
      <c r="I219" s="529">
        <f>I220+I221</f>
        <v>3670.8</v>
      </c>
      <c r="J219" s="270">
        <f>J220+J221</f>
        <v>4037.88</v>
      </c>
      <c r="N219" s="1200">
        <f>N220+N221</f>
        <v>3608.5</v>
      </c>
      <c r="U219" s="1682">
        <f>U220+U221</f>
        <v>3275.5</v>
      </c>
    </row>
    <row r="220" spans="1:21" x14ac:dyDescent="0.25">
      <c r="A220" s="1229"/>
      <c r="B220" s="1182" t="s">
        <v>481</v>
      </c>
      <c r="C220" s="1217"/>
      <c r="D220" s="1217" t="s">
        <v>463</v>
      </c>
      <c r="E220" s="1217" t="s">
        <v>488</v>
      </c>
      <c r="F220" s="1217" t="s">
        <v>178</v>
      </c>
      <c r="G220" s="1662" t="s">
        <v>26</v>
      </c>
      <c r="H220" s="1682">
        <v>7000</v>
      </c>
      <c r="I220" s="529">
        <v>3670.8</v>
      </c>
      <c r="J220" s="269">
        <v>4037.88</v>
      </c>
      <c r="K220" s="1">
        <v>7000</v>
      </c>
      <c r="N220" s="1200">
        <v>3608.5</v>
      </c>
      <c r="U220" s="1682">
        <v>3275.5</v>
      </c>
    </row>
    <row r="221" spans="1:21" hidden="1" x14ac:dyDescent="0.25">
      <c r="A221" s="1229"/>
      <c r="B221" s="753" t="s">
        <v>528</v>
      </c>
      <c r="C221" s="1217"/>
      <c r="D221" s="1217" t="s">
        <v>463</v>
      </c>
      <c r="E221" s="1217" t="s">
        <v>488</v>
      </c>
      <c r="F221" s="1217" t="s">
        <v>527</v>
      </c>
      <c r="G221" s="1664"/>
      <c r="H221" s="1682">
        <f>H222</f>
        <v>0</v>
      </c>
      <c r="I221" s="529">
        <f>I222</f>
        <v>0</v>
      </c>
      <c r="J221" s="269">
        <f>J222</f>
        <v>0</v>
      </c>
      <c r="N221" s="1200">
        <f>N222</f>
        <v>0</v>
      </c>
      <c r="U221" s="1682">
        <f>U222</f>
        <v>0</v>
      </c>
    </row>
    <row r="222" spans="1:21" ht="21" hidden="1" x14ac:dyDescent="0.25">
      <c r="A222" s="1229"/>
      <c r="B222" s="1182" t="s">
        <v>454</v>
      </c>
      <c r="C222" s="409"/>
      <c r="D222" s="1217" t="s">
        <v>463</v>
      </c>
      <c r="E222" s="1217" t="s">
        <v>488</v>
      </c>
      <c r="F222" s="1217" t="s">
        <v>526</v>
      </c>
      <c r="G222" s="1662" t="s">
        <v>1</v>
      </c>
      <c r="H222" s="1682"/>
      <c r="I222" s="529"/>
      <c r="J222" s="269"/>
      <c r="N222" s="1200"/>
      <c r="U222" s="1682"/>
    </row>
    <row r="223" spans="1:21" hidden="1" x14ac:dyDescent="0.25">
      <c r="A223" s="1229"/>
      <c r="B223" s="1241" t="s">
        <v>40</v>
      </c>
      <c r="C223" s="409"/>
      <c r="D223" s="1217" t="s">
        <v>463</v>
      </c>
      <c r="E223" s="1217" t="s">
        <v>488</v>
      </c>
      <c r="F223" s="1217" t="s">
        <v>177</v>
      </c>
      <c r="G223" s="1662"/>
      <c r="H223" s="1682">
        <f>H224</f>
        <v>0</v>
      </c>
      <c r="I223" s="529"/>
      <c r="J223" s="404"/>
      <c r="N223" s="1200"/>
      <c r="U223" s="1682"/>
    </row>
    <row r="224" spans="1:21" ht="21" hidden="1" x14ac:dyDescent="0.25">
      <c r="A224" s="1229"/>
      <c r="B224" s="1182" t="s">
        <v>454</v>
      </c>
      <c r="C224" s="409"/>
      <c r="D224" s="1217" t="s">
        <v>463</v>
      </c>
      <c r="E224" s="1217" t="s">
        <v>488</v>
      </c>
      <c r="F224" s="1217" t="s">
        <v>177</v>
      </c>
      <c r="G224" s="1662" t="s">
        <v>1</v>
      </c>
      <c r="H224" s="1682"/>
      <c r="I224" s="529"/>
      <c r="J224" s="404"/>
      <c r="N224" s="1200"/>
      <c r="U224" s="1682"/>
    </row>
    <row r="225" spans="1:21" ht="27.75" hidden="1" customHeight="1" x14ac:dyDescent="0.25">
      <c r="A225" s="1240"/>
      <c r="B225" s="753" t="s">
        <v>499</v>
      </c>
      <c r="C225" s="1217"/>
      <c r="D225" s="1217" t="s">
        <v>463</v>
      </c>
      <c r="E225" s="1217" t="s">
        <v>488</v>
      </c>
      <c r="F225" s="409" t="s">
        <v>89</v>
      </c>
      <c r="G225" s="1664"/>
      <c r="H225" s="1682">
        <f>H226</f>
        <v>0</v>
      </c>
      <c r="I225" s="529">
        <f>I226</f>
        <v>0</v>
      </c>
      <c r="J225" s="270">
        <f>J226</f>
        <v>0</v>
      </c>
      <c r="N225" s="1200"/>
      <c r="U225" s="1682"/>
    </row>
    <row r="226" spans="1:21" hidden="1" x14ac:dyDescent="0.25">
      <c r="A226" s="1240"/>
      <c r="B226" s="1180" t="s">
        <v>109</v>
      </c>
      <c r="C226" s="1217"/>
      <c r="D226" s="1217" t="s">
        <v>463</v>
      </c>
      <c r="E226" s="1217" t="s">
        <v>488</v>
      </c>
      <c r="F226" s="409" t="s">
        <v>581</v>
      </c>
      <c r="G226" s="1664"/>
      <c r="H226" s="1682">
        <f>H227</f>
        <v>0</v>
      </c>
      <c r="I226" s="529">
        <f t="shared" ref="I226:J228" si="38">I227</f>
        <v>0</v>
      </c>
      <c r="J226" s="270">
        <f t="shared" si="38"/>
        <v>0</v>
      </c>
      <c r="N226" s="1200"/>
      <c r="U226" s="1682"/>
    </row>
    <row r="227" spans="1:21" hidden="1" x14ac:dyDescent="0.25">
      <c r="A227" s="1229"/>
      <c r="B227" s="1180" t="s">
        <v>109</v>
      </c>
      <c r="C227" s="1217"/>
      <c r="D227" s="1217" t="s">
        <v>463</v>
      </c>
      <c r="E227" s="1217" t="s">
        <v>488</v>
      </c>
      <c r="F227" s="409" t="s">
        <v>82</v>
      </c>
      <c r="G227" s="1664"/>
      <c r="H227" s="1682">
        <f>H228</f>
        <v>0</v>
      </c>
      <c r="I227" s="529">
        <f t="shared" si="38"/>
        <v>0</v>
      </c>
      <c r="J227" s="270">
        <f t="shared" si="38"/>
        <v>0</v>
      </c>
      <c r="N227" s="1200"/>
      <c r="U227" s="1682"/>
    </row>
    <row r="228" spans="1:21" ht="21" hidden="1" x14ac:dyDescent="0.25">
      <c r="A228" s="1234"/>
      <c r="B228" s="1218" t="s">
        <v>525</v>
      </c>
      <c r="C228" s="409"/>
      <c r="D228" s="1217" t="s">
        <v>463</v>
      </c>
      <c r="E228" s="1217" t="s">
        <v>488</v>
      </c>
      <c r="F228" s="409" t="s">
        <v>524</v>
      </c>
      <c r="G228" s="1662"/>
      <c r="H228" s="1682">
        <f>H229</f>
        <v>0</v>
      </c>
      <c r="I228" s="529">
        <f t="shared" si="38"/>
        <v>0</v>
      </c>
      <c r="J228" s="270">
        <f t="shared" si="38"/>
        <v>0</v>
      </c>
      <c r="N228" s="1200"/>
      <c r="U228" s="1682"/>
    </row>
    <row r="229" spans="1:21" hidden="1" x14ac:dyDescent="0.25">
      <c r="A229" s="1234"/>
      <c r="B229" s="1182" t="s">
        <v>481</v>
      </c>
      <c r="C229" s="1217"/>
      <c r="D229" s="1217" t="s">
        <v>463</v>
      </c>
      <c r="E229" s="1217" t="s">
        <v>488</v>
      </c>
      <c r="F229" s="409" t="s">
        <v>524</v>
      </c>
      <c r="G229" s="1662" t="s">
        <v>26</v>
      </c>
      <c r="H229" s="1682">
        <f>4900-4900</f>
        <v>0</v>
      </c>
      <c r="I229" s="529"/>
      <c r="J229" s="269"/>
      <c r="N229" s="1200"/>
      <c r="U229" s="1682"/>
    </row>
    <row r="230" spans="1:21" ht="21" hidden="1" x14ac:dyDescent="0.25">
      <c r="A230" s="1234"/>
      <c r="B230" s="1242" t="s">
        <v>929</v>
      </c>
      <c r="C230" s="409"/>
      <c r="D230" s="1217" t="s">
        <v>463</v>
      </c>
      <c r="E230" s="1217" t="s">
        <v>488</v>
      </c>
      <c r="F230" s="1217" t="s">
        <v>89</v>
      </c>
      <c r="G230" s="1662"/>
      <c r="H230" s="1682">
        <f>H231</f>
        <v>0</v>
      </c>
      <c r="I230" s="529"/>
      <c r="J230" s="269"/>
      <c r="N230" s="1200"/>
      <c r="U230" s="1682"/>
    </row>
    <row r="231" spans="1:21" hidden="1" x14ac:dyDescent="0.25">
      <c r="A231" s="1234"/>
      <c r="B231" s="753" t="s">
        <v>109</v>
      </c>
      <c r="C231" s="409"/>
      <c r="D231" s="1217" t="s">
        <v>463</v>
      </c>
      <c r="E231" s="1217" t="s">
        <v>488</v>
      </c>
      <c r="F231" s="1217" t="s">
        <v>84</v>
      </c>
      <c r="G231" s="1662"/>
      <c r="H231" s="1682">
        <f>H232</f>
        <v>0</v>
      </c>
      <c r="I231" s="529"/>
      <c r="J231" s="269"/>
      <c r="N231" s="1200"/>
      <c r="U231" s="1682"/>
    </row>
    <row r="232" spans="1:21" hidden="1" x14ac:dyDescent="0.25">
      <c r="A232" s="1234"/>
      <c r="B232" s="753" t="s">
        <v>109</v>
      </c>
      <c r="C232" s="409"/>
      <c r="D232" s="1217" t="s">
        <v>463</v>
      </c>
      <c r="E232" s="1217" t="s">
        <v>488</v>
      </c>
      <c r="F232" s="1217" t="s">
        <v>82</v>
      </c>
      <c r="G232" s="1662"/>
      <c r="H232" s="1682">
        <f>H234+H239</f>
        <v>0</v>
      </c>
      <c r="I232" s="529"/>
      <c r="J232" s="269"/>
      <c r="N232" s="1200"/>
      <c r="U232" s="1682"/>
    </row>
    <row r="233" spans="1:21" ht="34.5" hidden="1" customHeight="1" x14ac:dyDescent="0.25">
      <c r="A233" s="1234"/>
      <c r="B233" s="753" t="s">
        <v>922</v>
      </c>
      <c r="C233" s="409"/>
      <c r="D233" s="1217" t="s">
        <v>463</v>
      </c>
      <c r="E233" s="1217" t="s">
        <v>488</v>
      </c>
      <c r="F233" s="1217" t="s">
        <v>923</v>
      </c>
      <c r="G233" s="1662"/>
      <c r="H233" s="1682">
        <f>H234</f>
        <v>0</v>
      </c>
      <c r="I233" s="529"/>
      <c r="J233" s="269"/>
      <c r="N233" s="1200"/>
      <c r="U233" s="1682"/>
    </row>
    <row r="234" spans="1:21" ht="21" hidden="1" x14ac:dyDescent="0.25">
      <c r="A234" s="1234"/>
      <c r="B234" s="1182" t="s">
        <v>523</v>
      </c>
      <c r="C234" s="409"/>
      <c r="D234" s="1217" t="s">
        <v>463</v>
      </c>
      <c r="E234" s="1217" t="s">
        <v>488</v>
      </c>
      <c r="F234" s="1217" t="s">
        <v>923</v>
      </c>
      <c r="G234" s="1662" t="s">
        <v>521</v>
      </c>
      <c r="H234" s="1682"/>
      <c r="I234" s="529"/>
      <c r="J234" s="269"/>
      <c r="N234" s="1200"/>
      <c r="U234" s="1682"/>
    </row>
    <row r="235" spans="1:21" ht="24.75" hidden="1" customHeight="1" x14ac:dyDescent="0.25">
      <c r="A235" s="1234"/>
      <c r="B235" s="1242" t="s">
        <v>930</v>
      </c>
      <c r="C235" s="409"/>
      <c r="D235" s="1217" t="s">
        <v>463</v>
      </c>
      <c r="E235" s="1217" t="s">
        <v>488</v>
      </c>
      <c r="F235" s="1217" t="s">
        <v>925</v>
      </c>
      <c r="G235" s="1662"/>
      <c r="H235" s="1682"/>
      <c r="I235" s="529"/>
      <c r="J235" s="404"/>
      <c r="N235" s="1200"/>
      <c r="U235" s="1682"/>
    </row>
    <row r="236" spans="1:21" hidden="1" x14ac:dyDescent="0.25">
      <c r="A236" s="1234"/>
      <c r="B236" s="753" t="s">
        <v>109</v>
      </c>
      <c r="C236" s="409"/>
      <c r="D236" s="1217" t="s">
        <v>463</v>
      </c>
      <c r="E236" s="1217" t="s">
        <v>488</v>
      </c>
      <c r="F236" s="1217" t="s">
        <v>925</v>
      </c>
      <c r="G236" s="1662"/>
      <c r="H236" s="1682"/>
      <c r="I236" s="529"/>
      <c r="J236" s="404"/>
      <c r="N236" s="1200"/>
      <c r="U236" s="1682"/>
    </row>
    <row r="237" spans="1:21" hidden="1" x14ac:dyDescent="0.25">
      <c r="A237" s="1234"/>
      <c r="B237" s="753" t="s">
        <v>109</v>
      </c>
      <c r="C237" s="409"/>
      <c r="D237" s="1217" t="s">
        <v>463</v>
      </c>
      <c r="E237" s="1217" t="s">
        <v>488</v>
      </c>
      <c r="F237" s="1217" t="s">
        <v>925</v>
      </c>
      <c r="G237" s="1662"/>
      <c r="H237" s="1682"/>
      <c r="I237" s="529"/>
      <c r="J237" s="404"/>
      <c r="N237" s="1200"/>
      <c r="U237" s="1682"/>
    </row>
    <row r="238" spans="1:21" ht="21" hidden="1" x14ac:dyDescent="0.25">
      <c r="A238" s="1234"/>
      <c r="B238" s="1242" t="s">
        <v>930</v>
      </c>
      <c r="C238" s="409"/>
      <c r="D238" s="1217" t="s">
        <v>463</v>
      </c>
      <c r="E238" s="1217" t="s">
        <v>488</v>
      </c>
      <c r="F238" s="1217" t="s">
        <v>925</v>
      </c>
      <c r="G238" s="1662"/>
      <c r="H238" s="1682">
        <f>H239</f>
        <v>0</v>
      </c>
      <c r="I238" s="529"/>
      <c r="J238" s="404"/>
      <c r="N238" s="1200">
        <f>N239</f>
        <v>0</v>
      </c>
      <c r="U238" s="1682">
        <f>U239</f>
        <v>0</v>
      </c>
    </row>
    <row r="239" spans="1:21" ht="21" hidden="1" x14ac:dyDescent="0.25">
      <c r="A239" s="1234"/>
      <c r="B239" s="1182" t="s">
        <v>523</v>
      </c>
      <c r="C239" s="409"/>
      <c r="D239" s="1217" t="s">
        <v>463</v>
      </c>
      <c r="E239" s="1217" t="s">
        <v>488</v>
      </c>
      <c r="F239" s="1217" t="s">
        <v>925</v>
      </c>
      <c r="G239" s="1662" t="s">
        <v>521</v>
      </c>
      <c r="H239" s="1682"/>
      <c r="I239" s="529"/>
      <c r="J239" s="404"/>
      <c r="N239" s="1200"/>
      <c r="U239" s="1682"/>
    </row>
    <row r="240" spans="1:21" x14ac:dyDescent="0.25">
      <c r="A240" s="1229"/>
      <c r="B240" s="1225" t="s">
        <v>34</v>
      </c>
      <c r="C240" s="1227"/>
      <c r="D240" s="1227" t="s">
        <v>463</v>
      </c>
      <c r="E240" s="1227" t="s">
        <v>495</v>
      </c>
      <c r="F240" s="1227"/>
      <c r="G240" s="1665"/>
      <c r="H240" s="1684">
        <f>H244+H246+H269+H274</f>
        <v>32228.5</v>
      </c>
      <c r="I240" s="853">
        <f>I241+I247</f>
        <v>36018.875</v>
      </c>
      <c r="J240" s="400">
        <f>J241+J247</f>
        <v>34504.17</v>
      </c>
      <c r="K240" s="1441"/>
      <c r="N240" s="1228">
        <f>N244+N246+N269+N274</f>
        <v>34323.64</v>
      </c>
      <c r="U240" s="1684">
        <f>U244+U246+U269+U274</f>
        <v>36088.380000000005</v>
      </c>
    </row>
    <row r="241" spans="1:21" ht="24" customHeight="1" x14ac:dyDescent="0.25">
      <c r="A241" s="1179"/>
      <c r="B241" s="1243" t="s">
        <v>931</v>
      </c>
      <c r="C241" s="409"/>
      <c r="D241" s="409" t="s">
        <v>463</v>
      </c>
      <c r="E241" s="409" t="s">
        <v>495</v>
      </c>
      <c r="F241" s="409" t="s">
        <v>189</v>
      </c>
      <c r="G241" s="1662"/>
      <c r="H241" s="1682">
        <f>H242</f>
        <v>31428.5</v>
      </c>
      <c r="I241" s="529">
        <f>I242</f>
        <v>32518.875</v>
      </c>
      <c r="J241" s="270">
        <f>J242</f>
        <v>31004.17</v>
      </c>
      <c r="K241" s="1440">
        <f>K244+K246+K269+K274+K276</f>
        <v>32228.5</v>
      </c>
      <c r="N241" s="1200">
        <f>N242</f>
        <v>33058.639999999999</v>
      </c>
      <c r="U241" s="1682">
        <f>U242</f>
        <v>34696.880000000005</v>
      </c>
    </row>
    <row r="242" spans="1:21" ht="31.5" x14ac:dyDescent="0.25">
      <c r="A242" s="842"/>
      <c r="B242" s="1197" t="s">
        <v>188</v>
      </c>
      <c r="C242" s="408"/>
      <c r="D242" s="409" t="s">
        <v>463</v>
      </c>
      <c r="E242" s="409" t="s">
        <v>495</v>
      </c>
      <c r="F242" s="409" t="s">
        <v>187</v>
      </c>
      <c r="G242" s="1661"/>
      <c r="H242" s="1682">
        <f>H243+H245</f>
        <v>31428.5</v>
      </c>
      <c r="I242" s="529">
        <f>I243+I245</f>
        <v>32518.875</v>
      </c>
      <c r="J242" s="270">
        <f>J243+J245</f>
        <v>31004.17</v>
      </c>
      <c r="N242" s="1200">
        <f>N243+N245</f>
        <v>33058.639999999999</v>
      </c>
      <c r="U242" s="1682">
        <f>U243+U245</f>
        <v>34696.880000000005</v>
      </c>
    </row>
    <row r="243" spans="1:21" ht="28.5" customHeight="1" x14ac:dyDescent="0.25">
      <c r="A243" s="1179"/>
      <c r="B243" s="1205" t="s">
        <v>186</v>
      </c>
      <c r="C243" s="1217"/>
      <c r="D243" s="1217" t="s">
        <v>463</v>
      </c>
      <c r="E243" s="1217" t="s">
        <v>495</v>
      </c>
      <c r="F243" s="1217" t="s">
        <v>185</v>
      </c>
      <c r="G243" s="1664"/>
      <c r="H243" s="1682">
        <f>H244</f>
        <v>2300</v>
      </c>
      <c r="I243" s="529">
        <f>I244</f>
        <v>10043.379999999999</v>
      </c>
      <c r="J243" s="270">
        <f>J244</f>
        <v>6288.7259999999997</v>
      </c>
      <c r="N243" s="1200">
        <f>N244</f>
        <v>2500</v>
      </c>
      <c r="U243" s="1682">
        <f>U244</f>
        <v>2800</v>
      </c>
    </row>
    <row r="244" spans="1:21" ht="21" x14ac:dyDescent="0.25">
      <c r="A244" s="1179"/>
      <c r="B244" s="1182" t="s">
        <v>454</v>
      </c>
      <c r="C244" s="409"/>
      <c r="D244" s="1217" t="s">
        <v>463</v>
      </c>
      <c r="E244" s="1217" t="s">
        <v>495</v>
      </c>
      <c r="F244" s="1217" t="s">
        <v>185</v>
      </c>
      <c r="G244" s="1662" t="s">
        <v>1</v>
      </c>
      <c r="H244" s="1682">
        <v>2300</v>
      </c>
      <c r="I244" s="529">
        <v>10043.379999999999</v>
      </c>
      <c r="J244" s="269">
        <v>6288.7259999999997</v>
      </c>
      <c r="K244" s="1">
        <v>2300</v>
      </c>
      <c r="N244" s="1200">
        <v>2500</v>
      </c>
      <c r="U244" s="1682">
        <v>2800</v>
      </c>
    </row>
    <row r="245" spans="1:21" ht="25.5" customHeight="1" x14ac:dyDescent="0.25">
      <c r="A245" s="1179"/>
      <c r="B245" s="1205" t="s">
        <v>184</v>
      </c>
      <c r="C245" s="409"/>
      <c r="D245" s="1217" t="s">
        <v>463</v>
      </c>
      <c r="E245" s="1217" t="s">
        <v>495</v>
      </c>
      <c r="F245" s="1217" t="s">
        <v>183</v>
      </c>
      <c r="G245" s="1662"/>
      <c r="H245" s="1682">
        <f>H246+H264</f>
        <v>29128.5</v>
      </c>
      <c r="I245" s="529">
        <f>I246</f>
        <v>22475.494999999999</v>
      </c>
      <c r="J245" s="269">
        <f>J246</f>
        <v>24715.444</v>
      </c>
      <c r="N245" s="1200">
        <f>N246+N264</f>
        <v>30558.639999999999</v>
      </c>
      <c r="U245" s="1682">
        <f>U246+U264</f>
        <v>31896.880000000001</v>
      </c>
    </row>
    <row r="246" spans="1:21" ht="21.75" customHeight="1" x14ac:dyDescent="0.25">
      <c r="A246" s="1179"/>
      <c r="B246" s="1182" t="s">
        <v>454</v>
      </c>
      <c r="C246" s="409"/>
      <c r="D246" s="1217" t="s">
        <v>463</v>
      </c>
      <c r="E246" s="1217" t="s">
        <v>495</v>
      </c>
      <c r="F246" s="1217" t="s">
        <v>183</v>
      </c>
      <c r="G246" s="1662" t="s">
        <v>1</v>
      </c>
      <c r="H246" s="1682">
        <v>29128.5</v>
      </c>
      <c r="I246" s="529">
        <v>22475.494999999999</v>
      </c>
      <c r="J246" s="269">
        <v>24715.444</v>
      </c>
      <c r="K246" s="1032">
        <f>21590+6438.5+800+300</f>
        <v>29128.5</v>
      </c>
      <c r="N246" s="1200">
        <v>30558.639999999999</v>
      </c>
      <c r="U246" s="1682">
        <v>31896.880000000001</v>
      </c>
    </row>
    <row r="247" spans="1:21" ht="31.5" hidden="1" x14ac:dyDescent="0.25">
      <c r="A247" s="842"/>
      <c r="B247" s="1244" t="s">
        <v>176</v>
      </c>
      <c r="C247" s="408"/>
      <c r="D247" s="408" t="s">
        <v>463</v>
      </c>
      <c r="E247" s="408" t="s">
        <v>495</v>
      </c>
      <c r="F247" s="408" t="s">
        <v>175</v>
      </c>
      <c r="G247" s="1661"/>
      <c r="H247" s="1683">
        <f>H248+H252</f>
        <v>0</v>
      </c>
      <c r="I247" s="841">
        <f>I248+I252</f>
        <v>3500</v>
      </c>
      <c r="J247" s="276">
        <f>J248+J252</f>
        <v>3500</v>
      </c>
      <c r="N247" s="1208">
        <f>N248+N252</f>
        <v>0</v>
      </c>
      <c r="U247" s="1683">
        <f>U248+U252</f>
        <v>0</v>
      </c>
    </row>
    <row r="248" spans="1:21" ht="31.5" hidden="1" x14ac:dyDescent="0.25">
      <c r="A248" s="1245"/>
      <c r="B248" s="1197" t="s">
        <v>174</v>
      </c>
      <c r="C248" s="1217"/>
      <c r="D248" s="1217" t="s">
        <v>463</v>
      </c>
      <c r="E248" s="1217" t="s">
        <v>495</v>
      </c>
      <c r="F248" s="1217" t="s">
        <v>173</v>
      </c>
      <c r="G248" s="1664"/>
      <c r="H248" s="1682">
        <f>H250</f>
        <v>0</v>
      </c>
      <c r="I248" s="529">
        <f t="shared" ref="H248:J250" si="39">I249</f>
        <v>3500</v>
      </c>
      <c r="J248" s="269">
        <f t="shared" si="39"/>
        <v>3500</v>
      </c>
      <c r="N248" s="1200">
        <f>N250</f>
        <v>0</v>
      </c>
      <c r="U248" s="1682">
        <f>U250</f>
        <v>0</v>
      </c>
    </row>
    <row r="249" spans="1:21" hidden="1" x14ac:dyDescent="0.25">
      <c r="A249" s="842"/>
      <c r="B249" s="1219" t="s">
        <v>520</v>
      </c>
      <c r="C249" s="408"/>
      <c r="D249" s="409" t="s">
        <v>463</v>
      </c>
      <c r="E249" s="409" t="s">
        <v>495</v>
      </c>
      <c r="F249" s="1217" t="s">
        <v>173</v>
      </c>
      <c r="G249" s="1661"/>
      <c r="H249" s="1682">
        <f t="shared" si="39"/>
        <v>0</v>
      </c>
      <c r="I249" s="529">
        <f t="shared" si="39"/>
        <v>3500</v>
      </c>
      <c r="J249" s="269">
        <f t="shared" si="39"/>
        <v>3500</v>
      </c>
      <c r="N249" s="1200">
        <f t="shared" ref="N249:N250" si="40">N250</f>
        <v>0</v>
      </c>
      <c r="U249" s="1682">
        <f t="shared" ref="U249:U250" si="41">U250</f>
        <v>0</v>
      </c>
    </row>
    <row r="250" spans="1:21" hidden="1" x14ac:dyDescent="0.25">
      <c r="A250" s="1245"/>
      <c r="B250" s="1246" t="s">
        <v>172</v>
      </c>
      <c r="C250" s="1217"/>
      <c r="D250" s="1217" t="s">
        <v>463</v>
      </c>
      <c r="E250" s="1217" t="s">
        <v>495</v>
      </c>
      <c r="F250" s="1217" t="s">
        <v>159</v>
      </c>
      <c r="G250" s="1664"/>
      <c r="H250" s="1682">
        <f t="shared" si="39"/>
        <v>0</v>
      </c>
      <c r="I250" s="529">
        <f t="shared" si="39"/>
        <v>3500</v>
      </c>
      <c r="J250" s="269">
        <f t="shared" si="39"/>
        <v>3500</v>
      </c>
      <c r="N250" s="1200">
        <f t="shared" si="40"/>
        <v>0</v>
      </c>
      <c r="U250" s="1682">
        <f t="shared" si="41"/>
        <v>0</v>
      </c>
    </row>
    <row r="251" spans="1:21" ht="21" hidden="1" x14ac:dyDescent="0.25">
      <c r="A251" s="1229"/>
      <c r="B251" s="1182" t="s">
        <v>454</v>
      </c>
      <c r="C251" s="409"/>
      <c r="D251" s="1217" t="s">
        <v>463</v>
      </c>
      <c r="E251" s="1217" t="s">
        <v>495</v>
      </c>
      <c r="F251" s="1217" t="s">
        <v>159</v>
      </c>
      <c r="G251" s="1662" t="s">
        <v>1</v>
      </c>
      <c r="H251" s="1682">
        <v>0</v>
      </c>
      <c r="I251" s="529">
        <v>3500</v>
      </c>
      <c r="J251" s="269">
        <v>3500</v>
      </c>
      <c r="N251" s="1200">
        <v>0</v>
      </c>
      <c r="U251" s="1682">
        <v>0</v>
      </c>
    </row>
    <row r="252" spans="1:21" ht="21" hidden="1" x14ac:dyDescent="0.25">
      <c r="A252" s="1240"/>
      <c r="B252" s="1219" t="s">
        <v>519</v>
      </c>
      <c r="C252" s="1217"/>
      <c r="D252" s="1217" t="s">
        <v>463</v>
      </c>
      <c r="E252" s="1217" t="s">
        <v>495</v>
      </c>
      <c r="F252" s="1217" t="s">
        <v>518</v>
      </c>
      <c r="G252" s="1664"/>
      <c r="H252" s="1682">
        <f>H253+H258</f>
        <v>0</v>
      </c>
      <c r="I252" s="529">
        <f>I253+I258</f>
        <v>0</v>
      </c>
      <c r="J252" s="269">
        <f>J253+J258</f>
        <v>0</v>
      </c>
      <c r="N252" s="1200">
        <f>N253+N258</f>
        <v>0</v>
      </c>
      <c r="U252" s="1682">
        <f>U253+U258</f>
        <v>0</v>
      </c>
    </row>
    <row r="253" spans="1:21" ht="31.5" hidden="1" x14ac:dyDescent="0.25">
      <c r="A253" s="1240"/>
      <c r="B253" s="1219" t="s">
        <v>517</v>
      </c>
      <c r="C253" s="1217"/>
      <c r="D253" s="1217" t="s">
        <v>463</v>
      </c>
      <c r="E253" s="1217" t="s">
        <v>495</v>
      </c>
      <c r="F253" s="1217" t="s">
        <v>516</v>
      </c>
      <c r="G253" s="1664"/>
      <c r="H253" s="1682">
        <f>H254+H256</f>
        <v>0</v>
      </c>
      <c r="I253" s="529">
        <f>I254+I256</f>
        <v>0</v>
      </c>
      <c r="J253" s="269">
        <f>J254+J256</f>
        <v>0</v>
      </c>
      <c r="N253" s="1200">
        <f>N254+N256</f>
        <v>0</v>
      </c>
      <c r="U253" s="1682">
        <f>U254+U256</f>
        <v>0</v>
      </c>
    </row>
    <row r="254" spans="1:21" hidden="1" x14ac:dyDescent="0.25">
      <c r="A254" s="1229"/>
      <c r="B254" s="753" t="s">
        <v>515</v>
      </c>
      <c r="C254" s="1217"/>
      <c r="D254" s="1217" t="s">
        <v>463</v>
      </c>
      <c r="E254" s="1217" t="s">
        <v>495</v>
      </c>
      <c r="F254" s="1217" t="s">
        <v>514</v>
      </c>
      <c r="G254" s="1664"/>
      <c r="H254" s="1682">
        <f>H255</f>
        <v>0</v>
      </c>
      <c r="I254" s="529">
        <f>I255</f>
        <v>0</v>
      </c>
      <c r="J254" s="269">
        <f>J255</f>
        <v>0</v>
      </c>
      <c r="N254" s="1200">
        <f>N255</f>
        <v>0</v>
      </c>
      <c r="U254" s="1682">
        <f>U255</f>
        <v>0</v>
      </c>
    </row>
    <row r="255" spans="1:21" ht="21" hidden="1" x14ac:dyDescent="0.25">
      <c r="A255" s="1229"/>
      <c r="B255" s="1182" t="s">
        <v>454</v>
      </c>
      <c r="C255" s="409"/>
      <c r="D255" s="1217" t="s">
        <v>463</v>
      </c>
      <c r="E255" s="1217" t="s">
        <v>495</v>
      </c>
      <c r="F255" s="1217" t="s">
        <v>514</v>
      </c>
      <c r="G255" s="1662" t="s">
        <v>1</v>
      </c>
      <c r="H255" s="1682"/>
      <c r="I255" s="529"/>
      <c r="J255" s="269"/>
      <c r="N255" s="1200"/>
      <c r="U255" s="1682"/>
    </row>
    <row r="256" spans="1:21" hidden="1" x14ac:dyDescent="0.25">
      <c r="A256" s="1229"/>
      <c r="B256" s="753" t="s">
        <v>513</v>
      </c>
      <c r="C256" s="1217"/>
      <c r="D256" s="1217" t="s">
        <v>463</v>
      </c>
      <c r="E256" s="1217" t="s">
        <v>495</v>
      </c>
      <c r="F256" s="1217" t="s">
        <v>512</v>
      </c>
      <c r="G256" s="1664"/>
      <c r="H256" s="1682">
        <f>H257</f>
        <v>0</v>
      </c>
      <c r="I256" s="529">
        <f>I257</f>
        <v>0</v>
      </c>
      <c r="J256" s="269">
        <f>J257</f>
        <v>0</v>
      </c>
      <c r="N256" s="1200">
        <f>N257</f>
        <v>0</v>
      </c>
      <c r="U256" s="1682">
        <f>U257</f>
        <v>0</v>
      </c>
    </row>
    <row r="257" spans="1:21" ht="21" hidden="1" x14ac:dyDescent="0.25">
      <c r="A257" s="1229"/>
      <c r="B257" s="1182" t="s">
        <v>454</v>
      </c>
      <c r="C257" s="409"/>
      <c r="D257" s="1217" t="s">
        <v>463</v>
      </c>
      <c r="E257" s="1217" t="s">
        <v>495</v>
      </c>
      <c r="F257" s="1217" t="s">
        <v>512</v>
      </c>
      <c r="G257" s="1662" t="s">
        <v>1</v>
      </c>
      <c r="H257" s="1682"/>
      <c r="I257" s="529"/>
      <c r="J257" s="269"/>
      <c r="N257" s="1200"/>
      <c r="U257" s="1682"/>
    </row>
    <row r="258" spans="1:21" ht="21" hidden="1" x14ac:dyDescent="0.25">
      <c r="A258" s="1179"/>
      <c r="B258" s="1247" t="s">
        <v>511</v>
      </c>
      <c r="C258" s="1227"/>
      <c r="D258" s="1248" t="s">
        <v>463</v>
      </c>
      <c r="E258" s="1248" t="s">
        <v>495</v>
      </c>
      <c r="F258" s="1248" t="s">
        <v>510</v>
      </c>
      <c r="G258" s="1666"/>
      <c r="H258" s="1686">
        <f>H259+H263</f>
        <v>0</v>
      </c>
      <c r="I258" s="854">
        <f>I259+I263</f>
        <v>0</v>
      </c>
      <c r="J258" s="406">
        <f>J259+J263</f>
        <v>0</v>
      </c>
      <c r="N258" s="1249">
        <f>N259+N263</f>
        <v>0</v>
      </c>
      <c r="U258" s="1686">
        <f>U259+U263</f>
        <v>0</v>
      </c>
    </row>
    <row r="259" spans="1:21" hidden="1" x14ac:dyDescent="0.25">
      <c r="A259" s="842"/>
      <c r="B259" s="1224" t="s">
        <v>351</v>
      </c>
      <c r="C259" s="1217"/>
      <c r="D259" s="1217" t="s">
        <v>463</v>
      </c>
      <c r="E259" s="1217" t="s">
        <v>495</v>
      </c>
      <c r="F259" s="1217" t="s">
        <v>508</v>
      </c>
      <c r="G259" s="1664"/>
      <c r="H259" s="1682">
        <f>H260+H261+H262</f>
        <v>0</v>
      </c>
      <c r="I259" s="529">
        <f>I260+I261+I262</f>
        <v>0</v>
      </c>
      <c r="J259" s="269">
        <f>J260+J261+J262</f>
        <v>0</v>
      </c>
      <c r="N259" s="1200">
        <f>N260+N261+N262</f>
        <v>0</v>
      </c>
      <c r="U259" s="1682">
        <f>U260+U261+U262</f>
        <v>0</v>
      </c>
    </row>
    <row r="260" spans="1:21" hidden="1" x14ac:dyDescent="0.25">
      <c r="A260" s="1179"/>
      <c r="B260" s="1182" t="s">
        <v>458</v>
      </c>
      <c r="C260" s="409"/>
      <c r="D260" s="1217" t="s">
        <v>463</v>
      </c>
      <c r="E260" s="1217" t="s">
        <v>495</v>
      </c>
      <c r="F260" s="1217" t="s">
        <v>508</v>
      </c>
      <c r="G260" s="1662" t="s">
        <v>255</v>
      </c>
      <c r="H260" s="1682"/>
      <c r="I260" s="529"/>
      <c r="J260" s="269"/>
      <c r="N260" s="1200"/>
      <c r="U260" s="1682"/>
    </row>
    <row r="261" spans="1:21" ht="21" hidden="1" x14ac:dyDescent="0.25">
      <c r="A261" s="1179"/>
      <c r="B261" s="1182" t="s">
        <v>454</v>
      </c>
      <c r="C261" s="409"/>
      <c r="D261" s="1217" t="s">
        <v>463</v>
      </c>
      <c r="E261" s="1217" t="s">
        <v>495</v>
      </c>
      <c r="F261" s="1217" t="s">
        <v>508</v>
      </c>
      <c r="G261" s="1662" t="s">
        <v>1</v>
      </c>
      <c r="H261" s="1682"/>
      <c r="I261" s="529"/>
      <c r="J261" s="269"/>
      <c r="N261" s="1200"/>
      <c r="U261" s="1682"/>
    </row>
    <row r="262" spans="1:21" hidden="1" x14ac:dyDescent="0.25">
      <c r="A262" s="1179"/>
      <c r="B262" s="1182" t="s">
        <v>457</v>
      </c>
      <c r="C262" s="409"/>
      <c r="D262" s="1217" t="s">
        <v>463</v>
      </c>
      <c r="E262" s="1217" t="s">
        <v>495</v>
      </c>
      <c r="F262" s="1217" t="s">
        <v>508</v>
      </c>
      <c r="G262" s="1662" t="s">
        <v>91</v>
      </c>
      <c r="H262" s="1682"/>
      <c r="I262" s="529"/>
      <c r="J262" s="269"/>
      <c r="N262" s="1200"/>
      <c r="U262" s="1682"/>
    </row>
    <row r="263" spans="1:21" ht="15" hidden="1" customHeight="1" x14ac:dyDescent="0.25">
      <c r="A263" s="842"/>
      <c r="B263" s="1180"/>
      <c r="C263" s="1217"/>
      <c r="D263" s="1217" t="s">
        <v>463</v>
      </c>
      <c r="E263" s="1217" t="s">
        <v>495</v>
      </c>
      <c r="F263" s="1217" t="s">
        <v>183</v>
      </c>
      <c r="G263" s="1664"/>
      <c r="H263" s="1682">
        <f>H264</f>
        <v>0</v>
      </c>
      <c r="I263" s="529">
        <f>I264</f>
        <v>0</v>
      </c>
      <c r="J263" s="269">
        <f>J264</f>
        <v>0</v>
      </c>
      <c r="N263" s="1200">
        <f>N264</f>
        <v>0</v>
      </c>
      <c r="U263" s="1682">
        <f>U264</f>
        <v>0</v>
      </c>
    </row>
    <row r="264" spans="1:21" ht="30.75" hidden="1" customHeight="1" thickBot="1" x14ac:dyDescent="0.3">
      <c r="A264" s="1179"/>
      <c r="B264" s="1191" t="s">
        <v>916</v>
      </c>
      <c r="C264" s="1193"/>
      <c r="D264" s="1531" t="s">
        <v>463</v>
      </c>
      <c r="E264" s="1531" t="s">
        <v>495</v>
      </c>
      <c r="F264" s="1531" t="s">
        <v>183</v>
      </c>
      <c r="G264" s="1663" t="s">
        <v>521</v>
      </c>
      <c r="H264" s="1682">
        <f>722.93+5324.558+935-6982.488</f>
        <v>0</v>
      </c>
      <c r="I264" s="529"/>
      <c r="J264" s="269"/>
      <c r="N264" s="1200">
        <f>722.93+5324.558+935-6982.488</f>
        <v>0</v>
      </c>
      <c r="U264" s="1682">
        <f>722.93+5324.558+935-6982.488</f>
        <v>0</v>
      </c>
    </row>
    <row r="265" spans="1:21" ht="30.75" customHeight="1" x14ac:dyDescent="0.25">
      <c r="A265" s="732"/>
      <c r="B265" s="1532" t="s">
        <v>949</v>
      </c>
      <c r="C265" s="409"/>
      <c r="D265" s="1227" t="s">
        <v>463</v>
      </c>
      <c r="E265" s="1227" t="s">
        <v>495</v>
      </c>
      <c r="F265" s="409" t="s">
        <v>952</v>
      </c>
      <c r="G265" s="1667"/>
      <c r="H265" s="1682">
        <f>H269+H271</f>
        <v>800</v>
      </c>
      <c r="I265" s="529"/>
      <c r="J265" s="269"/>
      <c r="N265" s="1530">
        <f>N269+N271</f>
        <v>1265</v>
      </c>
      <c r="U265" s="1682">
        <f>U269+U271</f>
        <v>1391.5</v>
      </c>
    </row>
    <row r="266" spans="1:21" ht="30.75" customHeight="1" x14ac:dyDescent="0.25">
      <c r="A266" s="732"/>
      <c r="B266" s="1533" t="s">
        <v>947</v>
      </c>
      <c r="C266" s="409"/>
      <c r="D266" s="409" t="s">
        <v>463</v>
      </c>
      <c r="E266" s="409" t="s">
        <v>495</v>
      </c>
      <c r="F266" s="1534" t="s">
        <v>953</v>
      </c>
      <c r="G266" s="1668"/>
      <c r="H266" s="1682">
        <f>H267</f>
        <v>450</v>
      </c>
      <c r="I266" s="529"/>
      <c r="J266" s="269"/>
      <c r="N266" s="1530">
        <f>N267</f>
        <v>880</v>
      </c>
      <c r="U266" s="1682">
        <f>U267</f>
        <v>968</v>
      </c>
    </row>
    <row r="267" spans="1:21" ht="30.75" customHeight="1" x14ac:dyDescent="0.25">
      <c r="A267" s="732"/>
      <c r="B267" s="1535" t="s">
        <v>950</v>
      </c>
      <c r="C267" s="409"/>
      <c r="D267" s="409" t="s">
        <v>463</v>
      </c>
      <c r="E267" s="409" t="s">
        <v>495</v>
      </c>
      <c r="F267" s="1235" t="s">
        <v>954</v>
      </c>
      <c r="G267" s="1669"/>
      <c r="H267" s="1682">
        <f>H269</f>
        <v>450</v>
      </c>
      <c r="I267" s="529"/>
      <c r="J267" s="269"/>
      <c r="N267" s="1530">
        <f>N269</f>
        <v>880</v>
      </c>
      <c r="U267" s="1682">
        <f>U269</f>
        <v>968</v>
      </c>
    </row>
    <row r="268" spans="1:21" ht="30.75" hidden="1" customHeight="1" x14ac:dyDescent="0.25">
      <c r="A268" s="732"/>
      <c r="B268" s="753" t="s">
        <v>948</v>
      </c>
      <c r="C268" s="409"/>
      <c r="D268" s="1217" t="s">
        <v>463</v>
      </c>
      <c r="E268" s="1217" t="s">
        <v>495</v>
      </c>
      <c r="F268" s="1235" t="s">
        <v>954</v>
      </c>
      <c r="G268" s="1670" t="s">
        <v>955</v>
      </c>
      <c r="H268" s="1682"/>
      <c r="I268" s="529"/>
      <c r="J268" s="269"/>
      <c r="N268" s="1530"/>
      <c r="U268" s="1682"/>
    </row>
    <row r="269" spans="1:21" ht="30.75" customHeight="1" x14ac:dyDescent="0.25">
      <c r="A269" s="732"/>
      <c r="B269" s="1182" t="s">
        <v>454</v>
      </c>
      <c r="C269" s="409"/>
      <c r="D269" s="1217" t="s">
        <v>463</v>
      </c>
      <c r="E269" s="1217" t="s">
        <v>495</v>
      </c>
      <c r="F269" s="1235" t="s">
        <v>954</v>
      </c>
      <c r="G269" s="1662" t="s">
        <v>1</v>
      </c>
      <c r="H269" s="1682">
        <v>450</v>
      </c>
      <c r="I269" s="529"/>
      <c r="J269" s="269"/>
      <c r="K269" s="1">
        <v>450</v>
      </c>
      <c r="N269" s="1530">
        <v>880</v>
      </c>
      <c r="U269" s="1682">
        <v>968</v>
      </c>
    </row>
    <row r="270" spans="1:21" ht="30.75" hidden="1" customHeight="1" x14ac:dyDescent="0.25">
      <c r="A270" s="732"/>
      <c r="B270" s="1182" t="s">
        <v>34</v>
      </c>
      <c r="C270" s="409"/>
      <c r="D270" s="1217" t="s">
        <v>463</v>
      </c>
      <c r="E270" s="1217" t="s">
        <v>495</v>
      </c>
      <c r="F270" s="1235" t="s">
        <v>954</v>
      </c>
      <c r="G270" s="1662" t="s">
        <v>1</v>
      </c>
      <c r="H270" s="1682"/>
      <c r="I270" s="529"/>
      <c r="J270" s="269"/>
      <c r="N270" s="1530"/>
      <c r="U270" s="1682"/>
    </row>
    <row r="271" spans="1:21" ht="30.75" customHeight="1" x14ac:dyDescent="0.25">
      <c r="A271" s="732"/>
      <c r="B271" s="1533" t="s">
        <v>951</v>
      </c>
      <c r="C271" s="409"/>
      <c r="D271" s="1217" t="s">
        <v>463</v>
      </c>
      <c r="E271" s="1217" t="s">
        <v>495</v>
      </c>
      <c r="F271" s="1534" t="s">
        <v>956</v>
      </c>
      <c r="G271" s="1668"/>
      <c r="H271" s="1682">
        <f>H272</f>
        <v>350</v>
      </c>
      <c r="I271" s="529"/>
      <c r="J271" s="269"/>
      <c r="N271" s="1530">
        <f>N272</f>
        <v>385</v>
      </c>
      <c r="U271" s="1682">
        <f>U272</f>
        <v>423.5</v>
      </c>
    </row>
    <row r="272" spans="1:21" ht="30.75" customHeight="1" x14ac:dyDescent="0.25">
      <c r="A272" s="732"/>
      <c r="B272" s="753" t="s">
        <v>950</v>
      </c>
      <c r="C272" s="409"/>
      <c r="D272" s="408" t="s">
        <v>463</v>
      </c>
      <c r="E272" s="408" t="s">
        <v>495</v>
      </c>
      <c r="F272" s="1235" t="s">
        <v>957</v>
      </c>
      <c r="G272" s="1669"/>
      <c r="H272" s="1682">
        <f>H274</f>
        <v>350</v>
      </c>
      <c r="I272" s="529"/>
      <c r="J272" s="269"/>
      <c r="N272" s="1530">
        <f>N274</f>
        <v>385</v>
      </c>
      <c r="U272" s="1682">
        <f>U274</f>
        <v>423.5</v>
      </c>
    </row>
    <row r="273" spans="1:21" ht="30.75" hidden="1" customHeight="1" x14ac:dyDescent="0.25">
      <c r="A273" s="732"/>
      <c r="B273" s="753" t="s">
        <v>948</v>
      </c>
      <c r="C273" s="409"/>
      <c r="D273" s="1217" t="s">
        <v>463</v>
      </c>
      <c r="E273" s="1217" t="s">
        <v>495</v>
      </c>
      <c r="F273" s="1235" t="s">
        <v>957</v>
      </c>
      <c r="G273" s="1670" t="s">
        <v>955</v>
      </c>
      <c r="H273" s="1682"/>
      <c r="I273" s="529"/>
      <c r="J273" s="269"/>
      <c r="N273" s="1530"/>
      <c r="U273" s="1682"/>
    </row>
    <row r="274" spans="1:21" ht="30.75" customHeight="1" x14ac:dyDescent="0.25">
      <c r="A274" s="732"/>
      <c r="B274" s="1182" t="s">
        <v>454</v>
      </c>
      <c r="C274" s="409"/>
      <c r="D274" s="409" t="s">
        <v>463</v>
      </c>
      <c r="E274" s="409" t="s">
        <v>495</v>
      </c>
      <c r="F274" s="1235" t="s">
        <v>957</v>
      </c>
      <c r="G274" s="1662" t="s">
        <v>1</v>
      </c>
      <c r="H274" s="1682">
        <v>350</v>
      </c>
      <c r="I274" s="529"/>
      <c r="J274" s="269"/>
      <c r="K274" s="1">
        <v>350</v>
      </c>
      <c r="N274" s="1530">
        <v>385</v>
      </c>
      <c r="U274" s="1682">
        <v>423.5</v>
      </c>
    </row>
    <row r="275" spans="1:21" ht="30.75" hidden="1" customHeight="1" thickBot="1" x14ac:dyDescent="0.3">
      <c r="A275" s="1179"/>
      <c r="B275" s="1498" t="s">
        <v>34</v>
      </c>
      <c r="C275" s="409"/>
      <c r="D275" s="1217" t="s">
        <v>463</v>
      </c>
      <c r="E275" s="1217" t="s">
        <v>495</v>
      </c>
      <c r="F275" s="1499" t="s">
        <v>957</v>
      </c>
      <c r="G275" s="1671" t="s">
        <v>1</v>
      </c>
      <c r="H275" s="1682"/>
      <c r="I275" s="529"/>
      <c r="J275" s="269"/>
      <c r="N275" s="1200"/>
      <c r="U275" s="1682"/>
    </row>
    <row r="276" spans="1:21" x14ac:dyDescent="0.25">
      <c r="A276" s="1179"/>
      <c r="B276" s="1184" t="s">
        <v>348</v>
      </c>
      <c r="C276" s="1177"/>
      <c r="D276" s="408" t="s">
        <v>506</v>
      </c>
      <c r="E276" s="408" t="s">
        <v>459</v>
      </c>
      <c r="F276" s="408"/>
      <c r="G276" s="1661"/>
      <c r="H276" s="1683">
        <f t="shared" ref="H276:J278" si="42">H277</f>
        <v>348</v>
      </c>
      <c r="I276" s="841">
        <f t="shared" si="42"/>
        <v>302</v>
      </c>
      <c r="J276" s="276">
        <f t="shared" si="42"/>
        <v>337</v>
      </c>
      <c r="N276" s="1208">
        <f t="shared" ref="N276:N278" si="43">N277</f>
        <v>362</v>
      </c>
      <c r="U276" s="1683">
        <f t="shared" ref="U276:U278" si="44">U277</f>
        <v>377</v>
      </c>
    </row>
    <row r="277" spans="1:21" x14ac:dyDescent="0.25">
      <c r="A277" s="842"/>
      <c r="B277" s="1184" t="s">
        <v>964</v>
      </c>
      <c r="C277" s="1177"/>
      <c r="D277" s="408" t="s">
        <v>506</v>
      </c>
      <c r="E277" s="408" t="s">
        <v>506</v>
      </c>
      <c r="F277" s="408"/>
      <c r="G277" s="1661"/>
      <c r="H277" s="1683">
        <f t="shared" si="42"/>
        <v>348</v>
      </c>
      <c r="I277" s="841">
        <f t="shared" si="42"/>
        <v>302</v>
      </c>
      <c r="J277" s="276">
        <f t="shared" si="42"/>
        <v>337</v>
      </c>
      <c r="N277" s="1208">
        <f t="shared" si="43"/>
        <v>362</v>
      </c>
      <c r="U277" s="1683">
        <f t="shared" si="44"/>
        <v>377</v>
      </c>
    </row>
    <row r="278" spans="1:21" ht="21" x14ac:dyDescent="0.25">
      <c r="A278" s="1179"/>
      <c r="B278" s="1205" t="s">
        <v>932</v>
      </c>
      <c r="C278" s="1180"/>
      <c r="D278" s="409" t="s">
        <v>506</v>
      </c>
      <c r="E278" s="409" t="s">
        <v>506</v>
      </c>
      <c r="F278" s="409" t="s">
        <v>273</v>
      </c>
      <c r="G278" s="1662"/>
      <c r="H278" s="1682">
        <f t="shared" si="42"/>
        <v>348</v>
      </c>
      <c r="I278" s="529">
        <f t="shared" si="42"/>
        <v>302</v>
      </c>
      <c r="J278" s="269">
        <f t="shared" si="42"/>
        <v>337</v>
      </c>
      <c r="N278" s="1200">
        <f t="shared" si="43"/>
        <v>362</v>
      </c>
      <c r="U278" s="1682">
        <f t="shared" si="44"/>
        <v>377</v>
      </c>
    </row>
    <row r="279" spans="1:21" ht="21" x14ac:dyDescent="0.25">
      <c r="A279" s="1179"/>
      <c r="B279" s="1205" t="s">
        <v>909</v>
      </c>
      <c r="C279" s="1180"/>
      <c r="D279" s="409" t="s">
        <v>506</v>
      </c>
      <c r="E279" s="409" t="s">
        <v>506</v>
      </c>
      <c r="F279" s="409" t="s">
        <v>271</v>
      </c>
      <c r="G279" s="1662"/>
      <c r="H279" s="1682">
        <f>H280+H283</f>
        <v>348</v>
      </c>
      <c r="I279" s="529">
        <f>I280+I283</f>
        <v>302</v>
      </c>
      <c r="J279" s="269">
        <f>J280+J283</f>
        <v>337</v>
      </c>
      <c r="K279" s="1439">
        <v>348</v>
      </c>
      <c r="N279" s="1200">
        <f>N280+N283</f>
        <v>362</v>
      </c>
      <c r="U279" s="1682">
        <f>U280+U283</f>
        <v>377</v>
      </c>
    </row>
    <row r="280" spans="1:21" ht="31.5" hidden="1" x14ac:dyDescent="0.25">
      <c r="A280" s="1179"/>
      <c r="B280" s="1205" t="s">
        <v>270</v>
      </c>
      <c r="C280" s="1180"/>
      <c r="D280" s="409" t="s">
        <v>506</v>
      </c>
      <c r="E280" s="409" t="s">
        <v>506</v>
      </c>
      <c r="F280" s="409" t="s">
        <v>267</v>
      </c>
      <c r="G280" s="1662"/>
      <c r="H280" s="1682">
        <f t="shared" ref="H280:J281" si="45">H281</f>
        <v>0</v>
      </c>
      <c r="I280" s="529">
        <f t="shared" si="45"/>
        <v>0</v>
      </c>
      <c r="J280" s="269">
        <f t="shared" si="45"/>
        <v>0</v>
      </c>
      <c r="N280" s="1200">
        <f t="shared" ref="N280:N281" si="46">N281</f>
        <v>0</v>
      </c>
      <c r="U280" s="1682">
        <f t="shared" ref="U280:U281" si="47">U281</f>
        <v>0</v>
      </c>
    </row>
    <row r="281" spans="1:21" hidden="1" x14ac:dyDescent="0.25">
      <c r="A281" s="1233"/>
      <c r="B281" s="1250" t="s">
        <v>4</v>
      </c>
      <c r="C281" s="1180"/>
      <c r="D281" s="409" t="s">
        <v>506</v>
      </c>
      <c r="E281" s="409" t="s">
        <v>506</v>
      </c>
      <c r="F281" s="409" t="s">
        <v>507</v>
      </c>
      <c r="G281" s="1662"/>
      <c r="H281" s="1682">
        <f t="shared" si="45"/>
        <v>0</v>
      </c>
      <c r="I281" s="529">
        <f t="shared" si="45"/>
        <v>0</v>
      </c>
      <c r="J281" s="269">
        <f t="shared" si="45"/>
        <v>0</v>
      </c>
      <c r="N281" s="1200">
        <f t="shared" si="46"/>
        <v>0</v>
      </c>
      <c r="U281" s="1682">
        <f t="shared" si="47"/>
        <v>0</v>
      </c>
    </row>
    <row r="282" spans="1:21" ht="21" hidden="1" x14ac:dyDescent="0.25">
      <c r="A282" s="1233"/>
      <c r="B282" s="1197" t="s">
        <v>268</v>
      </c>
      <c r="C282" s="1183"/>
      <c r="D282" s="409" t="s">
        <v>506</v>
      </c>
      <c r="E282" s="409" t="s">
        <v>506</v>
      </c>
      <c r="F282" s="409" t="s">
        <v>507</v>
      </c>
      <c r="G282" s="1662" t="s">
        <v>1</v>
      </c>
      <c r="H282" s="1682"/>
      <c r="I282" s="529"/>
      <c r="J282" s="269"/>
      <c r="N282" s="1200"/>
      <c r="U282" s="1682"/>
    </row>
    <row r="283" spans="1:21" ht="21" x14ac:dyDescent="0.25">
      <c r="A283" s="1233"/>
      <c r="B283" s="753" t="s">
        <v>268</v>
      </c>
      <c r="C283" s="1183"/>
      <c r="D283" s="409" t="s">
        <v>506</v>
      </c>
      <c r="E283" s="409" t="s">
        <v>506</v>
      </c>
      <c r="F283" s="409" t="s">
        <v>267</v>
      </c>
      <c r="G283" s="1662"/>
      <c r="H283" s="1682">
        <f t="shared" ref="H283:J284" si="48">H284</f>
        <v>348</v>
      </c>
      <c r="I283" s="529">
        <f t="shared" si="48"/>
        <v>302</v>
      </c>
      <c r="J283" s="269">
        <f t="shared" si="48"/>
        <v>337</v>
      </c>
      <c r="N283" s="1200">
        <f t="shared" ref="N283:N284" si="49">N284</f>
        <v>362</v>
      </c>
      <c r="U283" s="1682">
        <f t="shared" ref="U283:U284" si="50">U284</f>
        <v>377</v>
      </c>
    </row>
    <row r="284" spans="1:21" x14ac:dyDescent="0.25">
      <c r="A284" s="1179"/>
      <c r="B284" s="1205" t="s">
        <v>266</v>
      </c>
      <c r="C284" s="1180"/>
      <c r="D284" s="409" t="s">
        <v>506</v>
      </c>
      <c r="E284" s="409" t="s">
        <v>506</v>
      </c>
      <c r="F284" s="409" t="s">
        <v>263</v>
      </c>
      <c r="G284" s="1662"/>
      <c r="H284" s="1682">
        <f t="shared" si="48"/>
        <v>348</v>
      </c>
      <c r="I284" s="529">
        <f t="shared" si="48"/>
        <v>302</v>
      </c>
      <c r="J284" s="269">
        <f t="shared" si="48"/>
        <v>337</v>
      </c>
      <c r="N284" s="1200">
        <f t="shared" si="49"/>
        <v>362</v>
      </c>
      <c r="U284" s="1682">
        <f t="shared" si="50"/>
        <v>377</v>
      </c>
    </row>
    <row r="285" spans="1:21" ht="21" x14ac:dyDescent="0.25">
      <c r="A285" s="1179"/>
      <c r="B285" s="1191" t="s">
        <v>454</v>
      </c>
      <c r="C285" s="1183"/>
      <c r="D285" s="409" t="s">
        <v>506</v>
      </c>
      <c r="E285" s="409" t="s">
        <v>506</v>
      </c>
      <c r="F285" s="409" t="s">
        <v>263</v>
      </c>
      <c r="G285" s="1662" t="s">
        <v>1</v>
      </c>
      <c r="H285" s="1682">
        <v>348</v>
      </c>
      <c r="I285" s="529">
        <v>302</v>
      </c>
      <c r="J285" s="269">
        <v>337</v>
      </c>
      <c r="K285" s="1">
        <v>348</v>
      </c>
      <c r="N285" s="1200">
        <v>362</v>
      </c>
      <c r="U285" s="1682">
        <v>377</v>
      </c>
    </row>
    <row r="286" spans="1:21" s="760" customFormat="1" ht="13" x14ac:dyDescent="0.3">
      <c r="A286" s="842"/>
      <c r="B286" s="1251" t="s">
        <v>460</v>
      </c>
      <c r="C286" s="408"/>
      <c r="D286" s="1221" t="s">
        <v>453</v>
      </c>
      <c r="E286" s="1221" t="s">
        <v>459</v>
      </c>
      <c r="F286" s="408"/>
      <c r="G286" s="1661"/>
      <c r="H286" s="1683">
        <f>H287+H302</f>
        <v>16002.599</v>
      </c>
      <c r="I286" s="841"/>
      <c r="J286" s="276"/>
      <c r="N286" s="1208">
        <f>N287+N302</f>
        <v>15191.339999999998</v>
      </c>
      <c r="U286" s="1683">
        <f>U287+U302</f>
        <v>15769.57</v>
      </c>
    </row>
    <row r="287" spans="1:21" x14ac:dyDescent="0.25">
      <c r="A287" s="1179"/>
      <c r="B287" s="1173" t="s">
        <v>87</v>
      </c>
      <c r="C287" s="1177"/>
      <c r="D287" s="408" t="s">
        <v>453</v>
      </c>
      <c r="E287" s="408" t="s">
        <v>456</v>
      </c>
      <c r="F287" s="408"/>
      <c r="G287" s="1661"/>
      <c r="H287" s="1683">
        <f>H288+H295</f>
        <v>12968.895</v>
      </c>
      <c r="I287" s="841">
        <f>I288+I296</f>
        <v>0</v>
      </c>
      <c r="J287" s="276">
        <f>J288+J296</f>
        <v>0</v>
      </c>
      <c r="N287" s="1208">
        <f>N288+N295</f>
        <v>12173.939999999999</v>
      </c>
      <c r="U287" s="1683">
        <f>U288+U295</f>
        <v>12431.57</v>
      </c>
    </row>
    <row r="288" spans="1:21" ht="24.75" customHeight="1" x14ac:dyDescent="0.25">
      <c r="A288" s="1179"/>
      <c r="B288" s="753" t="s">
        <v>932</v>
      </c>
      <c r="C288" s="1177"/>
      <c r="D288" s="408" t="s">
        <v>453</v>
      </c>
      <c r="E288" s="408" t="s">
        <v>456</v>
      </c>
      <c r="F288" s="408" t="s">
        <v>273</v>
      </c>
      <c r="G288" s="1661"/>
      <c r="H288" s="1683">
        <f>H289</f>
        <v>12968.895</v>
      </c>
      <c r="I288" s="841">
        <f t="shared" ref="I288:J291" si="51">I289</f>
        <v>0</v>
      </c>
      <c r="J288" s="276">
        <f t="shared" si="51"/>
        <v>0</v>
      </c>
      <c r="K288" s="1439">
        <f>K292+K293+K294+K299+K307+K301</f>
        <v>14898.362999999999</v>
      </c>
      <c r="M288" s="237"/>
      <c r="N288" s="1208">
        <f>N289</f>
        <v>12173.939999999999</v>
      </c>
      <c r="U288" s="1683">
        <f>U289</f>
        <v>12431.57</v>
      </c>
    </row>
    <row r="289" spans="1:25" ht="27.75" customHeight="1" x14ac:dyDescent="0.25">
      <c r="A289" s="1179"/>
      <c r="B289" s="1205" t="s">
        <v>911</v>
      </c>
      <c r="C289" s="1180"/>
      <c r="D289" s="409" t="s">
        <v>453</v>
      </c>
      <c r="E289" s="409" t="s">
        <v>456</v>
      </c>
      <c r="F289" s="409" t="s">
        <v>260</v>
      </c>
      <c r="G289" s="1662"/>
      <c r="H289" s="1682">
        <f>H290</f>
        <v>12968.895</v>
      </c>
      <c r="I289" s="529">
        <f t="shared" si="51"/>
        <v>0</v>
      </c>
      <c r="J289" s="269">
        <f t="shared" si="51"/>
        <v>0</v>
      </c>
      <c r="N289" s="1200">
        <f>N290</f>
        <v>12173.939999999999</v>
      </c>
      <c r="U289" s="1682">
        <f>U290</f>
        <v>12431.57</v>
      </c>
    </row>
    <row r="290" spans="1:25" x14ac:dyDescent="0.25">
      <c r="A290" s="842"/>
      <c r="B290" s="1205" t="s">
        <v>259</v>
      </c>
      <c r="C290" s="1180"/>
      <c r="D290" s="409" t="s">
        <v>453</v>
      </c>
      <c r="E290" s="409" t="s">
        <v>456</v>
      </c>
      <c r="F290" s="409" t="s">
        <v>258</v>
      </c>
      <c r="G290" s="1662"/>
      <c r="H290" s="1687">
        <f>H292+H293+H294+H301</f>
        <v>12968.895</v>
      </c>
      <c r="I290" s="1655">
        <f t="shared" si="51"/>
        <v>0</v>
      </c>
      <c r="J290" s="1656">
        <f t="shared" si="51"/>
        <v>0</v>
      </c>
      <c r="K290" s="1657"/>
      <c r="L290" s="1657"/>
      <c r="M290" s="1657"/>
      <c r="N290" s="1654">
        <f>N292+N293+N294+N301</f>
        <v>12173.939999999999</v>
      </c>
      <c r="O290" s="1657"/>
      <c r="P290" s="1657"/>
      <c r="Q290" s="1657"/>
      <c r="R290" s="1657"/>
      <c r="S290" s="1657"/>
      <c r="T290" s="1657"/>
      <c r="U290" s="1687">
        <f>U292+U293+U294+U301</f>
        <v>12431.57</v>
      </c>
    </row>
    <row r="291" spans="1:25" x14ac:dyDescent="0.25">
      <c r="A291" s="842"/>
      <c r="B291" s="1197" t="s">
        <v>351</v>
      </c>
      <c r="C291" s="1180"/>
      <c r="D291" s="409" t="s">
        <v>453</v>
      </c>
      <c r="E291" s="409" t="s">
        <v>456</v>
      </c>
      <c r="F291" s="409" t="s">
        <v>254</v>
      </c>
      <c r="G291" s="1662"/>
      <c r="H291" s="1687">
        <f>H292+H293+H294</f>
        <v>10302.695</v>
      </c>
      <c r="I291" s="1655">
        <f t="shared" si="51"/>
        <v>0</v>
      </c>
      <c r="J291" s="1656">
        <f t="shared" si="51"/>
        <v>0</v>
      </c>
      <c r="K291" s="1657"/>
      <c r="L291" s="1657"/>
      <c r="M291" s="1657"/>
      <c r="N291" s="1654">
        <f>N292+N293+N294</f>
        <v>9507.74</v>
      </c>
      <c r="O291" s="1657"/>
      <c r="P291" s="1657"/>
      <c r="Q291" s="1657"/>
      <c r="R291" s="1657"/>
      <c r="S291" s="1657"/>
      <c r="T291" s="1657"/>
      <c r="U291" s="1687">
        <f>U292+U293+U294</f>
        <v>9765.3700000000008</v>
      </c>
    </row>
    <row r="292" spans="1:25" x14ac:dyDescent="0.25">
      <c r="A292" s="842"/>
      <c r="B292" s="753" t="s">
        <v>840</v>
      </c>
      <c r="C292" s="1180"/>
      <c r="D292" s="409" t="s">
        <v>453</v>
      </c>
      <c r="E292" s="409" t="s">
        <v>456</v>
      </c>
      <c r="F292" s="409" t="s">
        <v>254</v>
      </c>
      <c r="G292" s="1662" t="s">
        <v>255</v>
      </c>
      <c r="H292" s="1682">
        <f>7092.058+391.636</f>
        <v>7483.6940000000004</v>
      </c>
      <c r="I292" s="529">
        <f>I293+I294+I295</f>
        <v>0</v>
      </c>
      <c r="J292" s="269">
        <f>J293+J294+J295</f>
        <v>0</v>
      </c>
      <c r="K292" s="1">
        <v>7092.058</v>
      </c>
      <c r="N292" s="1200">
        <v>7375.74</v>
      </c>
      <c r="U292" s="1682">
        <v>7670.77</v>
      </c>
    </row>
    <row r="293" spans="1:25" ht="21" x14ac:dyDescent="0.25">
      <c r="A293" s="1179"/>
      <c r="B293" s="1182" t="s">
        <v>454</v>
      </c>
      <c r="C293" s="1183"/>
      <c r="D293" s="409" t="s">
        <v>453</v>
      </c>
      <c r="E293" s="409" t="s">
        <v>456</v>
      </c>
      <c r="F293" s="409" t="s">
        <v>254</v>
      </c>
      <c r="G293" s="1662" t="s">
        <v>1</v>
      </c>
      <c r="H293" s="1682">
        <v>2809.0010000000002</v>
      </c>
      <c r="I293" s="529"/>
      <c r="J293" s="269"/>
      <c r="K293" s="1031">
        <v>2809.0010000000002</v>
      </c>
      <c r="N293" s="1200">
        <v>2122</v>
      </c>
      <c r="U293" s="1682">
        <v>2084.6</v>
      </c>
    </row>
    <row r="294" spans="1:25" x14ac:dyDescent="0.25">
      <c r="A294" s="1179"/>
      <c r="B294" s="1182" t="s">
        <v>457</v>
      </c>
      <c r="C294" s="1183"/>
      <c r="D294" s="409" t="s">
        <v>453</v>
      </c>
      <c r="E294" s="409" t="s">
        <v>456</v>
      </c>
      <c r="F294" s="409" t="s">
        <v>254</v>
      </c>
      <c r="G294" s="1662" t="s">
        <v>91</v>
      </c>
      <c r="H294" s="1682">
        <v>10</v>
      </c>
      <c r="I294" s="529"/>
      <c r="J294" s="269"/>
      <c r="K294" s="1">
        <v>10</v>
      </c>
      <c r="N294" s="1200">
        <v>10</v>
      </c>
      <c r="U294" s="1682">
        <v>10</v>
      </c>
    </row>
    <row r="295" spans="1:25" s="760" customFormat="1" ht="21" hidden="1" x14ac:dyDescent="0.3">
      <c r="A295" s="842"/>
      <c r="B295" s="1242" t="s">
        <v>499</v>
      </c>
      <c r="C295" s="1207"/>
      <c r="D295" s="408" t="s">
        <v>453</v>
      </c>
      <c r="E295" s="408" t="s">
        <v>456</v>
      </c>
      <c r="F295" s="408" t="s">
        <v>273</v>
      </c>
      <c r="G295" s="1661"/>
      <c r="H295" s="1683">
        <f>H296</f>
        <v>0</v>
      </c>
      <c r="I295" s="841"/>
      <c r="J295" s="276"/>
      <c r="K295" s="1"/>
      <c r="N295" s="1208">
        <f>N296</f>
        <v>0</v>
      </c>
      <c r="U295" s="1683">
        <f>U296</f>
        <v>0</v>
      </c>
    </row>
    <row r="296" spans="1:25" hidden="1" x14ac:dyDescent="0.25">
      <c r="A296" s="1179"/>
      <c r="B296" s="753" t="s">
        <v>109</v>
      </c>
      <c r="C296" s="1180"/>
      <c r="D296" s="409" t="s">
        <v>453</v>
      </c>
      <c r="E296" s="409" t="s">
        <v>456</v>
      </c>
      <c r="F296" s="409" t="s">
        <v>260</v>
      </c>
      <c r="G296" s="1662"/>
      <c r="H296" s="1682">
        <f>H297</f>
        <v>0</v>
      </c>
      <c r="I296" s="529">
        <f>I297</f>
        <v>0</v>
      </c>
      <c r="J296" s="269">
        <f>J297</f>
        <v>0</v>
      </c>
      <c r="N296" s="1200">
        <f>N297</f>
        <v>0</v>
      </c>
      <c r="U296" s="1682">
        <f>U297</f>
        <v>0</v>
      </c>
    </row>
    <row r="297" spans="1:25" hidden="1" x14ac:dyDescent="0.25">
      <c r="A297" s="1179"/>
      <c r="B297" s="1205" t="s">
        <v>109</v>
      </c>
      <c r="C297" s="1180"/>
      <c r="D297" s="409" t="s">
        <v>453</v>
      </c>
      <c r="E297" s="409" t="s">
        <v>456</v>
      </c>
      <c r="F297" s="409" t="s">
        <v>258</v>
      </c>
      <c r="G297" s="1662"/>
      <c r="H297" s="1682"/>
      <c r="I297" s="529"/>
      <c r="J297" s="269"/>
      <c r="N297" s="1200"/>
      <c r="U297" s="1682"/>
    </row>
    <row r="298" spans="1:25" hidden="1" x14ac:dyDescent="0.25">
      <c r="A298" s="1179"/>
      <c r="B298" s="1205" t="s">
        <v>830</v>
      </c>
      <c r="C298" s="1180"/>
      <c r="D298" s="409" t="s">
        <v>453</v>
      </c>
      <c r="E298" s="409" t="s">
        <v>456</v>
      </c>
      <c r="F298" s="409" t="s">
        <v>831</v>
      </c>
      <c r="G298" s="1662"/>
      <c r="H298" s="1682">
        <f>H299</f>
        <v>0</v>
      </c>
      <c r="I298" s="529">
        <f>I299+I304</f>
        <v>0</v>
      </c>
      <c r="J298" s="269">
        <f>J299+J304</f>
        <v>0</v>
      </c>
      <c r="N298" s="1200">
        <f>N299</f>
        <v>0</v>
      </c>
      <c r="U298" s="1682">
        <f>U299</f>
        <v>0</v>
      </c>
    </row>
    <row r="299" spans="1:25" hidden="1" x14ac:dyDescent="0.25">
      <c r="A299" s="1179"/>
      <c r="B299" s="1197" t="s">
        <v>841</v>
      </c>
      <c r="C299" s="1180"/>
      <c r="D299" s="409" t="s">
        <v>453</v>
      </c>
      <c r="E299" s="409" t="s">
        <v>456</v>
      </c>
      <c r="F299" s="409" t="s">
        <v>831</v>
      </c>
      <c r="G299" s="1662" t="s">
        <v>255</v>
      </c>
      <c r="H299" s="1682"/>
      <c r="I299" s="529">
        <f>I302</f>
        <v>0</v>
      </c>
      <c r="J299" s="269">
        <f>J302</f>
        <v>0</v>
      </c>
      <c r="K299" s="1">
        <v>976.8</v>
      </c>
      <c r="N299" s="1200"/>
      <c r="U299" s="1682"/>
    </row>
    <row r="300" spans="1:25" x14ac:dyDescent="0.25">
      <c r="A300" s="1179"/>
      <c r="B300" s="1205" t="s">
        <v>830</v>
      </c>
      <c r="C300" s="1180"/>
      <c r="D300" s="409" t="s">
        <v>453</v>
      </c>
      <c r="E300" s="409" t="s">
        <v>456</v>
      </c>
      <c r="F300" s="409" t="s">
        <v>970</v>
      </c>
      <c r="G300" s="1662"/>
      <c r="H300" s="1682">
        <f>H301</f>
        <v>2666.2</v>
      </c>
      <c r="I300" s="529"/>
      <c r="J300" s="269"/>
      <c r="N300" s="1200">
        <f>N301</f>
        <v>2666.2</v>
      </c>
      <c r="U300" s="1682">
        <f>U301</f>
        <v>2666.2</v>
      </c>
      <c r="V300" s="1784">
        <v>2666.2</v>
      </c>
      <c r="W300" s="1784">
        <v>2666.2</v>
      </c>
      <c r="X300" s="1784">
        <v>2666.2</v>
      </c>
      <c r="Y300" s="239" t="s">
        <v>444</v>
      </c>
    </row>
    <row r="301" spans="1:25" x14ac:dyDescent="0.25">
      <c r="A301" s="1179"/>
      <c r="B301" s="1197" t="s">
        <v>841</v>
      </c>
      <c r="C301" s="1180"/>
      <c r="D301" s="409" t="s">
        <v>453</v>
      </c>
      <c r="E301" s="409" t="s">
        <v>456</v>
      </c>
      <c r="F301" s="409" t="s">
        <v>970</v>
      </c>
      <c r="G301" s="1662" t="s">
        <v>255</v>
      </c>
      <c r="H301" s="1682">
        <f>1333.1+1333.1</f>
        <v>2666.2</v>
      </c>
      <c r="I301" s="529"/>
      <c r="J301" s="269"/>
      <c r="K301" s="1">
        <v>976.8</v>
      </c>
      <c r="N301" s="1682">
        <f>1333.1+1333.1</f>
        <v>2666.2</v>
      </c>
      <c r="U301" s="1682">
        <f>1333.1+1333.1</f>
        <v>2666.2</v>
      </c>
      <c r="V301" s="1784">
        <v>2666.2</v>
      </c>
      <c r="W301" s="1784">
        <v>2666.2</v>
      </c>
      <c r="X301" s="1784">
        <v>2666.2</v>
      </c>
    </row>
    <row r="302" spans="1:25" s="760" customFormat="1" ht="13" x14ac:dyDescent="0.3">
      <c r="A302" s="842"/>
      <c r="B302" s="1252" t="s">
        <v>244</v>
      </c>
      <c r="C302" s="1177"/>
      <c r="D302" s="408" t="s">
        <v>453</v>
      </c>
      <c r="E302" s="408" t="s">
        <v>452</v>
      </c>
      <c r="F302" s="408"/>
      <c r="G302" s="1661"/>
      <c r="H302" s="1683">
        <f>H303</f>
        <v>3033.7040000000002</v>
      </c>
      <c r="I302" s="841">
        <f>I303</f>
        <v>0</v>
      </c>
      <c r="J302" s="276">
        <f>J303</f>
        <v>0</v>
      </c>
      <c r="N302" s="1208">
        <f>N303</f>
        <v>3017.4</v>
      </c>
      <c r="U302" s="1683">
        <f>U303</f>
        <v>3338</v>
      </c>
    </row>
    <row r="303" spans="1:25" ht="21" x14ac:dyDescent="0.25">
      <c r="A303" s="1179"/>
      <c r="B303" s="1242" t="s">
        <v>933</v>
      </c>
      <c r="C303" s="1183"/>
      <c r="D303" s="409" t="s">
        <v>453</v>
      </c>
      <c r="E303" s="409" t="s">
        <v>452</v>
      </c>
      <c r="F303" s="409" t="s">
        <v>273</v>
      </c>
      <c r="G303" s="1662"/>
      <c r="H303" s="1682">
        <f>H304</f>
        <v>3033.7040000000002</v>
      </c>
      <c r="I303" s="529"/>
      <c r="J303" s="269"/>
      <c r="N303" s="1200">
        <f>N304</f>
        <v>3017.4</v>
      </c>
      <c r="U303" s="1682">
        <f>U304</f>
        <v>3338</v>
      </c>
    </row>
    <row r="304" spans="1:25" x14ac:dyDescent="0.25">
      <c r="A304" s="1179"/>
      <c r="B304" s="753" t="s">
        <v>836</v>
      </c>
      <c r="C304" s="1183"/>
      <c r="D304" s="409" t="s">
        <v>453</v>
      </c>
      <c r="E304" s="409" t="s">
        <v>452</v>
      </c>
      <c r="F304" s="409" t="s">
        <v>251</v>
      </c>
      <c r="G304" s="1662"/>
      <c r="H304" s="1682">
        <f>H305</f>
        <v>3033.7040000000002</v>
      </c>
      <c r="I304" s="529">
        <f>I305+I307</f>
        <v>0</v>
      </c>
      <c r="J304" s="269">
        <f>J305+J307</f>
        <v>0</v>
      </c>
      <c r="N304" s="1200">
        <f>N305</f>
        <v>3017.4</v>
      </c>
      <c r="U304" s="1682">
        <f>U305</f>
        <v>3338</v>
      </c>
    </row>
    <row r="305" spans="1:21" x14ac:dyDescent="0.25">
      <c r="A305" s="1179"/>
      <c r="B305" s="753" t="s">
        <v>250</v>
      </c>
      <c r="C305" s="1180"/>
      <c r="D305" s="409" t="s">
        <v>453</v>
      </c>
      <c r="E305" s="409" t="s">
        <v>452</v>
      </c>
      <c r="F305" s="409" t="s">
        <v>249</v>
      </c>
      <c r="G305" s="1662"/>
      <c r="H305" s="1682">
        <f>H306</f>
        <v>3033.7040000000002</v>
      </c>
      <c r="I305" s="529">
        <f>I306</f>
        <v>0</v>
      </c>
      <c r="J305" s="269">
        <f>J306</f>
        <v>0</v>
      </c>
      <c r="N305" s="1200">
        <f>N306</f>
        <v>3017.4</v>
      </c>
      <c r="U305" s="1682">
        <f>U306</f>
        <v>3338</v>
      </c>
    </row>
    <row r="306" spans="1:21" x14ac:dyDescent="0.25">
      <c r="A306" s="1179"/>
      <c r="B306" s="1242" t="s">
        <v>248</v>
      </c>
      <c r="C306" s="1183"/>
      <c r="D306" s="409" t="s">
        <v>453</v>
      </c>
      <c r="E306" s="409" t="s">
        <v>452</v>
      </c>
      <c r="F306" s="409" t="s">
        <v>243</v>
      </c>
      <c r="G306" s="1662"/>
      <c r="H306" s="1682">
        <f>H307</f>
        <v>3033.7040000000002</v>
      </c>
      <c r="I306" s="529">
        <v>0</v>
      </c>
      <c r="J306" s="269">
        <v>0</v>
      </c>
      <c r="N306" s="1200">
        <f>N307</f>
        <v>3017.4</v>
      </c>
      <c r="U306" s="1682">
        <f>U307</f>
        <v>3338</v>
      </c>
    </row>
    <row r="307" spans="1:21" x14ac:dyDescent="0.25">
      <c r="A307" s="1179"/>
      <c r="B307" s="753" t="s">
        <v>454</v>
      </c>
      <c r="C307" s="1180"/>
      <c r="D307" s="409" t="s">
        <v>453</v>
      </c>
      <c r="E307" s="409" t="s">
        <v>452</v>
      </c>
      <c r="F307" s="409" t="s">
        <v>243</v>
      </c>
      <c r="G307" s="1662" t="s">
        <v>1</v>
      </c>
      <c r="H307" s="1682">
        <v>3033.7040000000002</v>
      </c>
      <c r="I307" s="529">
        <f>I308</f>
        <v>0</v>
      </c>
      <c r="J307" s="269">
        <f>J308</f>
        <v>0</v>
      </c>
      <c r="K307" s="1">
        <f>4010.504-976.8</f>
        <v>3033.7039999999997</v>
      </c>
      <c r="N307" s="1200">
        <v>3017.4</v>
      </c>
      <c r="U307" s="1682">
        <v>3338</v>
      </c>
    </row>
    <row r="308" spans="1:21" ht="21" hidden="1" x14ac:dyDescent="0.25">
      <c r="A308" s="1179"/>
      <c r="B308" s="1182" t="s">
        <v>454</v>
      </c>
      <c r="C308" s="1183"/>
      <c r="D308" s="409" t="s">
        <v>453</v>
      </c>
      <c r="E308" s="409" t="s">
        <v>452</v>
      </c>
      <c r="F308" s="409" t="s">
        <v>500</v>
      </c>
      <c r="G308" s="1662" t="s">
        <v>26</v>
      </c>
      <c r="H308" s="1682"/>
      <c r="I308" s="529"/>
      <c r="J308" s="269"/>
      <c r="N308" s="1200"/>
      <c r="U308" s="1682"/>
    </row>
    <row r="309" spans="1:21" x14ac:dyDescent="0.25">
      <c r="A309" s="1179"/>
      <c r="B309" s="1184" t="s">
        <v>334</v>
      </c>
      <c r="C309" s="1177"/>
      <c r="D309" s="408" t="s">
        <v>496</v>
      </c>
      <c r="E309" s="408" t="s">
        <v>459</v>
      </c>
      <c r="F309" s="408"/>
      <c r="G309" s="1661"/>
      <c r="H309" s="1683">
        <f>H310+H316</f>
        <v>801.22299999999996</v>
      </c>
      <c r="I309" s="841">
        <f>I310+I316</f>
        <v>1117.1999999999998</v>
      </c>
      <c r="J309" s="277">
        <f>J310+J316</f>
        <v>1195.4000000000001</v>
      </c>
      <c r="N309" s="1208">
        <f>N310+N316</f>
        <v>639.61699999999996</v>
      </c>
      <c r="U309" s="1683">
        <f>U310+U316</f>
        <v>665.20100000000002</v>
      </c>
    </row>
    <row r="310" spans="1:21" x14ac:dyDescent="0.25">
      <c r="A310" s="1179"/>
      <c r="B310" s="1184" t="s">
        <v>79</v>
      </c>
      <c r="C310" s="1177"/>
      <c r="D310" s="408" t="s">
        <v>496</v>
      </c>
      <c r="E310" s="408" t="s">
        <v>456</v>
      </c>
      <c r="F310" s="408"/>
      <c r="G310" s="1661"/>
      <c r="H310" s="1683">
        <f t="shared" ref="H310:J314" si="52">H311</f>
        <v>615.01599999999996</v>
      </c>
      <c r="I310" s="841">
        <f t="shared" si="52"/>
        <v>531.38</v>
      </c>
      <c r="J310" s="277">
        <f t="shared" si="52"/>
        <v>584.51300000000003</v>
      </c>
      <c r="K310" s="1439">
        <v>615.01599999999996</v>
      </c>
      <c r="N310" s="1208">
        <f t="shared" ref="N310:N314" si="53">N311</f>
        <v>639.61699999999996</v>
      </c>
      <c r="U310" s="1683">
        <f t="shared" ref="U310:U314" si="54">U311</f>
        <v>665.20100000000002</v>
      </c>
    </row>
    <row r="311" spans="1:21" ht="21" x14ac:dyDescent="0.25">
      <c r="A311" s="1179"/>
      <c r="B311" s="753" t="s">
        <v>499</v>
      </c>
      <c r="C311" s="1177"/>
      <c r="D311" s="408" t="s">
        <v>496</v>
      </c>
      <c r="E311" s="408" t="s">
        <v>456</v>
      </c>
      <c r="F311" s="408" t="s">
        <v>89</v>
      </c>
      <c r="G311" s="1661"/>
      <c r="H311" s="1683">
        <f t="shared" si="52"/>
        <v>615.01599999999996</v>
      </c>
      <c r="I311" s="841">
        <f t="shared" si="52"/>
        <v>531.38</v>
      </c>
      <c r="J311" s="277">
        <f t="shared" si="52"/>
        <v>584.51300000000003</v>
      </c>
      <c r="N311" s="1208">
        <f t="shared" si="53"/>
        <v>639.61699999999996</v>
      </c>
      <c r="U311" s="1683">
        <f t="shared" si="54"/>
        <v>665.20100000000002</v>
      </c>
    </row>
    <row r="312" spans="1:21" x14ac:dyDescent="0.25">
      <c r="A312" s="1179"/>
      <c r="B312" s="753" t="s">
        <v>109</v>
      </c>
      <c r="C312" s="1180"/>
      <c r="D312" s="409" t="s">
        <v>496</v>
      </c>
      <c r="E312" s="409" t="s">
        <v>456</v>
      </c>
      <c r="F312" s="409" t="s">
        <v>84</v>
      </c>
      <c r="G312" s="1662"/>
      <c r="H312" s="1682">
        <f t="shared" si="52"/>
        <v>615.01599999999996</v>
      </c>
      <c r="I312" s="529">
        <f t="shared" si="52"/>
        <v>531.38</v>
      </c>
      <c r="J312" s="270">
        <f t="shared" si="52"/>
        <v>584.51300000000003</v>
      </c>
      <c r="N312" s="1200">
        <f t="shared" si="53"/>
        <v>639.61699999999996</v>
      </c>
      <c r="U312" s="1682">
        <f t="shared" si="54"/>
        <v>665.20100000000002</v>
      </c>
    </row>
    <row r="313" spans="1:21" x14ac:dyDescent="0.25">
      <c r="A313" s="1179"/>
      <c r="B313" s="753" t="s">
        <v>109</v>
      </c>
      <c r="C313" s="1180"/>
      <c r="D313" s="409" t="s">
        <v>496</v>
      </c>
      <c r="E313" s="409" t="s">
        <v>456</v>
      </c>
      <c r="F313" s="409" t="s">
        <v>82</v>
      </c>
      <c r="G313" s="1662"/>
      <c r="H313" s="1682">
        <f t="shared" si="52"/>
        <v>615.01599999999996</v>
      </c>
      <c r="I313" s="529">
        <f t="shared" si="52"/>
        <v>531.38</v>
      </c>
      <c r="J313" s="270">
        <f t="shared" si="52"/>
        <v>584.51300000000003</v>
      </c>
      <c r="N313" s="1200">
        <f t="shared" si="53"/>
        <v>639.61699999999996</v>
      </c>
      <c r="U313" s="1682">
        <f t="shared" si="54"/>
        <v>665.20100000000002</v>
      </c>
    </row>
    <row r="314" spans="1:21" x14ac:dyDescent="0.25">
      <c r="A314" s="1179"/>
      <c r="B314" s="753" t="s">
        <v>81</v>
      </c>
      <c r="C314" s="1180"/>
      <c r="D314" s="409" t="s">
        <v>496</v>
      </c>
      <c r="E314" s="409" t="s">
        <v>456</v>
      </c>
      <c r="F314" s="409" t="s">
        <v>78</v>
      </c>
      <c r="G314" s="1662"/>
      <c r="H314" s="1682">
        <f t="shared" si="52"/>
        <v>615.01599999999996</v>
      </c>
      <c r="I314" s="529">
        <f t="shared" si="52"/>
        <v>531.38</v>
      </c>
      <c r="J314" s="270">
        <f t="shared" si="52"/>
        <v>584.51300000000003</v>
      </c>
      <c r="N314" s="1200">
        <f t="shared" si="53"/>
        <v>639.61699999999996</v>
      </c>
      <c r="U314" s="1682">
        <f t="shared" si="54"/>
        <v>665.20100000000002</v>
      </c>
    </row>
    <row r="315" spans="1:21" x14ac:dyDescent="0.25">
      <c r="A315" s="1179"/>
      <c r="B315" s="1236" t="s">
        <v>497</v>
      </c>
      <c r="C315" s="1183"/>
      <c r="D315" s="409" t="s">
        <v>496</v>
      </c>
      <c r="E315" s="409" t="s">
        <v>456</v>
      </c>
      <c r="F315" s="409" t="s">
        <v>78</v>
      </c>
      <c r="G315" s="1662" t="s">
        <v>77</v>
      </c>
      <c r="H315" s="1682">
        <v>615.01599999999996</v>
      </c>
      <c r="I315" s="529">
        <v>531.38</v>
      </c>
      <c r="J315" s="269">
        <v>584.51300000000003</v>
      </c>
      <c r="N315" s="1200">
        <v>639.61699999999996</v>
      </c>
      <c r="U315" s="1682">
        <v>665.20100000000002</v>
      </c>
    </row>
    <row r="316" spans="1:21" x14ac:dyDescent="0.25">
      <c r="A316" s="1179"/>
      <c r="B316" s="1184" t="s">
        <v>45</v>
      </c>
      <c r="C316" s="1177"/>
      <c r="D316" s="408" t="s">
        <v>496</v>
      </c>
      <c r="E316" s="408" t="s">
        <v>495</v>
      </c>
      <c r="F316" s="408"/>
      <c r="G316" s="1661"/>
      <c r="H316" s="1683">
        <f t="shared" ref="H316:J319" si="55">H317</f>
        <v>186.20699999999999</v>
      </c>
      <c r="I316" s="841">
        <f t="shared" si="55"/>
        <v>585.81999999999994</v>
      </c>
      <c r="J316" s="277">
        <f t="shared" si="55"/>
        <v>610.88699999999994</v>
      </c>
      <c r="N316" s="1208">
        <f t="shared" ref="N316:N319" si="56">N317</f>
        <v>0</v>
      </c>
      <c r="U316" s="1683">
        <f t="shared" ref="U316:U319" si="57">U317</f>
        <v>0</v>
      </c>
    </row>
    <row r="317" spans="1:21" ht="31.5" x14ac:dyDescent="0.25">
      <c r="A317" s="1179"/>
      <c r="B317" s="931" t="s">
        <v>861</v>
      </c>
      <c r="C317" s="1177"/>
      <c r="D317" s="408" t="s">
        <v>496</v>
      </c>
      <c r="E317" s="408" t="s">
        <v>495</v>
      </c>
      <c r="F317" s="408" t="s">
        <v>468</v>
      </c>
      <c r="G317" s="1661"/>
      <c r="H317" s="1683">
        <f>H318+H322</f>
        <v>186.20699999999999</v>
      </c>
      <c r="I317" s="841">
        <f t="shared" si="55"/>
        <v>585.81999999999994</v>
      </c>
      <c r="J317" s="277">
        <f t="shared" si="55"/>
        <v>610.88699999999994</v>
      </c>
      <c r="N317" s="1208">
        <f>N318+N322</f>
        <v>0</v>
      </c>
      <c r="U317" s="1683">
        <f>U318+U322</f>
        <v>0</v>
      </c>
    </row>
    <row r="318" spans="1:21" x14ac:dyDescent="0.25">
      <c r="A318" s="1179"/>
      <c r="B318" s="1203" t="s">
        <v>849</v>
      </c>
      <c r="C318" s="1180"/>
      <c r="D318" s="409" t="s">
        <v>496</v>
      </c>
      <c r="E318" s="409" t="s">
        <v>495</v>
      </c>
      <c r="F318" s="409" t="s">
        <v>854</v>
      </c>
      <c r="G318" s="1662"/>
      <c r="H318" s="1682">
        <f t="shared" si="55"/>
        <v>130.441</v>
      </c>
      <c r="I318" s="529">
        <f t="shared" si="55"/>
        <v>585.81999999999994</v>
      </c>
      <c r="J318" s="270">
        <f t="shared" si="55"/>
        <v>610.88699999999994</v>
      </c>
      <c r="N318" s="1200">
        <f t="shared" si="56"/>
        <v>0</v>
      </c>
      <c r="U318" s="1682">
        <f t="shared" si="57"/>
        <v>0</v>
      </c>
    </row>
    <row r="319" spans="1:21" x14ac:dyDescent="0.25">
      <c r="A319" s="1179"/>
      <c r="B319" s="1203" t="s">
        <v>850</v>
      </c>
      <c r="C319" s="1180"/>
      <c r="D319" s="409" t="s">
        <v>496</v>
      </c>
      <c r="E319" s="409" t="s">
        <v>495</v>
      </c>
      <c r="F319" s="409" t="s">
        <v>855</v>
      </c>
      <c r="G319" s="1662"/>
      <c r="H319" s="1682">
        <f t="shared" si="55"/>
        <v>130.441</v>
      </c>
      <c r="I319" s="529">
        <f t="shared" si="55"/>
        <v>585.81999999999994</v>
      </c>
      <c r="J319" s="270">
        <f t="shared" si="55"/>
        <v>610.88699999999994</v>
      </c>
      <c r="N319" s="1200">
        <f t="shared" si="56"/>
        <v>0</v>
      </c>
      <c r="U319" s="1682">
        <f t="shared" si="57"/>
        <v>0</v>
      </c>
    </row>
    <row r="320" spans="1:21" ht="35.25" customHeight="1" x14ac:dyDescent="0.25">
      <c r="A320" s="1179"/>
      <c r="B320" s="1232" t="s">
        <v>851</v>
      </c>
      <c r="C320" s="1180"/>
      <c r="D320" s="409" t="s">
        <v>496</v>
      </c>
      <c r="E320" s="409" t="s">
        <v>495</v>
      </c>
      <c r="F320" s="1235" t="s">
        <v>856</v>
      </c>
      <c r="G320" s="1662"/>
      <c r="H320" s="1682">
        <f>H321</f>
        <v>130.441</v>
      </c>
      <c r="I320" s="529">
        <f>I321+I325+I326</f>
        <v>585.81999999999994</v>
      </c>
      <c r="J320" s="270">
        <f>J321+J325+J326</f>
        <v>610.88699999999994</v>
      </c>
      <c r="N320" s="1200">
        <f>N321</f>
        <v>0</v>
      </c>
      <c r="U320" s="1682">
        <f>U321</f>
        <v>0</v>
      </c>
    </row>
    <row r="321" spans="1:21" x14ac:dyDescent="0.25">
      <c r="A321" s="1179"/>
      <c r="B321" s="1236" t="s">
        <v>497</v>
      </c>
      <c r="C321" s="1183"/>
      <c r="D321" s="409" t="s">
        <v>496</v>
      </c>
      <c r="E321" s="409" t="s">
        <v>495</v>
      </c>
      <c r="F321" s="1235" t="s">
        <v>856</v>
      </c>
      <c r="G321" s="1662" t="s">
        <v>77</v>
      </c>
      <c r="H321" s="1685">
        <v>130.441</v>
      </c>
      <c r="I321" s="529">
        <v>31.3</v>
      </c>
      <c r="J321" s="269">
        <v>34.43</v>
      </c>
      <c r="N321" s="1237">
        <v>0</v>
      </c>
      <c r="U321" s="1685">
        <v>0</v>
      </c>
    </row>
    <row r="322" spans="1:21" ht="21" x14ac:dyDescent="0.25">
      <c r="A322" s="1179"/>
      <c r="B322" s="1203" t="s">
        <v>853</v>
      </c>
      <c r="C322" s="1183"/>
      <c r="D322" s="409" t="s">
        <v>496</v>
      </c>
      <c r="E322" s="409" t="s">
        <v>495</v>
      </c>
      <c r="F322" s="1235" t="s">
        <v>857</v>
      </c>
      <c r="G322" s="1662"/>
      <c r="H322" s="1685">
        <f>H323</f>
        <v>55.765999999999998</v>
      </c>
      <c r="I322" s="529"/>
      <c r="J322" s="269"/>
      <c r="N322" s="1237">
        <f>N323</f>
        <v>0</v>
      </c>
      <c r="U322" s="1685">
        <f>U323</f>
        <v>0</v>
      </c>
    </row>
    <row r="323" spans="1:21" x14ac:dyDescent="0.25">
      <c r="A323" s="1179"/>
      <c r="B323" s="1203" t="s">
        <v>850</v>
      </c>
      <c r="C323" s="1183"/>
      <c r="D323" s="409" t="s">
        <v>496</v>
      </c>
      <c r="E323" s="409" t="s">
        <v>495</v>
      </c>
      <c r="F323" s="409" t="s">
        <v>858</v>
      </c>
      <c r="G323" s="1662"/>
      <c r="H323" s="1685">
        <f>H324</f>
        <v>55.765999999999998</v>
      </c>
      <c r="I323" s="529"/>
      <c r="J323" s="269"/>
      <c r="N323" s="1237">
        <f>N324</f>
        <v>0</v>
      </c>
      <c r="U323" s="1685">
        <f>U324</f>
        <v>0</v>
      </c>
    </row>
    <row r="324" spans="1:21" ht="31.5" x14ac:dyDescent="0.25">
      <c r="A324" s="1179"/>
      <c r="B324" s="1203" t="s">
        <v>851</v>
      </c>
      <c r="C324" s="1183"/>
      <c r="D324" s="409" t="s">
        <v>496</v>
      </c>
      <c r="E324" s="409" t="s">
        <v>495</v>
      </c>
      <c r="F324" s="1235" t="s">
        <v>859</v>
      </c>
      <c r="G324" s="1662"/>
      <c r="H324" s="1685">
        <f>H325</f>
        <v>55.765999999999998</v>
      </c>
      <c r="I324" s="529"/>
      <c r="J324" s="269"/>
      <c r="N324" s="1237">
        <f>N325</f>
        <v>0</v>
      </c>
      <c r="U324" s="1685">
        <f>U325</f>
        <v>0</v>
      </c>
    </row>
    <row r="325" spans="1:21" x14ac:dyDescent="0.25">
      <c r="A325" s="1179"/>
      <c r="B325" s="1236" t="s">
        <v>497</v>
      </c>
      <c r="C325" s="1183"/>
      <c r="D325" s="409" t="s">
        <v>496</v>
      </c>
      <c r="E325" s="409" t="s">
        <v>495</v>
      </c>
      <c r="F325" s="1235" t="s">
        <v>859</v>
      </c>
      <c r="G325" s="1662" t="s">
        <v>77</v>
      </c>
      <c r="H325" s="1685">
        <v>55.765999999999998</v>
      </c>
      <c r="I325" s="529">
        <v>554.52</v>
      </c>
      <c r="J325" s="269">
        <v>576.45699999999999</v>
      </c>
      <c r="N325" s="1237">
        <v>0</v>
      </c>
      <c r="U325" s="1685">
        <v>0</v>
      </c>
    </row>
    <row r="326" spans="1:21" hidden="1" x14ac:dyDescent="0.25">
      <c r="A326" s="1179"/>
      <c r="B326" s="1182" t="s">
        <v>497</v>
      </c>
      <c r="C326" s="1183"/>
      <c r="D326" s="409" t="s">
        <v>496</v>
      </c>
      <c r="E326" s="409" t="s">
        <v>495</v>
      </c>
      <c r="F326" s="409" t="s">
        <v>43</v>
      </c>
      <c r="G326" s="1662" t="s">
        <v>77</v>
      </c>
      <c r="H326" s="1682"/>
      <c r="I326" s="529"/>
      <c r="J326" s="269"/>
      <c r="N326" s="1200"/>
      <c r="U326" s="1682"/>
    </row>
    <row r="327" spans="1:21" x14ac:dyDescent="0.25">
      <c r="A327" s="1179"/>
      <c r="B327" s="1184" t="s">
        <v>331</v>
      </c>
      <c r="C327" s="1177"/>
      <c r="D327" s="408" t="s">
        <v>464</v>
      </c>
      <c r="E327" s="408" t="s">
        <v>459</v>
      </c>
      <c r="F327" s="408"/>
      <c r="G327" s="1661"/>
      <c r="H327" s="1683">
        <f>H328+H336</f>
        <v>600</v>
      </c>
      <c r="I327" s="841">
        <f>I328+I336</f>
        <v>450</v>
      </c>
      <c r="J327" s="277">
        <f>J328+J336</f>
        <v>500</v>
      </c>
      <c r="K327" s="1439">
        <v>600</v>
      </c>
      <c r="N327" s="1208">
        <f>N328+N336</f>
        <v>650</v>
      </c>
      <c r="U327" s="1683">
        <f>U328+U336</f>
        <v>700</v>
      </c>
    </row>
    <row r="328" spans="1:21" hidden="1" x14ac:dyDescent="0.25">
      <c r="A328" s="1179"/>
      <c r="B328" s="1184" t="s">
        <v>494</v>
      </c>
      <c r="C328" s="1177"/>
      <c r="D328" s="408" t="s">
        <v>464</v>
      </c>
      <c r="E328" s="408" t="s">
        <v>488</v>
      </c>
      <c r="F328" s="408" t="s">
        <v>106</v>
      </c>
      <c r="G328" s="1661" t="s">
        <v>106</v>
      </c>
      <c r="H328" s="1683">
        <f t="shared" ref="H328:J331" si="58">H329</f>
        <v>0</v>
      </c>
      <c r="I328" s="841">
        <f t="shared" si="58"/>
        <v>0</v>
      </c>
      <c r="J328" s="277">
        <f t="shared" si="58"/>
        <v>0</v>
      </c>
      <c r="N328" s="1208">
        <f t="shared" ref="N328:N331" si="59">N329</f>
        <v>0</v>
      </c>
      <c r="U328" s="1683">
        <f t="shared" ref="U328:U331" si="60">U329</f>
        <v>0</v>
      </c>
    </row>
    <row r="329" spans="1:21" ht="34.5" hidden="1" x14ac:dyDescent="0.25">
      <c r="A329" s="1179"/>
      <c r="B329" s="1184" t="s">
        <v>493</v>
      </c>
      <c r="C329" s="1177"/>
      <c r="D329" s="408" t="s">
        <v>464</v>
      </c>
      <c r="E329" s="408" t="s">
        <v>488</v>
      </c>
      <c r="F329" s="408" t="s">
        <v>311</v>
      </c>
      <c r="G329" s="1661"/>
      <c r="H329" s="1683">
        <f t="shared" si="58"/>
        <v>0</v>
      </c>
      <c r="I329" s="841">
        <f t="shared" si="58"/>
        <v>0</v>
      </c>
      <c r="J329" s="277">
        <f t="shared" si="58"/>
        <v>0</v>
      </c>
      <c r="N329" s="1208">
        <f t="shared" si="59"/>
        <v>0</v>
      </c>
      <c r="U329" s="1683">
        <f t="shared" si="60"/>
        <v>0</v>
      </c>
    </row>
    <row r="330" spans="1:21" ht="34.5" hidden="1" x14ac:dyDescent="0.25">
      <c r="A330" s="1233"/>
      <c r="B330" s="1253" t="s">
        <v>492</v>
      </c>
      <c r="C330" s="1180"/>
      <c r="D330" s="409" t="s">
        <v>464</v>
      </c>
      <c r="E330" s="409" t="s">
        <v>488</v>
      </c>
      <c r="F330" s="409" t="s">
        <v>491</v>
      </c>
      <c r="G330" s="1662"/>
      <c r="H330" s="1682">
        <f t="shared" si="58"/>
        <v>0</v>
      </c>
      <c r="I330" s="529">
        <f t="shared" si="58"/>
        <v>0</v>
      </c>
      <c r="J330" s="270">
        <f t="shared" si="58"/>
        <v>0</v>
      </c>
      <c r="N330" s="1200">
        <f t="shared" si="59"/>
        <v>0</v>
      </c>
      <c r="U330" s="1682">
        <f t="shared" si="60"/>
        <v>0</v>
      </c>
    </row>
    <row r="331" spans="1:21" hidden="1" x14ac:dyDescent="0.25">
      <c r="A331" s="1233"/>
      <c r="B331" s="1253" t="s">
        <v>490</v>
      </c>
      <c r="C331" s="1180"/>
      <c r="D331" s="409" t="s">
        <v>464</v>
      </c>
      <c r="E331" s="409" t="s">
        <v>488</v>
      </c>
      <c r="F331" s="409" t="s">
        <v>489</v>
      </c>
      <c r="G331" s="1662"/>
      <c r="H331" s="1682">
        <f t="shared" si="58"/>
        <v>0</v>
      </c>
      <c r="I331" s="529">
        <f t="shared" si="58"/>
        <v>0</v>
      </c>
      <c r="J331" s="270">
        <f t="shared" si="58"/>
        <v>0</v>
      </c>
      <c r="N331" s="1200">
        <f t="shared" si="59"/>
        <v>0</v>
      </c>
      <c r="U331" s="1682">
        <f t="shared" si="60"/>
        <v>0</v>
      </c>
    </row>
    <row r="332" spans="1:21" hidden="1" x14ac:dyDescent="0.25">
      <c r="A332" s="1233"/>
      <c r="B332" s="1253" t="s">
        <v>351</v>
      </c>
      <c r="C332" s="1180"/>
      <c r="D332" s="409" t="s">
        <v>464</v>
      </c>
      <c r="E332" s="409" t="s">
        <v>488</v>
      </c>
      <c r="F332" s="409" t="s">
        <v>487</v>
      </c>
      <c r="G332" s="1662"/>
      <c r="H332" s="1682">
        <f>H333+H334+H335</f>
        <v>0</v>
      </c>
      <c r="I332" s="529">
        <f>I333+I334+I335</f>
        <v>0</v>
      </c>
      <c r="J332" s="270">
        <f>J333+J334+J335</f>
        <v>0</v>
      </c>
      <c r="N332" s="1200">
        <f>N333+N334+N335</f>
        <v>0</v>
      </c>
      <c r="U332" s="1682">
        <f>U333+U334+U335</f>
        <v>0</v>
      </c>
    </row>
    <row r="333" spans="1:21" hidden="1" x14ac:dyDescent="0.25">
      <c r="A333" s="1179"/>
      <c r="B333" s="1254" t="s">
        <v>458</v>
      </c>
      <c r="C333" s="1183"/>
      <c r="D333" s="409" t="s">
        <v>464</v>
      </c>
      <c r="E333" s="409" t="s">
        <v>488</v>
      </c>
      <c r="F333" s="409" t="s">
        <v>487</v>
      </c>
      <c r="G333" s="1662" t="s">
        <v>255</v>
      </c>
      <c r="H333" s="1682"/>
      <c r="I333" s="529"/>
      <c r="J333" s="270"/>
      <c r="N333" s="1200"/>
      <c r="U333" s="1682"/>
    </row>
    <row r="334" spans="1:21" ht="23" hidden="1" x14ac:dyDescent="0.25">
      <c r="A334" s="1179"/>
      <c r="B334" s="1254" t="s">
        <v>454</v>
      </c>
      <c r="C334" s="1183"/>
      <c r="D334" s="409" t="s">
        <v>464</v>
      </c>
      <c r="E334" s="409" t="s">
        <v>488</v>
      </c>
      <c r="F334" s="409" t="s">
        <v>487</v>
      </c>
      <c r="G334" s="1662" t="s">
        <v>1</v>
      </c>
      <c r="H334" s="1682"/>
      <c r="I334" s="529"/>
      <c r="J334" s="270"/>
      <c r="N334" s="1200"/>
      <c r="U334" s="1682"/>
    </row>
    <row r="335" spans="1:21" hidden="1" x14ac:dyDescent="0.25">
      <c r="A335" s="1179"/>
      <c r="B335" s="1254" t="s">
        <v>457</v>
      </c>
      <c r="C335" s="1183"/>
      <c r="D335" s="409" t="s">
        <v>464</v>
      </c>
      <c r="E335" s="409" t="s">
        <v>488</v>
      </c>
      <c r="F335" s="409" t="s">
        <v>487</v>
      </c>
      <c r="G335" s="1662" t="s">
        <v>91</v>
      </c>
      <c r="H335" s="1682"/>
      <c r="I335" s="529"/>
      <c r="J335" s="270"/>
      <c r="N335" s="1200"/>
      <c r="U335" s="1682"/>
    </row>
    <row r="336" spans="1:21" x14ac:dyDescent="0.25">
      <c r="A336" s="1179"/>
      <c r="B336" s="1184" t="s">
        <v>64</v>
      </c>
      <c r="C336" s="1177"/>
      <c r="D336" s="408" t="s">
        <v>464</v>
      </c>
      <c r="E336" s="408" t="s">
        <v>463</v>
      </c>
      <c r="F336" s="408" t="s">
        <v>106</v>
      </c>
      <c r="G336" s="1661" t="s">
        <v>106</v>
      </c>
      <c r="H336" s="1683">
        <f>H337+H358</f>
        <v>600</v>
      </c>
      <c r="I336" s="841">
        <f>I337+I358</f>
        <v>450</v>
      </c>
      <c r="J336" s="277">
        <f>J337+J358</f>
        <v>500</v>
      </c>
      <c r="N336" s="1208">
        <f>N337+N358</f>
        <v>650</v>
      </c>
      <c r="U336" s="1683">
        <f>U337+U358</f>
        <v>700</v>
      </c>
    </row>
    <row r="337" spans="1:21" ht="30" customHeight="1" x14ac:dyDescent="0.25">
      <c r="A337" s="1179"/>
      <c r="B337" s="1205" t="s">
        <v>906</v>
      </c>
      <c r="C337" s="1177"/>
      <c r="D337" s="408" t="s">
        <v>464</v>
      </c>
      <c r="E337" s="408" t="s">
        <v>463</v>
      </c>
      <c r="F337" s="408" t="s">
        <v>311</v>
      </c>
      <c r="G337" s="1661"/>
      <c r="H337" s="1683">
        <f>H338+H347</f>
        <v>600</v>
      </c>
      <c r="I337" s="841">
        <f>I338+I347</f>
        <v>450</v>
      </c>
      <c r="J337" s="277">
        <f>J338+J347</f>
        <v>500</v>
      </c>
      <c r="N337" s="1208">
        <f>N338+N347</f>
        <v>650</v>
      </c>
      <c r="U337" s="1683">
        <f>U338+U347</f>
        <v>700</v>
      </c>
    </row>
    <row r="338" spans="1:21" ht="21" hidden="1" x14ac:dyDescent="0.25">
      <c r="A338" s="1179"/>
      <c r="B338" s="753" t="s">
        <v>486</v>
      </c>
      <c r="C338" s="1180"/>
      <c r="D338" s="409" t="s">
        <v>464</v>
      </c>
      <c r="E338" s="409" t="s">
        <v>463</v>
      </c>
      <c r="F338" s="409" t="s">
        <v>485</v>
      </c>
      <c r="G338" s="1661"/>
      <c r="H338" s="1682">
        <f>H339+H342</f>
        <v>0</v>
      </c>
      <c r="I338" s="529">
        <f>I339+I342</f>
        <v>0</v>
      </c>
      <c r="J338" s="270">
        <f>J339+J342</f>
        <v>0</v>
      </c>
      <c r="N338" s="1200">
        <f>N339+N342</f>
        <v>0</v>
      </c>
      <c r="U338" s="1682">
        <f>U339+U342</f>
        <v>0</v>
      </c>
    </row>
    <row r="339" spans="1:21" ht="21" hidden="1" x14ac:dyDescent="0.25">
      <c r="A339" s="1179"/>
      <c r="B339" s="753" t="s">
        <v>484</v>
      </c>
      <c r="C339" s="1180"/>
      <c r="D339" s="409" t="s">
        <v>464</v>
      </c>
      <c r="E339" s="409" t="s">
        <v>463</v>
      </c>
      <c r="F339" s="409" t="s">
        <v>483</v>
      </c>
      <c r="G339" s="1661"/>
      <c r="H339" s="1682">
        <f t="shared" ref="H339:J340" si="61">H340</f>
        <v>0</v>
      </c>
      <c r="I339" s="529">
        <f t="shared" si="61"/>
        <v>0</v>
      </c>
      <c r="J339" s="270">
        <f t="shared" si="61"/>
        <v>0</v>
      </c>
      <c r="N339" s="1200">
        <f t="shared" ref="N339:N340" si="62">N340</f>
        <v>0</v>
      </c>
      <c r="U339" s="1682">
        <f t="shared" ref="U339:U340" si="63">U340</f>
        <v>0</v>
      </c>
    </row>
    <row r="340" spans="1:21" ht="21" hidden="1" x14ac:dyDescent="0.25">
      <c r="A340" s="1179"/>
      <c r="B340" s="753" t="s">
        <v>482</v>
      </c>
      <c r="C340" s="1180"/>
      <c r="D340" s="409" t="s">
        <v>464</v>
      </c>
      <c r="E340" s="409" t="s">
        <v>463</v>
      </c>
      <c r="F340" s="409" t="s">
        <v>480</v>
      </c>
      <c r="G340" s="1662"/>
      <c r="H340" s="1682">
        <f t="shared" si="61"/>
        <v>0</v>
      </c>
      <c r="I340" s="529">
        <f t="shared" si="61"/>
        <v>0</v>
      </c>
      <c r="J340" s="270">
        <f t="shared" si="61"/>
        <v>0</v>
      </c>
      <c r="N340" s="1200">
        <f t="shared" si="62"/>
        <v>0</v>
      </c>
      <c r="U340" s="1682">
        <f t="shared" si="63"/>
        <v>0</v>
      </c>
    </row>
    <row r="341" spans="1:21" hidden="1" x14ac:dyDescent="0.25">
      <c r="A341" s="1179"/>
      <c r="B341" s="1182" t="s">
        <v>481</v>
      </c>
      <c r="C341" s="1183"/>
      <c r="D341" s="409" t="s">
        <v>464</v>
      </c>
      <c r="E341" s="409" t="s">
        <v>463</v>
      </c>
      <c r="F341" s="409" t="s">
        <v>480</v>
      </c>
      <c r="G341" s="1662" t="s">
        <v>26</v>
      </c>
      <c r="H341" s="1682">
        <v>0</v>
      </c>
      <c r="I341" s="529">
        <v>0</v>
      </c>
      <c r="J341" s="270">
        <v>0</v>
      </c>
      <c r="N341" s="1200">
        <v>0</v>
      </c>
      <c r="U341" s="1682">
        <v>0</v>
      </c>
    </row>
    <row r="342" spans="1:21" hidden="1" x14ac:dyDescent="0.25">
      <c r="A342" s="1179"/>
      <c r="B342" s="753" t="s">
        <v>479</v>
      </c>
      <c r="C342" s="1180"/>
      <c r="D342" s="409" t="s">
        <v>464</v>
      </c>
      <c r="E342" s="409" t="s">
        <v>463</v>
      </c>
      <c r="F342" s="409" t="s">
        <v>478</v>
      </c>
      <c r="G342" s="1661"/>
      <c r="H342" s="1682">
        <f>H343+H345</f>
        <v>0</v>
      </c>
      <c r="I342" s="529">
        <f>I343+I345</f>
        <v>0</v>
      </c>
      <c r="J342" s="270">
        <f>J343+J345</f>
        <v>0</v>
      </c>
      <c r="N342" s="1200">
        <f>N343+N345</f>
        <v>0</v>
      </c>
      <c r="U342" s="1682">
        <f>U343+U345</f>
        <v>0</v>
      </c>
    </row>
    <row r="343" spans="1:21" hidden="1" x14ac:dyDescent="0.25">
      <c r="A343" s="1179"/>
      <c r="B343" s="753" t="s">
        <v>477</v>
      </c>
      <c r="C343" s="1180"/>
      <c r="D343" s="409" t="s">
        <v>464</v>
      </c>
      <c r="E343" s="409" t="s">
        <v>463</v>
      </c>
      <c r="F343" s="409" t="s">
        <v>476</v>
      </c>
      <c r="G343" s="1662"/>
      <c r="H343" s="1682">
        <f>H344</f>
        <v>0</v>
      </c>
      <c r="I343" s="529">
        <f>I344</f>
        <v>0</v>
      </c>
      <c r="J343" s="270">
        <f>J344</f>
        <v>0</v>
      </c>
      <c r="N343" s="1200">
        <f>N344</f>
        <v>0</v>
      </c>
      <c r="U343" s="1682">
        <f>U344</f>
        <v>0</v>
      </c>
    </row>
    <row r="344" spans="1:21" ht="21" hidden="1" x14ac:dyDescent="0.25">
      <c r="A344" s="1179"/>
      <c r="B344" s="1182" t="s">
        <v>454</v>
      </c>
      <c r="C344" s="1183"/>
      <c r="D344" s="409" t="s">
        <v>464</v>
      </c>
      <c r="E344" s="409" t="s">
        <v>463</v>
      </c>
      <c r="F344" s="409" t="s">
        <v>476</v>
      </c>
      <c r="G344" s="1662" t="s">
        <v>1</v>
      </c>
      <c r="H344" s="1682"/>
      <c r="I344" s="529"/>
      <c r="J344" s="270"/>
      <c r="N344" s="1200"/>
      <c r="U344" s="1682"/>
    </row>
    <row r="345" spans="1:21" hidden="1" x14ac:dyDescent="0.25">
      <c r="A345" s="1179"/>
      <c r="B345" s="753" t="s">
        <v>475</v>
      </c>
      <c r="C345" s="1180"/>
      <c r="D345" s="409" t="s">
        <v>464</v>
      </c>
      <c r="E345" s="409" t="s">
        <v>463</v>
      </c>
      <c r="F345" s="409" t="s">
        <v>474</v>
      </c>
      <c r="G345" s="1662"/>
      <c r="H345" s="1682">
        <f>H346</f>
        <v>0</v>
      </c>
      <c r="I345" s="529">
        <f>I346</f>
        <v>0</v>
      </c>
      <c r="J345" s="270">
        <f>J346</f>
        <v>0</v>
      </c>
      <c r="N345" s="1200">
        <f>N346</f>
        <v>0</v>
      </c>
      <c r="U345" s="1682">
        <f>U346</f>
        <v>0</v>
      </c>
    </row>
    <row r="346" spans="1:21" ht="21" hidden="1" x14ac:dyDescent="0.25">
      <c r="A346" s="1179"/>
      <c r="B346" s="1182" t="s">
        <v>454</v>
      </c>
      <c r="C346" s="1183"/>
      <c r="D346" s="409" t="s">
        <v>464</v>
      </c>
      <c r="E346" s="409" t="s">
        <v>463</v>
      </c>
      <c r="F346" s="409" t="s">
        <v>474</v>
      </c>
      <c r="G346" s="1662" t="s">
        <v>1</v>
      </c>
      <c r="H346" s="1682">
        <v>0</v>
      </c>
      <c r="I346" s="529">
        <v>0</v>
      </c>
      <c r="J346" s="270">
        <v>0</v>
      </c>
      <c r="N346" s="1200">
        <v>0</v>
      </c>
      <c r="U346" s="1682">
        <v>0</v>
      </c>
    </row>
    <row r="347" spans="1:21" ht="27.75" customHeight="1" x14ac:dyDescent="0.25">
      <c r="A347" s="1179"/>
      <c r="B347" s="1205" t="s">
        <v>300</v>
      </c>
      <c r="C347" s="1180"/>
      <c r="D347" s="409" t="s">
        <v>464</v>
      </c>
      <c r="E347" s="409" t="s">
        <v>463</v>
      </c>
      <c r="F347" s="409" t="s">
        <v>299</v>
      </c>
      <c r="G347" s="1662"/>
      <c r="H347" s="1682">
        <f>H348</f>
        <v>600</v>
      </c>
      <c r="I347" s="529">
        <f>I348+I354</f>
        <v>450</v>
      </c>
      <c r="J347" s="270">
        <f>J348+J354</f>
        <v>500</v>
      </c>
      <c r="N347" s="1200">
        <f>N348</f>
        <v>650</v>
      </c>
      <c r="U347" s="1682">
        <f>U348</f>
        <v>700</v>
      </c>
    </row>
    <row r="348" spans="1:21" ht="21" x14ac:dyDescent="0.25">
      <c r="A348" s="1179"/>
      <c r="B348" s="1203" t="s">
        <v>298</v>
      </c>
      <c r="C348" s="1180"/>
      <c r="D348" s="409" t="s">
        <v>464</v>
      </c>
      <c r="E348" s="409" t="s">
        <v>463</v>
      </c>
      <c r="F348" s="409" t="s">
        <v>297</v>
      </c>
      <c r="G348" s="1662"/>
      <c r="H348" s="1682">
        <f t="shared" ref="H348:J349" si="64">H349</f>
        <v>600</v>
      </c>
      <c r="I348" s="529">
        <f t="shared" si="64"/>
        <v>450</v>
      </c>
      <c r="J348" s="270">
        <f t="shared" si="64"/>
        <v>500</v>
      </c>
      <c r="N348" s="1200">
        <f t="shared" ref="N348:N349" si="65">N349</f>
        <v>650</v>
      </c>
      <c r="U348" s="1682">
        <f t="shared" ref="U348:U349" si="66">U349</f>
        <v>700</v>
      </c>
    </row>
    <row r="349" spans="1:21" x14ac:dyDescent="0.25">
      <c r="A349" s="1233"/>
      <c r="B349" s="1205" t="s">
        <v>296</v>
      </c>
      <c r="C349" s="1180"/>
      <c r="D349" s="409" t="s">
        <v>464</v>
      </c>
      <c r="E349" s="409" t="s">
        <v>463</v>
      </c>
      <c r="F349" s="409" t="s">
        <v>294</v>
      </c>
      <c r="G349" s="1662"/>
      <c r="H349" s="1682">
        <f t="shared" si="64"/>
        <v>600</v>
      </c>
      <c r="I349" s="529">
        <f t="shared" si="64"/>
        <v>450</v>
      </c>
      <c r="J349" s="270">
        <f t="shared" si="64"/>
        <v>500</v>
      </c>
      <c r="N349" s="1200">
        <f t="shared" si="65"/>
        <v>650</v>
      </c>
      <c r="U349" s="1682">
        <f t="shared" si="66"/>
        <v>700</v>
      </c>
    </row>
    <row r="350" spans="1:21" ht="21" x14ac:dyDescent="0.25">
      <c r="A350" s="1233"/>
      <c r="B350" s="1182" t="s">
        <v>454</v>
      </c>
      <c r="C350" s="1183"/>
      <c r="D350" s="409" t="s">
        <v>464</v>
      </c>
      <c r="E350" s="409" t="s">
        <v>463</v>
      </c>
      <c r="F350" s="409" t="s">
        <v>294</v>
      </c>
      <c r="G350" s="1662" t="s">
        <v>1</v>
      </c>
      <c r="H350" s="1682">
        <v>600</v>
      </c>
      <c r="I350" s="529">
        <v>450</v>
      </c>
      <c r="J350" s="269">
        <v>500</v>
      </c>
      <c r="N350" s="1200">
        <v>650</v>
      </c>
      <c r="U350" s="1682">
        <v>700</v>
      </c>
    </row>
    <row r="351" spans="1:21" x14ac:dyDescent="0.25">
      <c r="A351" s="1233"/>
      <c r="B351" s="1255" t="s">
        <v>934</v>
      </c>
      <c r="C351" s="1183"/>
      <c r="D351" s="408" t="s">
        <v>534</v>
      </c>
      <c r="E351" s="409"/>
      <c r="F351" s="409"/>
      <c r="G351" s="1662"/>
      <c r="H351" s="1683">
        <f>H352</f>
        <v>1200</v>
      </c>
      <c r="I351" s="529"/>
      <c r="J351" s="269"/>
      <c r="K351" s="1439">
        <v>1200</v>
      </c>
      <c r="N351" s="1208">
        <f>N352</f>
        <v>1200</v>
      </c>
      <c r="U351" s="1683">
        <f>U352</f>
        <v>1200</v>
      </c>
    </row>
    <row r="352" spans="1:21" x14ac:dyDescent="0.25">
      <c r="A352" s="1233"/>
      <c r="B352" s="752" t="s">
        <v>920</v>
      </c>
      <c r="C352" s="1183"/>
      <c r="D352" s="408" t="s">
        <v>534</v>
      </c>
      <c r="E352" s="408" t="s">
        <v>488</v>
      </c>
      <c r="F352" s="408"/>
      <c r="G352" s="1662"/>
      <c r="H352" s="1683">
        <f>H353</f>
        <v>1200</v>
      </c>
      <c r="I352" s="529"/>
      <c r="J352" s="269"/>
      <c r="N352" s="1208">
        <f>N353</f>
        <v>1200</v>
      </c>
      <c r="U352" s="1683">
        <f>U353</f>
        <v>1200</v>
      </c>
    </row>
    <row r="353" spans="1:21" x14ac:dyDescent="0.25">
      <c r="A353" s="305"/>
      <c r="B353" s="753" t="s">
        <v>109</v>
      </c>
      <c r="C353" s="1183"/>
      <c r="D353" s="409" t="s">
        <v>534</v>
      </c>
      <c r="E353" s="409" t="s">
        <v>488</v>
      </c>
      <c r="F353" s="409" t="s">
        <v>84</v>
      </c>
      <c r="G353" s="1662"/>
      <c r="H353" s="1682">
        <f>H354</f>
        <v>1200</v>
      </c>
      <c r="I353" s="529"/>
      <c r="J353" s="269"/>
      <c r="N353" s="1200">
        <f>N354</f>
        <v>1200</v>
      </c>
      <c r="U353" s="1682">
        <f>U354</f>
        <v>1200</v>
      </c>
    </row>
    <row r="354" spans="1:21" x14ac:dyDescent="0.25">
      <c r="A354" s="273"/>
      <c r="B354" s="753" t="s">
        <v>109</v>
      </c>
      <c r="C354" s="1180"/>
      <c r="D354" s="409" t="s">
        <v>534</v>
      </c>
      <c r="E354" s="409" t="s">
        <v>488</v>
      </c>
      <c r="F354" s="409" t="s">
        <v>82</v>
      </c>
      <c r="G354" s="1662"/>
      <c r="H354" s="1682">
        <f>H355</f>
        <v>1200</v>
      </c>
      <c r="I354" s="529">
        <f>I355</f>
        <v>0</v>
      </c>
      <c r="J354" s="269">
        <f>J355</f>
        <v>0</v>
      </c>
      <c r="N354" s="1200">
        <f>N355</f>
        <v>1200</v>
      </c>
      <c r="U354" s="1682">
        <f>U355</f>
        <v>1200</v>
      </c>
    </row>
    <row r="355" spans="1:21" ht="21" x14ac:dyDescent="0.25">
      <c r="A355" s="305"/>
      <c r="B355" s="1205" t="s">
        <v>935</v>
      </c>
      <c r="C355" s="1180"/>
      <c r="D355" s="409" t="s">
        <v>534</v>
      </c>
      <c r="E355" s="409" t="s">
        <v>488</v>
      </c>
      <c r="F355" s="409" t="s">
        <v>919</v>
      </c>
      <c r="G355" s="1662"/>
      <c r="H355" s="1682">
        <f>H357</f>
        <v>1200</v>
      </c>
      <c r="I355" s="529">
        <f>I357</f>
        <v>0</v>
      </c>
      <c r="J355" s="269">
        <f>J357</f>
        <v>0</v>
      </c>
      <c r="N355" s="1200">
        <f>N357</f>
        <v>1200</v>
      </c>
      <c r="U355" s="1682">
        <f>U357</f>
        <v>1200</v>
      </c>
    </row>
    <row r="356" spans="1:21" hidden="1" x14ac:dyDescent="0.25">
      <c r="A356" s="304"/>
      <c r="B356" s="1256" t="s">
        <v>921</v>
      </c>
      <c r="C356" s="1257"/>
      <c r="D356" s="1193"/>
      <c r="E356" s="1193"/>
      <c r="F356" s="1193"/>
      <c r="G356" s="1663"/>
      <c r="H356" s="1688"/>
      <c r="I356" s="529"/>
      <c r="J356" s="269"/>
      <c r="N356" s="1258"/>
      <c r="U356" s="1688"/>
    </row>
    <row r="357" spans="1:21" ht="21.5" thickBot="1" x14ac:dyDescent="0.3">
      <c r="A357" s="778"/>
      <c r="B357" s="1259" t="s">
        <v>454</v>
      </c>
      <c r="C357" s="1260"/>
      <c r="D357" s="1261" t="s">
        <v>534</v>
      </c>
      <c r="E357" s="1261" t="s">
        <v>488</v>
      </c>
      <c r="F357" s="1261" t="s">
        <v>919</v>
      </c>
      <c r="G357" s="1672" t="s">
        <v>1</v>
      </c>
      <c r="H357" s="1689">
        <v>1200</v>
      </c>
      <c r="I357" s="529"/>
      <c r="J357" s="269"/>
      <c r="N357" s="1262">
        <v>1200</v>
      </c>
      <c r="U357" s="1689">
        <v>1200</v>
      </c>
    </row>
    <row r="358" spans="1:21" ht="21" hidden="1" x14ac:dyDescent="0.25">
      <c r="A358" s="291"/>
      <c r="B358" s="290" t="s">
        <v>469</v>
      </c>
      <c r="C358" s="289"/>
      <c r="D358" s="288" t="s">
        <v>464</v>
      </c>
      <c r="E358" s="288" t="s">
        <v>463</v>
      </c>
      <c r="F358" s="288" t="s">
        <v>468</v>
      </c>
      <c r="G358" s="288"/>
      <c r="H358" s="1263">
        <f t="shared" ref="H358:J360" si="67">H359</f>
        <v>0</v>
      </c>
      <c r="I358" s="277">
        <f t="shared" si="67"/>
        <v>0</v>
      </c>
      <c r="J358" s="276">
        <f t="shared" si="67"/>
        <v>0</v>
      </c>
      <c r="N358" s="1263">
        <f t="shared" ref="N358:N360" si="68">N359</f>
        <v>0</v>
      </c>
      <c r="U358" s="1263">
        <f t="shared" ref="U358:U360" si="69">U359</f>
        <v>0</v>
      </c>
    </row>
    <row r="359" spans="1:21" hidden="1" x14ac:dyDescent="0.25">
      <c r="A359" s="273"/>
      <c r="B359" s="285" t="s">
        <v>467</v>
      </c>
      <c r="C359" s="272"/>
      <c r="D359" s="271" t="s">
        <v>464</v>
      </c>
      <c r="E359" s="271" t="s">
        <v>463</v>
      </c>
      <c r="F359" s="271" t="s">
        <v>466</v>
      </c>
      <c r="G359" s="271"/>
      <c r="H359" s="1264">
        <f t="shared" si="67"/>
        <v>0</v>
      </c>
      <c r="I359" s="270">
        <f t="shared" si="67"/>
        <v>0</v>
      </c>
      <c r="J359" s="269">
        <f t="shared" si="67"/>
        <v>0</v>
      </c>
      <c r="N359" s="1264">
        <f t="shared" si="68"/>
        <v>0</v>
      </c>
      <c r="U359" s="1264">
        <f t="shared" si="69"/>
        <v>0</v>
      </c>
    </row>
    <row r="360" spans="1:21" hidden="1" x14ac:dyDescent="0.25">
      <c r="A360" s="305"/>
      <c r="B360" s="285" t="s">
        <v>465</v>
      </c>
      <c r="C360" s="272"/>
      <c r="D360" s="271" t="s">
        <v>464</v>
      </c>
      <c r="E360" s="271" t="s">
        <v>463</v>
      </c>
      <c r="F360" s="271" t="s">
        <v>462</v>
      </c>
      <c r="G360" s="271"/>
      <c r="H360" s="1264">
        <f t="shared" si="67"/>
        <v>0</v>
      </c>
      <c r="I360" s="270">
        <f t="shared" si="67"/>
        <v>0</v>
      </c>
      <c r="J360" s="269">
        <f t="shared" si="67"/>
        <v>0</v>
      </c>
      <c r="N360" s="1264">
        <f t="shared" si="68"/>
        <v>0</v>
      </c>
      <c r="U360" s="1264">
        <f t="shared" si="69"/>
        <v>0</v>
      </c>
    </row>
    <row r="361" spans="1:21" ht="20" hidden="1" x14ac:dyDescent="0.25">
      <c r="A361" s="304"/>
      <c r="B361" s="303" t="s">
        <v>454</v>
      </c>
      <c r="C361" s="302"/>
      <c r="D361" s="301" t="s">
        <v>464</v>
      </c>
      <c r="E361" s="301" t="s">
        <v>463</v>
      </c>
      <c r="F361" s="301" t="s">
        <v>462</v>
      </c>
      <c r="G361" s="301" t="s">
        <v>1</v>
      </c>
      <c r="H361" s="1265"/>
      <c r="I361" s="300"/>
      <c r="J361" s="299"/>
      <c r="N361" s="1265"/>
      <c r="U361" s="1265"/>
    </row>
    <row r="362" spans="1:21" hidden="1" x14ac:dyDescent="0.25">
      <c r="A362" s="437"/>
      <c r="B362" s="438"/>
      <c r="C362" s="439"/>
      <c r="D362" s="440"/>
      <c r="E362" s="440"/>
      <c r="F362" s="440"/>
      <c r="G362" s="440"/>
      <c r="H362" s="1266"/>
      <c r="I362" s="441"/>
      <c r="J362" s="442"/>
      <c r="N362" s="1266"/>
      <c r="U362" s="1266"/>
    </row>
    <row r="363" spans="1:21" ht="13" hidden="1" thickBot="1" x14ac:dyDescent="0.3">
      <c r="A363" s="298">
        <v>3</v>
      </c>
      <c r="B363" s="297" t="s">
        <v>461</v>
      </c>
      <c r="C363" s="296" t="s">
        <v>430</v>
      </c>
      <c r="D363" s="295"/>
      <c r="E363" s="295"/>
      <c r="F363" s="295"/>
      <c r="G363" s="295"/>
      <c r="H363" s="1267">
        <f>H364</f>
        <v>9607.1400000000012</v>
      </c>
      <c r="I363" s="293">
        <f>I364</f>
        <v>8212.5999999999985</v>
      </c>
      <c r="J363" s="292">
        <f>J364</f>
        <v>8263</v>
      </c>
      <c r="N363" s="1267">
        <f>N364</f>
        <v>9607.1400000000012</v>
      </c>
      <c r="U363" s="1267">
        <f>U364</f>
        <v>9607.1400000000012</v>
      </c>
    </row>
    <row r="364" spans="1:21" hidden="1" x14ac:dyDescent="0.25">
      <c r="A364" s="291"/>
      <c r="B364" s="290" t="s">
        <v>460</v>
      </c>
      <c r="C364" s="289"/>
      <c r="D364" s="288" t="s">
        <v>453</v>
      </c>
      <c r="E364" s="288" t="s">
        <v>459</v>
      </c>
      <c r="F364" s="288"/>
      <c r="G364" s="288"/>
      <c r="H364" s="1263">
        <f>H365+H378+H373</f>
        <v>9607.1400000000012</v>
      </c>
      <c r="I364" s="287">
        <f>I365+I378</f>
        <v>8212.5999999999985</v>
      </c>
      <c r="J364" s="286">
        <f>J365+J378</f>
        <v>8263</v>
      </c>
      <c r="N364" s="1263">
        <f>N365+N378+N373</f>
        <v>9607.1400000000012</v>
      </c>
      <c r="U364" s="1263">
        <f>U365+U378+U373</f>
        <v>9607.1400000000012</v>
      </c>
    </row>
    <row r="365" spans="1:21" hidden="1" x14ac:dyDescent="0.25">
      <c r="A365" s="273"/>
      <c r="B365" s="282" t="s">
        <v>87</v>
      </c>
      <c r="C365" s="279"/>
      <c r="D365" s="278" t="s">
        <v>453</v>
      </c>
      <c r="E365" s="278" t="s">
        <v>456</v>
      </c>
      <c r="F365" s="278"/>
      <c r="G365" s="278"/>
      <c r="H365" s="1268">
        <f t="shared" ref="H365:J368" si="70">H366</f>
        <v>7296.08</v>
      </c>
      <c r="I365" s="277">
        <f t="shared" si="70"/>
        <v>6962.0999999999995</v>
      </c>
      <c r="J365" s="276">
        <f t="shared" si="70"/>
        <v>6915</v>
      </c>
      <c r="N365" s="1268">
        <f t="shared" ref="N365:N368" si="71">N366</f>
        <v>7296.08</v>
      </c>
      <c r="U365" s="1268">
        <f t="shared" ref="U365:U368" si="72">U366</f>
        <v>7296.08</v>
      </c>
    </row>
    <row r="366" spans="1:21" ht="31.5" hidden="1" x14ac:dyDescent="0.25">
      <c r="A366" s="281"/>
      <c r="B366" s="307" t="s">
        <v>621</v>
      </c>
      <c r="C366" s="279"/>
      <c r="D366" s="278" t="s">
        <v>453</v>
      </c>
      <c r="E366" s="278" t="s">
        <v>456</v>
      </c>
      <c r="F366" s="278" t="s">
        <v>273</v>
      </c>
      <c r="G366" s="278"/>
      <c r="H366" s="1268">
        <f t="shared" si="70"/>
        <v>7296.08</v>
      </c>
      <c r="I366" s="277">
        <f t="shared" si="70"/>
        <v>6962.0999999999995</v>
      </c>
      <c r="J366" s="276">
        <f t="shared" si="70"/>
        <v>6915</v>
      </c>
      <c r="N366" s="1268">
        <f t="shared" si="71"/>
        <v>7296.08</v>
      </c>
      <c r="U366" s="1268">
        <f t="shared" si="72"/>
        <v>7296.08</v>
      </c>
    </row>
    <row r="367" spans="1:21" ht="30" hidden="1" x14ac:dyDescent="0.25">
      <c r="A367" s="281"/>
      <c r="B367" s="310" t="s">
        <v>261</v>
      </c>
      <c r="C367" s="272"/>
      <c r="D367" s="271" t="s">
        <v>453</v>
      </c>
      <c r="E367" s="271" t="s">
        <v>456</v>
      </c>
      <c r="F367" s="271" t="s">
        <v>260</v>
      </c>
      <c r="G367" s="271"/>
      <c r="H367" s="1264">
        <f t="shared" si="70"/>
        <v>7296.08</v>
      </c>
      <c r="I367" s="270">
        <f t="shared" si="70"/>
        <v>6962.0999999999995</v>
      </c>
      <c r="J367" s="269">
        <f t="shared" si="70"/>
        <v>6915</v>
      </c>
      <c r="N367" s="1264">
        <f t="shared" si="71"/>
        <v>7296.08</v>
      </c>
      <c r="U367" s="1264">
        <f t="shared" si="72"/>
        <v>7296.08</v>
      </c>
    </row>
    <row r="368" spans="1:21" hidden="1" x14ac:dyDescent="0.25">
      <c r="A368" s="281"/>
      <c r="B368" s="274" t="s">
        <v>259</v>
      </c>
      <c r="C368" s="272"/>
      <c r="D368" s="271" t="s">
        <v>453</v>
      </c>
      <c r="E368" s="271" t="s">
        <v>456</v>
      </c>
      <c r="F368" s="271" t="s">
        <v>258</v>
      </c>
      <c r="G368" s="271"/>
      <c r="H368" s="1264">
        <f t="shared" si="70"/>
        <v>7296.08</v>
      </c>
      <c r="I368" s="270">
        <f t="shared" si="70"/>
        <v>6962.0999999999995</v>
      </c>
      <c r="J368" s="269">
        <f t="shared" si="70"/>
        <v>6915</v>
      </c>
      <c r="N368" s="1264">
        <f t="shared" si="71"/>
        <v>7296.08</v>
      </c>
      <c r="U368" s="1264">
        <f t="shared" si="72"/>
        <v>7296.08</v>
      </c>
    </row>
    <row r="369" spans="1:21" hidden="1" x14ac:dyDescent="0.25">
      <c r="A369" s="281"/>
      <c r="B369" s="285" t="s">
        <v>351</v>
      </c>
      <c r="C369" s="272"/>
      <c r="D369" s="271" t="s">
        <v>453</v>
      </c>
      <c r="E369" s="271" t="s">
        <v>456</v>
      </c>
      <c r="F369" s="271" t="s">
        <v>254</v>
      </c>
      <c r="G369" s="271"/>
      <c r="H369" s="1264">
        <f>H370+H371+H372</f>
        <v>7296.08</v>
      </c>
      <c r="I369" s="270">
        <f>I370+I371+I372</f>
        <v>6962.0999999999995</v>
      </c>
      <c r="J369" s="269">
        <f>J370+J371+J372</f>
        <v>6915</v>
      </c>
      <c r="N369" s="1264">
        <f>N370+N371+N372</f>
        <v>7296.08</v>
      </c>
      <c r="U369" s="1264">
        <f>U370+U371+U372</f>
        <v>7296.08</v>
      </c>
    </row>
    <row r="370" spans="1:21" hidden="1" x14ac:dyDescent="0.25">
      <c r="A370" s="273"/>
      <c r="B370" s="284" t="s">
        <v>458</v>
      </c>
      <c r="C370" s="283"/>
      <c r="D370" s="271" t="s">
        <v>453</v>
      </c>
      <c r="E370" s="271" t="s">
        <v>456</v>
      </c>
      <c r="F370" s="271" t="s">
        <v>254</v>
      </c>
      <c r="G370" s="271" t="s">
        <v>255</v>
      </c>
      <c r="H370" s="1264">
        <f>4510.863-660.6</f>
        <v>3850.2630000000004</v>
      </c>
      <c r="I370" s="270">
        <v>4886.9669999999996</v>
      </c>
      <c r="J370" s="269">
        <v>5375.0079999999998</v>
      </c>
      <c r="N370" s="1264">
        <f>4510.863-660.6</f>
        <v>3850.2630000000004</v>
      </c>
      <c r="U370" s="1264">
        <f>4510.863-660.6</f>
        <v>3850.2630000000004</v>
      </c>
    </row>
    <row r="371" spans="1:21" ht="20" hidden="1" x14ac:dyDescent="0.25">
      <c r="A371" s="273"/>
      <c r="B371" s="284" t="s">
        <v>454</v>
      </c>
      <c r="C371" s="283"/>
      <c r="D371" s="271" t="s">
        <v>453</v>
      </c>
      <c r="E371" s="271" t="s">
        <v>456</v>
      </c>
      <c r="F371" s="271" t="s">
        <v>254</v>
      </c>
      <c r="G371" s="271" t="s">
        <v>1</v>
      </c>
      <c r="H371" s="1264">
        <f>1564.263+1880.841</f>
        <v>3445.1039999999998</v>
      </c>
      <c r="I371" s="270">
        <v>2074.1329999999998</v>
      </c>
      <c r="J371" s="269">
        <v>1538.992</v>
      </c>
      <c r="N371" s="1264">
        <f>1564.263+1880.841</f>
        <v>3445.1039999999998</v>
      </c>
      <c r="U371" s="1264">
        <f>1564.263+1880.841</f>
        <v>3445.1039999999998</v>
      </c>
    </row>
    <row r="372" spans="1:21" hidden="1" x14ac:dyDescent="0.25">
      <c r="A372" s="273"/>
      <c r="B372" s="284" t="s">
        <v>457</v>
      </c>
      <c r="C372" s="283"/>
      <c r="D372" s="271" t="s">
        <v>453</v>
      </c>
      <c r="E372" s="271" t="s">
        <v>456</v>
      </c>
      <c r="F372" s="271" t="s">
        <v>254</v>
      </c>
      <c r="G372" s="271" t="s">
        <v>91</v>
      </c>
      <c r="H372" s="1264">
        <v>0.71299999999999997</v>
      </c>
      <c r="I372" s="270">
        <v>1</v>
      </c>
      <c r="J372" s="269">
        <v>1</v>
      </c>
      <c r="N372" s="1264">
        <v>0.71299999999999997</v>
      </c>
      <c r="U372" s="1264">
        <v>0.71299999999999997</v>
      </c>
    </row>
    <row r="373" spans="1:21" ht="21" hidden="1" x14ac:dyDescent="0.25">
      <c r="A373" s="732"/>
      <c r="B373" s="752" t="s">
        <v>499</v>
      </c>
      <c r="C373" s="408"/>
      <c r="D373" s="408" t="s">
        <v>453</v>
      </c>
      <c r="E373" s="408" t="s">
        <v>456</v>
      </c>
      <c r="F373" s="408" t="s">
        <v>89</v>
      </c>
      <c r="G373" s="409"/>
      <c r="H373" s="1269">
        <f>H374</f>
        <v>660.6</v>
      </c>
      <c r="I373" s="529"/>
      <c r="J373" s="269"/>
      <c r="K373" s="530"/>
      <c r="N373" s="1269">
        <f>N374</f>
        <v>660.6</v>
      </c>
      <c r="U373" s="1269">
        <f>U374</f>
        <v>660.6</v>
      </c>
    </row>
    <row r="374" spans="1:21" hidden="1" x14ac:dyDescent="0.25">
      <c r="A374" s="732"/>
      <c r="B374" s="753" t="s">
        <v>109</v>
      </c>
      <c r="C374" s="409"/>
      <c r="D374" s="409" t="s">
        <v>453</v>
      </c>
      <c r="E374" s="409" t="s">
        <v>456</v>
      </c>
      <c r="F374" s="409" t="s">
        <v>84</v>
      </c>
      <c r="G374" s="409"/>
      <c r="H374" s="1270">
        <f>H375</f>
        <v>660.6</v>
      </c>
      <c r="I374" s="529"/>
      <c r="J374" s="269"/>
      <c r="K374" s="530"/>
      <c r="N374" s="1270">
        <f>N375</f>
        <v>660.6</v>
      </c>
      <c r="U374" s="1270">
        <f>U375</f>
        <v>660.6</v>
      </c>
    </row>
    <row r="375" spans="1:21" hidden="1" x14ac:dyDescent="0.25">
      <c r="A375" s="732"/>
      <c r="B375" s="753" t="s">
        <v>109</v>
      </c>
      <c r="C375" s="409"/>
      <c r="D375" s="409" t="s">
        <v>453</v>
      </c>
      <c r="E375" s="409" t="s">
        <v>456</v>
      </c>
      <c r="F375" s="409" t="s">
        <v>82</v>
      </c>
      <c r="G375" s="409"/>
      <c r="H375" s="1270">
        <f>H376</f>
        <v>660.6</v>
      </c>
      <c r="I375" s="529"/>
      <c r="J375" s="269"/>
      <c r="K375" s="530"/>
      <c r="N375" s="1270">
        <f>N376</f>
        <v>660.6</v>
      </c>
      <c r="U375" s="1270">
        <f>U376</f>
        <v>660.6</v>
      </c>
    </row>
    <row r="376" spans="1:21" hidden="1" x14ac:dyDescent="0.25">
      <c r="A376" s="732"/>
      <c r="B376" s="1152" t="s">
        <v>830</v>
      </c>
      <c r="C376" s="409"/>
      <c r="D376" s="409" t="s">
        <v>453</v>
      </c>
      <c r="E376" s="409" t="s">
        <v>456</v>
      </c>
      <c r="F376" s="409" t="s">
        <v>831</v>
      </c>
      <c r="G376" s="409"/>
      <c r="H376" s="1270">
        <f>H377</f>
        <v>660.6</v>
      </c>
      <c r="I376" s="529"/>
      <c r="J376" s="269"/>
      <c r="K376" s="530"/>
      <c r="N376" s="1270">
        <f>N377</f>
        <v>660.6</v>
      </c>
      <c r="U376" s="1270">
        <f>U377</f>
        <v>660.6</v>
      </c>
    </row>
    <row r="377" spans="1:21" ht="13" hidden="1" x14ac:dyDescent="0.25">
      <c r="A377" s="732"/>
      <c r="B377" s="754" t="s">
        <v>256</v>
      </c>
      <c r="C377" s="409"/>
      <c r="D377" s="409" t="s">
        <v>453</v>
      </c>
      <c r="E377" s="409" t="s">
        <v>456</v>
      </c>
      <c r="F377" s="409" t="s">
        <v>831</v>
      </c>
      <c r="G377" s="409" t="s">
        <v>255</v>
      </c>
      <c r="H377" s="1270">
        <v>660.6</v>
      </c>
      <c r="I377" s="529"/>
      <c r="J377" s="269"/>
      <c r="K377" s="530"/>
      <c r="N377" s="1270">
        <v>660.6</v>
      </c>
      <c r="U377" s="1270">
        <v>660.6</v>
      </c>
    </row>
    <row r="378" spans="1:21" hidden="1" x14ac:dyDescent="0.25">
      <c r="A378" s="751"/>
      <c r="B378" s="282" t="s">
        <v>244</v>
      </c>
      <c r="C378" s="279"/>
      <c r="D378" s="278" t="s">
        <v>453</v>
      </c>
      <c r="E378" s="278" t="s">
        <v>452</v>
      </c>
      <c r="F378" s="278"/>
      <c r="G378" s="278"/>
      <c r="H378" s="1268">
        <f t="shared" ref="H378:J379" si="73">H379</f>
        <v>1650.46</v>
      </c>
      <c r="I378" s="277">
        <f t="shared" si="73"/>
        <v>1250.5</v>
      </c>
      <c r="J378" s="276">
        <f t="shared" si="73"/>
        <v>1348</v>
      </c>
      <c r="N378" s="1268">
        <f t="shared" ref="N378:N379" si="74">N379</f>
        <v>1650.46</v>
      </c>
      <c r="U378" s="1268">
        <f t="shared" ref="U378:U379" si="75">U379</f>
        <v>1650.46</v>
      </c>
    </row>
    <row r="379" spans="1:21" ht="31.5" hidden="1" x14ac:dyDescent="0.25">
      <c r="A379" s="281"/>
      <c r="B379" s="307" t="s">
        <v>621</v>
      </c>
      <c r="C379" s="279"/>
      <c r="D379" s="278" t="s">
        <v>453</v>
      </c>
      <c r="E379" s="278" t="s">
        <v>452</v>
      </c>
      <c r="F379" s="278" t="s">
        <v>273</v>
      </c>
      <c r="G379" s="278"/>
      <c r="H379" s="1268">
        <f t="shared" si="73"/>
        <v>1650.46</v>
      </c>
      <c r="I379" s="277">
        <f t="shared" si="73"/>
        <v>1250.5</v>
      </c>
      <c r="J379" s="276">
        <f t="shared" si="73"/>
        <v>1348</v>
      </c>
      <c r="N379" s="1268">
        <f t="shared" si="74"/>
        <v>1650.46</v>
      </c>
      <c r="U379" s="1268">
        <f t="shared" si="75"/>
        <v>1650.46</v>
      </c>
    </row>
    <row r="380" spans="1:21" hidden="1" x14ac:dyDescent="0.25">
      <c r="A380" s="273"/>
      <c r="B380" s="310" t="s">
        <v>836</v>
      </c>
      <c r="C380" s="272"/>
      <c r="D380" s="271" t="s">
        <v>453</v>
      </c>
      <c r="E380" s="271" t="s">
        <v>452</v>
      </c>
      <c r="F380" s="271" t="s">
        <v>251</v>
      </c>
      <c r="G380" s="271"/>
      <c r="H380" s="1264">
        <f>H381+H384</f>
        <v>1650.46</v>
      </c>
      <c r="I380" s="270">
        <f>I381+I384</f>
        <v>1250.5</v>
      </c>
      <c r="J380" s="269">
        <f>J381+J384</f>
        <v>1348</v>
      </c>
      <c r="N380" s="1264">
        <f>N381+N384</f>
        <v>1650.46</v>
      </c>
      <c r="U380" s="1264">
        <f>U381+U384</f>
        <v>1650.46</v>
      </c>
    </row>
    <row r="381" spans="1:21" hidden="1" x14ac:dyDescent="0.25">
      <c r="A381" s="273"/>
      <c r="B381" s="274" t="s">
        <v>250</v>
      </c>
      <c r="C381" s="272"/>
      <c r="D381" s="271" t="s">
        <v>453</v>
      </c>
      <c r="E381" s="271" t="s">
        <v>452</v>
      </c>
      <c r="F381" s="271" t="s">
        <v>249</v>
      </c>
      <c r="G381" s="271"/>
      <c r="H381" s="1264">
        <f t="shared" ref="H381:J382" si="76">H382</f>
        <v>1650.46</v>
      </c>
      <c r="I381" s="270">
        <f t="shared" si="76"/>
        <v>1250.5</v>
      </c>
      <c r="J381" s="269">
        <f t="shared" si="76"/>
        <v>1348</v>
      </c>
      <c r="N381" s="1264">
        <f t="shared" ref="N381:N382" si="77">N382</f>
        <v>1650.46</v>
      </c>
      <c r="U381" s="1264">
        <f t="shared" ref="U381:U382" si="78">U382</f>
        <v>1650.46</v>
      </c>
    </row>
    <row r="382" spans="1:21" ht="13" hidden="1" x14ac:dyDescent="0.25">
      <c r="A382" s="273"/>
      <c r="B382" s="90" t="s">
        <v>248</v>
      </c>
      <c r="C382" s="272"/>
      <c r="D382" s="271" t="s">
        <v>453</v>
      </c>
      <c r="E382" s="271" t="s">
        <v>452</v>
      </c>
      <c r="F382" s="271" t="s">
        <v>243</v>
      </c>
      <c r="G382" s="271"/>
      <c r="H382" s="1264">
        <f t="shared" si="76"/>
        <v>1650.46</v>
      </c>
      <c r="I382" s="270">
        <f t="shared" si="76"/>
        <v>1250.5</v>
      </c>
      <c r="J382" s="269">
        <f t="shared" si="76"/>
        <v>1348</v>
      </c>
      <c r="N382" s="1264">
        <f t="shared" si="77"/>
        <v>1650.46</v>
      </c>
      <c r="U382" s="1264">
        <f t="shared" si="78"/>
        <v>1650.46</v>
      </c>
    </row>
    <row r="383" spans="1:21" ht="20.5" hidden="1" thickBot="1" x14ac:dyDescent="0.3">
      <c r="A383" s="268"/>
      <c r="B383" s="267" t="s">
        <v>454</v>
      </c>
      <c r="C383" s="266"/>
      <c r="D383" s="265" t="s">
        <v>453</v>
      </c>
      <c r="E383" s="265" t="s">
        <v>452</v>
      </c>
      <c r="F383" s="265" t="s">
        <v>243</v>
      </c>
      <c r="G383" s="265" t="s">
        <v>1</v>
      </c>
      <c r="H383" s="1271">
        <v>1650.46</v>
      </c>
      <c r="I383" s="264">
        <v>1250.5</v>
      </c>
      <c r="J383" s="407">
        <v>1348</v>
      </c>
      <c r="N383" s="1271">
        <v>1650.46</v>
      </c>
      <c r="U383" s="1271">
        <v>1650.46</v>
      </c>
    </row>
    <row r="384" spans="1:21" x14ac:dyDescent="0.25">
      <c r="H384" s="1272"/>
      <c r="N384" s="1272"/>
      <c r="U384" s="1272"/>
    </row>
    <row r="385" spans="8:21" x14ac:dyDescent="0.25">
      <c r="H385" s="1272"/>
      <c r="N385" s="1272"/>
      <c r="U385" s="1272"/>
    </row>
    <row r="386" spans="8:21" x14ac:dyDescent="0.25">
      <c r="H386" s="1272"/>
      <c r="N386" s="1272"/>
      <c r="U386" s="1272"/>
    </row>
  </sheetData>
  <mergeCells count="5">
    <mergeCell ref="H5:U5"/>
    <mergeCell ref="B12:H12"/>
    <mergeCell ref="A13:U13"/>
    <mergeCell ref="A14:U14"/>
    <mergeCell ref="A15:U15"/>
  </mergeCells>
  <pageMargins left="0.59055118110236227" right="0.59055118110236227" top="0.62992125984251968" bottom="0.15748031496062992" header="0.31496062992125984" footer="0.31496062992125984"/>
  <pageSetup scale="54" firstPageNumber="55" fitToHeight="3" orientation="portrait" useFirstPageNumber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122"/>
  <sheetViews>
    <sheetView topLeftCell="A102" zoomScale="75" zoomScaleNormal="75" workbookViewId="0">
      <selection activeCell="AD56" sqref="AD56"/>
    </sheetView>
  </sheetViews>
  <sheetFormatPr defaultColWidth="9.1796875" defaultRowHeight="15.5" x14ac:dyDescent="0.35"/>
  <cols>
    <col min="1" max="2" width="9.1796875" style="547" customWidth="1"/>
    <col min="3" max="3" width="15.54296875" style="547" customWidth="1"/>
    <col min="4" max="5" width="9.1796875" style="547" customWidth="1"/>
    <col min="6" max="6" width="19" style="547" customWidth="1"/>
    <col min="7" max="7" width="15.453125" style="547" customWidth="1"/>
    <col min="8" max="8" width="18.26953125" style="547" customWidth="1"/>
    <col min="9" max="9" width="9.1796875" style="547" customWidth="1"/>
    <col min="10" max="10" width="26.453125" style="547" customWidth="1"/>
    <col min="11" max="11" width="9.1796875" style="443" customWidth="1"/>
    <col min="12" max="12" width="7.26953125" style="443" customWidth="1"/>
    <col min="13" max="16" width="17.453125" style="875" hidden="1" customWidth="1"/>
    <col min="17" max="17" width="18.26953125" style="549" hidden="1" customWidth="1"/>
    <col min="18" max="18" width="9.1796875" style="547" hidden="1" customWidth="1"/>
    <col min="19" max="19" width="17.1796875" style="547" hidden="1" customWidth="1"/>
    <col min="20" max="20" width="4.26953125" style="547" hidden="1" customWidth="1"/>
    <col min="21" max="21" width="1.26953125" style="547" hidden="1" customWidth="1"/>
    <col min="22" max="22" width="14.81640625" style="547" customWidth="1"/>
    <col min="23" max="23" width="16.54296875" style="547" customWidth="1"/>
    <col min="24" max="26" width="0" style="547" hidden="1" customWidth="1"/>
    <col min="27" max="27" width="1.453125" style="547" hidden="1" customWidth="1"/>
    <col min="28" max="255" width="9.1796875" style="547"/>
    <col min="256" max="257" width="9.1796875" style="547" customWidth="1"/>
    <col min="258" max="258" width="15.54296875" style="547" customWidth="1"/>
    <col min="259" max="260" width="9.1796875" style="547" customWidth="1"/>
    <col min="261" max="261" width="19" style="547" customWidth="1"/>
    <col min="262" max="262" width="15.453125" style="547" customWidth="1"/>
    <col min="263" max="263" width="18.26953125" style="547" customWidth="1"/>
    <col min="264" max="264" width="9.1796875" style="547" customWidth="1"/>
    <col min="265" max="265" width="26.453125" style="547" customWidth="1"/>
    <col min="266" max="266" width="9.1796875" style="547" customWidth="1"/>
    <col min="267" max="267" width="7.54296875" style="547" customWidth="1"/>
    <col min="268" max="276" width="0" style="547" hidden="1" customWidth="1"/>
    <col min="277" max="277" width="9.1796875" style="547" customWidth="1"/>
    <col min="278" max="278" width="21" style="547" customWidth="1"/>
    <col min="279" max="511" width="9.1796875" style="547"/>
    <col min="512" max="513" width="9.1796875" style="547" customWidth="1"/>
    <col min="514" max="514" width="15.54296875" style="547" customWidth="1"/>
    <col min="515" max="516" width="9.1796875" style="547" customWidth="1"/>
    <col min="517" max="517" width="19" style="547" customWidth="1"/>
    <col min="518" max="518" width="15.453125" style="547" customWidth="1"/>
    <col min="519" max="519" width="18.26953125" style="547" customWidth="1"/>
    <col min="520" max="520" width="9.1796875" style="547" customWidth="1"/>
    <col min="521" max="521" width="26.453125" style="547" customWidth="1"/>
    <col min="522" max="522" width="9.1796875" style="547" customWidth="1"/>
    <col min="523" max="523" width="7.54296875" style="547" customWidth="1"/>
    <col min="524" max="532" width="0" style="547" hidden="1" customWidth="1"/>
    <col min="533" max="533" width="9.1796875" style="547" customWidth="1"/>
    <col min="534" max="534" width="21" style="547" customWidth="1"/>
    <col min="535" max="767" width="9.1796875" style="547"/>
    <col min="768" max="769" width="9.1796875" style="547" customWidth="1"/>
    <col min="770" max="770" width="15.54296875" style="547" customWidth="1"/>
    <col min="771" max="772" width="9.1796875" style="547" customWidth="1"/>
    <col min="773" max="773" width="19" style="547" customWidth="1"/>
    <col min="774" max="774" width="15.453125" style="547" customWidth="1"/>
    <col min="775" max="775" width="18.26953125" style="547" customWidth="1"/>
    <col min="776" max="776" width="9.1796875" style="547" customWidth="1"/>
    <col min="777" max="777" width="26.453125" style="547" customWidth="1"/>
    <col min="778" max="778" width="9.1796875" style="547" customWidth="1"/>
    <col min="779" max="779" width="7.54296875" style="547" customWidth="1"/>
    <col min="780" max="788" width="0" style="547" hidden="1" customWidth="1"/>
    <col min="789" max="789" width="9.1796875" style="547" customWidth="1"/>
    <col min="790" max="790" width="21" style="547" customWidth="1"/>
    <col min="791" max="1023" width="9.1796875" style="547"/>
    <col min="1024" max="1025" width="9.1796875" style="547" customWidth="1"/>
    <col min="1026" max="1026" width="15.54296875" style="547" customWidth="1"/>
    <col min="1027" max="1028" width="9.1796875" style="547" customWidth="1"/>
    <col min="1029" max="1029" width="19" style="547" customWidth="1"/>
    <col min="1030" max="1030" width="15.453125" style="547" customWidth="1"/>
    <col min="1031" max="1031" width="18.26953125" style="547" customWidth="1"/>
    <col min="1032" max="1032" width="9.1796875" style="547" customWidth="1"/>
    <col min="1033" max="1033" width="26.453125" style="547" customWidth="1"/>
    <col min="1034" max="1034" width="9.1796875" style="547" customWidth="1"/>
    <col min="1035" max="1035" width="7.54296875" style="547" customWidth="1"/>
    <col min="1036" max="1044" width="0" style="547" hidden="1" customWidth="1"/>
    <col min="1045" max="1045" width="9.1796875" style="547" customWidth="1"/>
    <col min="1046" max="1046" width="21" style="547" customWidth="1"/>
    <col min="1047" max="1279" width="9.1796875" style="547"/>
    <col min="1280" max="1281" width="9.1796875" style="547" customWidth="1"/>
    <col min="1282" max="1282" width="15.54296875" style="547" customWidth="1"/>
    <col min="1283" max="1284" width="9.1796875" style="547" customWidth="1"/>
    <col min="1285" max="1285" width="19" style="547" customWidth="1"/>
    <col min="1286" max="1286" width="15.453125" style="547" customWidth="1"/>
    <col min="1287" max="1287" width="18.26953125" style="547" customWidth="1"/>
    <col min="1288" max="1288" width="9.1796875" style="547" customWidth="1"/>
    <col min="1289" max="1289" width="26.453125" style="547" customWidth="1"/>
    <col min="1290" max="1290" width="9.1796875" style="547" customWidth="1"/>
    <col min="1291" max="1291" width="7.54296875" style="547" customWidth="1"/>
    <col min="1292" max="1300" width="0" style="547" hidden="1" customWidth="1"/>
    <col min="1301" max="1301" width="9.1796875" style="547" customWidth="1"/>
    <col min="1302" max="1302" width="21" style="547" customWidth="1"/>
    <col min="1303" max="1535" width="9.1796875" style="547"/>
    <col min="1536" max="1537" width="9.1796875" style="547" customWidth="1"/>
    <col min="1538" max="1538" width="15.54296875" style="547" customWidth="1"/>
    <col min="1539" max="1540" width="9.1796875" style="547" customWidth="1"/>
    <col min="1541" max="1541" width="19" style="547" customWidth="1"/>
    <col min="1542" max="1542" width="15.453125" style="547" customWidth="1"/>
    <col min="1543" max="1543" width="18.26953125" style="547" customWidth="1"/>
    <col min="1544" max="1544" width="9.1796875" style="547" customWidth="1"/>
    <col min="1545" max="1545" width="26.453125" style="547" customWidth="1"/>
    <col min="1546" max="1546" width="9.1796875" style="547" customWidth="1"/>
    <col min="1547" max="1547" width="7.54296875" style="547" customWidth="1"/>
    <col min="1548" max="1556" width="0" style="547" hidden="1" customWidth="1"/>
    <col min="1557" max="1557" width="9.1796875" style="547" customWidth="1"/>
    <col min="1558" max="1558" width="21" style="547" customWidth="1"/>
    <col min="1559" max="1791" width="9.1796875" style="547"/>
    <col min="1792" max="1793" width="9.1796875" style="547" customWidth="1"/>
    <col min="1794" max="1794" width="15.54296875" style="547" customWidth="1"/>
    <col min="1795" max="1796" width="9.1796875" style="547" customWidth="1"/>
    <col min="1797" max="1797" width="19" style="547" customWidth="1"/>
    <col min="1798" max="1798" width="15.453125" style="547" customWidth="1"/>
    <col min="1799" max="1799" width="18.26953125" style="547" customWidth="1"/>
    <col min="1800" max="1800" width="9.1796875" style="547" customWidth="1"/>
    <col min="1801" max="1801" width="26.453125" style="547" customWidth="1"/>
    <col min="1802" max="1802" width="9.1796875" style="547" customWidth="1"/>
    <col min="1803" max="1803" width="7.54296875" style="547" customWidth="1"/>
    <col min="1804" max="1812" width="0" style="547" hidden="1" customWidth="1"/>
    <col min="1813" max="1813" width="9.1796875" style="547" customWidth="1"/>
    <col min="1814" max="1814" width="21" style="547" customWidth="1"/>
    <col min="1815" max="2047" width="9.1796875" style="547"/>
    <col min="2048" max="2049" width="9.1796875" style="547" customWidth="1"/>
    <col min="2050" max="2050" width="15.54296875" style="547" customWidth="1"/>
    <col min="2051" max="2052" width="9.1796875" style="547" customWidth="1"/>
    <col min="2053" max="2053" width="19" style="547" customWidth="1"/>
    <col min="2054" max="2054" width="15.453125" style="547" customWidth="1"/>
    <col min="2055" max="2055" width="18.26953125" style="547" customWidth="1"/>
    <col min="2056" max="2056" width="9.1796875" style="547" customWidth="1"/>
    <col min="2057" max="2057" width="26.453125" style="547" customWidth="1"/>
    <col min="2058" max="2058" width="9.1796875" style="547" customWidth="1"/>
    <col min="2059" max="2059" width="7.54296875" style="547" customWidth="1"/>
    <col min="2060" max="2068" width="0" style="547" hidden="1" customWidth="1"/>
    <col min="2069" max="2069" width="9.1796875" style="547" customWidth="1"/>
    <col min="2070" max="2070" width="21" style="547" customWidth="1"/>
    <col min="2071" max="2303" width="9.1796875" style="547"/>
    <col min="2304" max="2305" width="9.1796875" style="547" customWidth="1"/>
    <col min="2306" max="2306" width="15.54296875" style="547" customWidth="1"/>
    <col min="2307" max="2308" width="9.1796875" style="547" customWidth="1"/>
    <col min="2309" max="2309" width="19" style="547" customWidth="1"/>
    <col min="2310" max="2310" width="15.453125" style="547" customWidth="1"/>
    <col min="2311" max="2311" width="18.26953125" style="547" customWidth="1"/>
    <col min="2312" max="2312" width="9.1796875" style="547" customWidth="1"/>
    <col min="2313" max="2313" width="26.453125" style="547" customWidth="1"/>
    <col min="2314" max="2314" width="9.1796875" style="547" customWidth="1"/>
    <col min="2315" max="2315" width="7.54296875" style="547" customWidth="1"/>
    <col min="2316" max="2324" width="0" style="547" hidden="1" customWidth="1"/>
    <col min="2325" max="2325" width="9.1796875" style="547" customWidth="1"/>
    <col min="2326" max="2326" width="21" style="547" customWidth="1"/>
    <col min="2327" max="2559" width="9.1796875" style="547"/>
    <col min="2560" max="2561" width="9.1796875" style="547" customWidth="1"/>
    <col min="2562" max="2562" width="15.54296875" style="547" customWidth="1"/>
    <col min="2563" max="2564" width="9.1796875" style="547" customWidth="1"/>
    <col min="2565" max="2565" width="19" style="547" customWidth="1"/>
    <col min="2566" max="2566" width="15.453125" style="547" customWidth="1"/>
    <col min="2567" max="2567" width="18.26953125" style="547" customWidth="1"/>
    <col min="2568" max="2568" width="9.1796875" style="547" customWidth="1"/>
    <col min="2569" max="2569" width="26.453125" style="547" customWidth="1"/>
    <col min="2570" max="2570" width="9.1796875" style="547" customWidth="1"/>
    <col min="2571" max="2571" width="7.54296875" style="547" customWidth="1"/>
    <col min="2572" max="2580" width="0" style="547" hidden="1" customWidth="1"/>
    <col min="2581" max="2581" width="9.1796875" style="547" customWidth="1"/>
    <col min="2582" max="2582" width="21" style="547" customWidth="1"/>
    <col min="2583" max="2815" width="9.1796875" style="547"/>
    <col min="2816" max="2817" width="9.1796875" style="547" customWidth="1"/>
    <col min="2818" max="2818" width="15.54296875" style="547" customWidth="1"/>
    <col min="2819" max="2820" width="9.1796875" style="547" customWidth="1"/>
    <col min="2821" max="2821" width="19" style="547" customWidth="1"/>
    <col min="2822" max="2822" width="15.453125" style="547" customWidth="1"/>
    <col min="2823" max="2823" width="18.26953125" style="547" customWidth="1"/>
    <col min="2824" max="2824" width="9.1796875" style="547" customWidth="1"/>
    <col min="2825" max="2825" width="26.453125" style="547" customWidth="1"/>
    <col min="2826" max="2826" width="9.1796875" style="547" customWidth="1"/>
    <col min="2827" max="2827" width="7.54296875" style="547" customWidth="1"/>
    <col min="2828" max="2836" width="0" style="547" hidden="1" customWidth="1"/>
    <col min="2837" max="2837" width="9.1796875" style="547" customWidth="1"/>
    <col min="2838" max="2838" width="21" style="547" customWidth="1"/>
    <col min="2839" max="3071" width="9.1796875" style="547"/>
    <col min="3072" max="3073" width="9.1796875" style="547" customWidth="1"/>
    <col min="3074" max="3074" width="15.54296875" style="547" customWidth="1"/>
    <col min="3075" max="3076" width="9.1796875" style="547" customWidth="1"/>
    <col min="3077" max="3077" width="19" style="547" customWidth="1"/>
    <col min="3078" max="3078" width="15.453125" style="547" customWidth="1"/>
    <col min="3079" max="3079" width="18.26953125" style="547" customWidth="1"/>
    <col min="3080" max="3080" width="9.1796875" style="547" customWidth="1"/>
    <col min="3081" max="3081" width="26.453125" style="547" customWidth="1"/>
    <col min="3082" max="3082" width="9.1796875" style="547" customWidth="1"/>
    <col min="3083" max="3083" width="7.54296875" style="547" customWidth="1"/>
    <col min="3084" max="3092" width="0" style="547" hidden="1" customWidth="1"/>
    <col min="3093" max="3093" width="9.1796875" style="547" customWidth="1"/>
    <col min="3094" max="3094" width="21" style="547" customWidth="1"/>
    <col min="3095" max="3327" width="9.1796875" style="547"/>
    <col min="3328" max="3329" width="9.1796875" style="547" customWidth="1"/>
    <col min="3330" max="3330" width="15.54296875" style="547" customWidth="1"/>
    <col min="3331" max="3332" width="9.1796875" style="547" customWidth="1"/>
    <col min="3333" max="3333" width="19" style="547" customWidth="1"/>
    <col min="3334" max="3334" width="15.453125" style="547" customWidth="1"/>
    <col min="3335" max="3335" width="18.26953125" style="547" customWidth="1"/>
    <col min="3336" max="3336" width="9.1796875" style="547" customWidth="1"/>
    <col min="3337" max="3337" width="26.453125" style="547" customWidth="1"/>
    <col min="3338" max="3338" width="9.1796875" style="547" customWidth="1"/>
    <col min="3339" max="3339" width="7.54296875" style="547" customWidth="1"/>
    <col min="3340" max="3348" width="0" style="547" hidden="1" customWidth="1"/>
    <col min="3349" max="3349" width="9.1796875" style="547" customWidth="1"/>
    <col min="3350" max="3350" width="21" style="547" customWidth="1"/>
    <col min="3351" max="3583" width="9.1796875" style="547"/>
    <col min="3584" max="3585" width="9.1796875" style="547" customWidth="1"/>
    <col min="3586" max="3586" width="15.54296875" style="547" customWidth="1"/>
    <col min="3587" max="3588" width="9.1796875" style="547" customWidth="1"/>
    <col min="3589" max="3589" width="19" style="547" customWidth="1"/>
    <col min="3590" max="3590" width="15.453125" style="547" customWidth="1"/>
    <col min="3591" max="3591" width="18.26953125" style="547" customWidth="1"/>
    <col min="3592" max="3592" width="9.1796875" style="547" customWidth="1"/>
    <col min="3593" max="3593" width="26.453125" style="547" customWidth="1"/>
    <col min="3594" max="3594" width="9.1796875" style="547" customWidth="1"/>
    <col min="3595" max="3595" width="7.54296875" style="547" customWidth="1"/>
    <col min="3596" max="3604" width="0" style="547" hidden="1" customWidth="1"/>
    <col min="3605" max="3605" width="9.1796875" style="547" customWidth="1"/>
    <col min="3606" max="3606" width="21" style="547" customWidth="1"/>
    <col min="3607" max="3839" width="9.1796875" style="547"/>
    <col min="3840" max="3841" width="9.1796875" style="547" customWidth="1"/>
    <col min="3842" max="3842" width="15.54296875" style="547" customWidth="1"/>
    <col min="3843" max="3844" width="9.1796875" style="547" customWidth="1"/>
    <col min="3845" max="3845" width="19" style="547" customWidth="1"/>
    <col min="3846" max="3846" width="15.453125" style="547" customWidth="1"/>
    <col min="3847" max="3847" width="18.26953125" style="547" customWidth="1"/>
    <col min="3848" max="3848" width="9.1796875" style="547" customWidth="1"/>
    <col min="3849" max="3849" width="26.453125" style="547" customWidth="1"/>
    <col min="3850" max="3850" width="9.1796875" style="547" customWidth="1"/>
    <col min="3851" max="3851" width="7.54296875" style="547" customWidth="1"/>
    <col min="3852" max="3860" width="0" style="547" hidden="1" customWidth="1"/>
    <col min="3861" max="3861" width="9.1796875" style="547" customWidth="1"/>
    <col min="3862" max="3862" width="21" style="547" customWidth="1"/>
    <col min="3863" max="4095" width="9.1796875" style="547"/>
    <col min="4096" max="4097" width="9.1796875" style="547" customWidth="1"/>
    <col min="4098" max="4098" width="15.54296875" style="547" customWidth="1"/>
    <col min="4099" max="4100" width="9.1796875" style="547" customWidth="1"/>
    <col min="4101" max="4101" width="19" style="547" customWidth="1"/>
    <col min="4102" max="4102" width="15.453125" style="547" customWidth="1"/>
    <col min="4103" max="4103" width="18.26953125" style="547" customWidth="1"/>
    <col min="4104" max="4104" width="9.1796875" style="547" customWidth="1"/>
    <col min="4105" max="4105" width="26.453125" style="547" customWidth="1"/>
    <col min="4106" max="4106" width="9.1796875" style="547" customWidth="1"/>
    <col min="4107" max="4107" width="7.54296875" style="547" customWidth="1"/>
    <col min="4108" max="4116" width="0" style="547" hidden="1" customWidth="1"/>
    <col min="4117" max="4117" width="9.1796875" style="547" customWidth="1"/>
    <col min="4118" max="4118" width="21" style="547" customWidth="1"/>
    <col min="4119" max="4351" width="9.1796875" style="547"/>
    <col min="4352" max="4353" width="9.1796875" style="547" customWidth="1"/>
    <col min="4354" max="4354" width="15.54296875" style="547" customWidth="1"/>
    <col min="4355" max="4356" width="9.1796875" style="547" customWidth="1"/>
    <col min="4357" max="4357" width="19" style="547" customWidth="1"/>
    <col min="4358" max="4358" width="15.453125" style="547" customWidth="1"/>
    <col min="4359" max="4359" width="18.26953125" style="547" customWidth="1"/>
    <col min="4360" max="4360" width="9.1796875" style="547" customWidth="1"/>
    <col min="4361" max="4361" width="26.453125" style="547" customWidth="1"/>
    <col min="4362" max="4362" width="9.1796875" style="547" customWidth="1"/>
    <col min="4363" max="4363" width="7.54296875" style="547" customWidth="1"/>
    <col min="4364" max="4372" width="0" style="547" hidden="1" customWidth="1"/>
    <col min="4373" max="4373" width="9.1796875" style="547" customWidth="1"/>
    <col min="4374" max="4374" width="21" style="547" customWidth="1"/>
    <col min="4375" max="4607" width="9.1796875" style="547"/>
    <col min="4608" max="4609" width="9.1796875" style="547" customWidth="1"/>
    <col min="4610" max="4610" width="15.54296875" style="547" customWidth="1"/>
    <col min="4611" max="4612" width="9.1796875" style="547" customWidth="1"/>
    <col min="4613" max="4613" width="19" style="547" customWidth="1"/>
    <col min="4614" max="4614" width="15.453125" style="547" customWidth="1"/>
    <col min="4615" max="4615" width="18.26953125" style="547" customWidth="1"/>
    <col min="4616" max="4616" width="9.1796875" style="547" customWidth="1"/>
    <col min="4617" max="4617" width="26.453125" style="547" customWidth="1"/>
    <col min="4618" max="4618" width="9.1796875" style="547" customWidth="1"/>
    <col min="4619" max="4619" width="7.54296875" style="547" customWidth="1"/>
    <col min="4620" max="4628" width="0" style="547" hidden="1" customWidth="1"/>
    <col min="4629" max="4629" width="9.1796875" style="547" customWidth="1"/>
    <col min="4630" max="4630" width="21" style="547" customWidth="1"/>
    <col min="4631" max="4863" width="9.1796875" style="547"/>
    <col min="4864" max="4865" width="9.1796875" style="547" customWidth="1"/>
    <col min="4866" max="4866" width="15.54296875" style="547" customWidth="1"/>
    <col min="4867" max="4868" width="9.1796875" style="547" customWidth="1"/>
    <col min="4869" max="4869" width="19" style="547" customWidth="1"/>
    <col min="4870" max="4870" width="15.453125" style="547" customWidth="1"/>
    <col min="4871" max="4871" width="18.26953125" style="547" customWidth="1"/>
    <col min="4872" max="4872" width="9.1796875" style="547" customWidth="1"/>
    <col min="4873" max="4873" width="26.453125" style="547" customWidth="1"/>
    <col min="4874" max="4874" width="9.1796875" style="547" customWidth="1"/>
    <col min="4875" max="4875" width="7.54296875" style="547" customWidth="1"/>
    <col min="4876" max="4884" width="0" style="547" hidden="1" customWidth="1"/>
    <col min="4885" max="4885" width="9.1796875" style="547" customWidth="1"/>
    <col min="4886" max="4886" width="21" style="547" customWidth="1"/>
    <col min="4887" max="5119" width="9.1796875" style="547"/>
    <col min="5120" max="5121" width="9.1796875" style="547" customWidth="1"/>
    <col min="5122" max="5122" width="15.54296875" style="547" customWidth="1"/>
    <col min="5123" max="5124" width="9.1796875" style="547" customWidth="1"/>
    <col min="5125" max="5125" width="19" style="547" customWidth="1"/>
    <col min="5126" max="5126" width="15.453125" style="547" customWidth="1"/>
    <col min="5127" max="5127" width="18.26953125" style="547" customWidth="1"/>
    <col min="5128" max="5128" width="9.1796875" style="547" customWidth="1"/>
    <col min="5129" max="5129" width="26.453125" style="547" customWidth="1"/>
    <col min="5130" max="5130" width="9.1796875" style="547" customWidth="1"/>
    <col min="5131" max="5131" width="7.54296875" style="547" customWidth="1"/>
    <col min="5132" max="5140" width="0" style="547" hidden="1" customWidth="1"/>
    <col min="5141" max="5141" width="9.1796875" style="547" customWidth="1"/>
    <col min="5142" max="5142" width="21" style="547" customWidth="1"/>
    <col min="5143" max="5375" width="9.1796875" style="547"/>
    <col min="5376" max="5377" width="9.1796875" style="547" customWidth="1"/>
    <col min="5378" max="5378" width="15.54296875" style="547" customWidth="1"/>
    <col min="5379" max="5380" width="9.1796875" style="547" customWidth="1"/>
    <col min="5381" max="5381" width="19" style="547" customWidth="1"/>
    <col min="5382" max="5382" width="15.453125" style="547" customWidth="1"/>
    <col min="5383" max="5383" width="18.26953125" style="547" customWidth="1"/>
    <col min="5384" max="5384" width="9.1796875" style="547" customWidth="1"/>
    <col min="5385" max="5385" width="26.453125" style="547" customWidth="1"/>
    <col min="5386" max="5386" width="9.1796875" style="547" customWidth="1"/>
    <col min="5387" max="5387" width="7.54296875" style="547" customWidth="1"/>
    <col min="5388" max="5396" width="0" style="547" hidden="1" customWidth="1"/>
    <col min="5397" max="5397" width="9.1796875" style="547" customWidth="1"/>
    <col min="5398" max="5398" width="21" style="547" customWidth="1"/>
    <col min="5399" max="5631" width="9.1796875" style="547"/>
    <col min="5632" max="5633" width="9.1796875" style="547" customWidth="1"/>
    <col min="5634" max="5634" width="15.54296875" style="547" customWidth="1"/>
    <col min="5635" max="5636" width="9.1796875" style="547" customWidth="1"/>
    <col min="5637" max="5637" width="19" style="547" customWidth="1"/>
    <col min="5638" max="5638" width="15.453125" style="547" customWidth="1"/>
    <col min="5639" max="5639" width="18.26953125" style="547" customWidth="1"/>
    <col min="5640" max="5640" width="9.1796875" style="547" customWidth="1"/>
    <col min="5641" max="5641" width="26.453125" style="547" customWidth="1"/>
    <col min="5642" max="5642" width="9.1796875" style="547" customWidth="1"/>
    <col min="5643" max="5643" width="7.54296875" style="547" customWidth="1"/>
    <col min="5644" max="5652" width="0" style="547" hidden="1" customWidth="1"/>
    <col min="5653" max="5653" width="9.1796875" style="547" customWidth="1"/>
    <col min="5654" max="5654" width="21" style="547" customWidth="1"/>
    <col min="5655" max="5887" width="9.1796875" style="547"/>
    <col min="5888" max="5889" width="9.1796875" style="547" customWidth="1"/>
    <col min="5890" max="5890" width="15.54296875" style="547" customWidth="1"/>
    <col min="5891" max="5892" width="9.1796875" style="547" customWidth="1"/>
    <col min="5893" max="5893" width="19" style="547" customWidth="1"/>
    <col min="5894" max="5894" width="15.453125" style="547" customWidth="1"/>
    <col min="5895" max="5895" width="18.26953125" style="547" customWidth="1"/>
    <col min="5896" max="5896" width="9.1796875" style="547" customWidth="1"/>
    <col min="5897" max="5897" width="26.453125" style="547" customWidth="1"/>
    <col min="5898" max="5898" width="9.1796875" style="547" customWidth="1"/>
    <col min="5899" max="5899" width="7.54296875" style="547" customWidth="1"/>
    <col min="5900" max="5908" width="0" style="547" hidden="1" customWidth="1"/>
    <col min="5909" max="5909" width="9.1796875" style="547" customWidth="1"/>
    <col min="5910" max="5910" width="21" style="547" customWidth="1"/>
    <col min="5911" max="6143" width="9.1796875" style="547"/>
    <col min="6144" max="6145" width="9.1796875" style="547" customWidth="1"/>
    <col min="6146" max="6146" width="15.54296875" style="547" customWidth="1"/>
    <col min="6147" max="6148" width="9.1796875" style="547" customWidth="1"/>
    <col min="6149" max="6149" width="19" style="547" customWidth="1"/>
    <col min="6150" max="6150" width="15.453125" style="547" customWidth="1"/>
    <col min="6151" max="6151" width="18.26953125" style="547" customWidth="1"/>
    <col min="6152" max="6152" width="9.1796875" style="547" customWidth="1"/>
    <col min="6153" max="6153" width="26.453125" style="547" customWidth="1"/>
    <col min="6154" max="6154" width="9.1796875" style="547" customWidth="1"/>
    <col min="6155" max="6155" width="7.54296875" style="547" customWidth="1"/>
    <col min="6156" max="6164" width="0" style="547" hidden="1" customWidth="1"/>
    <col min="6165" max="6165" width="9.1796875" style="547" customWidth="1"/>
    <col min="6166" max="6166" width="21" style="547" customWidth="1"/>
    <col min="6167" max="6399" width="9.1796875" style="547"/>
    <col min="6400" max="6401" width="9.1796875" style="547" customWidth="1"/>
    <col min="6402" max="6402" width="15.54296875" style="547" customWidth="1"/>
    <col min="6403" max="6404" width="9.1796875" style="547" customWidth="1"/>
    <col min="6405" max="6405" width="19" style="547" customWidth="1"/>
    <col min="6406" max="6406" width="15.453125" style="547" customWidth="1"/>
    <col min="6407" max="6407" width="18.26953125" style="547" customWidth="1"/>
    <col min="6408" max="6408" width="9.1796875" style="547" customWidth="1"/>
    <col min="6409" max="6409" width="26.453125" style="547" customWidth="1"/>
    <col min="6410" max="6410" width="9.1796875" style="547" customWidth="1"/>
    <col min="6411" max="6411" width="7.54296875" style="547" customWidth="1"/>
    <col min="6412" max="6420" width="0" style="547" hidden="1" customWidth="1"/>
    <col min="6421" max="6421" width="9.1796875" style="547" customWidth="1"/>
    <col min="6422" max="6422" width="21" style="547" customWidth="1"/>
    <col min="6423" max="6655" width="9.1796875" style="547"/>
    <col min="6656" max="6657" width="9.1796875" style="547" customWidth="1"/>
    <col min="6658" max="6658" width="15.54296875" style="547" customWidth="1"/>
    <col min="6659" max="6660" width="9.1796875" style="547" customWidth="1"/>
    <col min="6661" max="6661" width="19" style="547" customWidth="1"/>
    <col min="6662" max="6662" width="15.453125" style="547" customWidth="1"/>
    <col min="6663" max="6663" width="18.26953125" style="547" customWidth="1"/>
    <col min="6664" max="6664" width="9.1796875" style="547" customWidth="1"/>
    <col min="6665" max="6665" width="26.453125" style="547" customWidth="1"/>
    <col min="6666" max="6666" width="9.1796875" style="547" customWidth="1"/>
    <col min="6667" max="6667" width="7.54296875" style="547" customWidth="1"/>
    <col min="6668" max="6676" width="0" style="547" hidden="1" customWidth="1"/>
    <col min="6677" max="6677" width="9.1796875" style="547" customWidth="1"/>
    <col min="6678" max="6678" width="21" style="547" customWidth="1"/>
    <col min="6679" max="6911" width="9.1796875" style="547"/>
    <col min="6912" max="6913" width="9.1796875" style="547" customWidth="1"/>
    <col min="6914" max="6914" width="15.54296875" style="547" customWidth="1"/>
    <col min="6915" max="6916" width="9.1796875" style="547" customWidth="1"/>
    <col min="6917" max="6917" width="19" style="547" customWidth="1"/>
    <col min="6918" max="6918" width="15.453125" style="547" customWidth="1"/>
    <col min="6919" max="6919" width="18.26953125" style="547" customWidth="1"/>
    <col min="6920" max="6920" width="9.1796875" style="547" customWidth="1"/>
    <col min="6921" max="6921" width="26.453125" style="547" customWidth="1"/>
    <col min="6922" max="6922" width="9.1796875" style="547" customWidth="1"/>
    <col min="6923" max="6923" width="7.54296875" style="547" customWidth="1"/>
    <col min="6924" max="6932" width="0" style="547" hidden="1" customWidth="1"/>
    <col min="6933" max="6933" width="9.1796875" style="547" customWidth="1"/>
    <col min="6934" max="6934" width="21" style="547" customWidth="1"/>
    <col min="6935" max="7167" width="9.1796875" style="547"/>
    <col min="7168" max="7169" width="9.1796875" style="547" customWidth="1"/>
    <col min="7170" max="7170" width="15.54296875" style="547" customWidth="1"/>
    <col min="7171" max="7172" width="9.1796875" style="547" customWidth="1"/>
    <col min="7173" max="7173" width="19" style="547" customWidth="1"/>
    <col min="7174" max="7174" width="15.453125" style="547" customWidth="1"/>
    <col min="7175" max="7175" width="18.26953125" style="547" customWidth="1"/>
    <col min="7176" max="7176" width="9.1796875" style="547" customWidth="1"/>
    <col min="7177" max="7177" width="26.453125" style="547" customWidth="1"/>
    <col min="7178" max="7178" width="9.1796875" style="547" customWidth="1"/>
    <col min="7179" max="7179" width="7.54296875" style="547" customWidth="1"/>
    <col min="7180" max="7188" width="0" style="547" hidden="1" customWidth="1"/>
    <col min="7189" max="7189" width="9.1796875" style="547" customWidth="1"/>
    <col min="7190" max="7190" width="21" style="547" customWidth="1"/>
    <col min="7191" max="7423" width="9.1796875" style="547"/>
    <col min="7424" max="7425" width="9.1796875" style="547" customWidth="1"/>
    <col min="7426" max="7426" width="15.54296875" style="547" customWidth="1"/>
    <col min="7427" max="7428" width="9.1796875" style="547" customWidth="1"/>
    <col min="7429" max="7429" width="19" style="547" customWidth="1"/>
    <col min="7430" max="7430" width="15.453125" style="547" customWidth="1"/>
    <col min="7431" max="7431" width="18.26953125" style="547" customWidth="1"/>
    <col min="7432" max="7432" width="9.1796875" style="547" customWidth="1"/>
    <col min="7433" max="7433" width="26.453125" style="547" customWidth="1"/>
    <col min="7434" max="7434" width="9.1796875" style="547" customWidth="1"/>
    <col min="7435" max="7435" width="7.54296875" style="547" customWidth="1"/>
    <col min="7436" max="7444" width="0" style="547" hidden="1" customWidth="1"/>
    <col min="7445" max="7445" width="9.1796875" style="547" customWidth="1"/>
    <col min="7446" max="7446" width="21" style="547" customWidth="1"/>
    <col min="7447" max="7679" width="9.1796875" style="547"/>
    <col min="7680" max="7681" width="9.1796875" style="547" customWidth="1"/>
    <col min="7682" max="7682" width="15.54296875" style="547" customWidth="1"/>
    <col min="7683" max="7684" width="9.1796875" style="547" customWidth="1"/>
    <col min="7685" max="7685" width="19" style="547" customWidth="1"/>
    <col min="7686" max="7686" width="15.453125" style="547" customWidth="1"/>
    <col min="7687" max="7687" width="18.26953125" style="547" customWidth="1"/>
    <col min="7688" max="7688" width="9.1796875" style="547" customWidth="1"/>
    <col min="7689" max="7689" width="26.453125" style="547" customWidth="1"/>
    <col min="7690" max="7690" width="9.1796875" style="547" customWidth="1"/>
    <col min="7691" max="7691" width="7.54296875" style="547" customWidth="1"/>
    <col min="7692" max="7700" width="0" style="547" hidden="1" customWidth="1"/>
    <col min="7701" max="7701" width="9.1796875" style="547" customWidth="1"/>
    <col min="7702" max="7702" width="21" style="547" customWidth="1"/>
    <col min="7703" max="7935" width="9.1796875" style="547"/>
    <col min="7936" max="7937" width="9.1796875" style="547" customWidth="1"/>
    <col min="7938" max="7938" width="15.54296875" style="547" customWidth="1"/>
    <col min="7939" max="7940" width="9.1796875" style="547" customWidth="1"/>
    <col min="7941" max="7941" width="19" style="547" customWidth="1"/>
    <col min="7942" max="7942" width="15.453125" style="547" customWidth="1"/>
    <col min="7943" max="7943" width="18.26953125" style="547" customWidth="1"/>
    <col min="7944" max="7944" width="9.1796875" style="547" customWidth="1"/>
    <col min="7945" max="7945" width="26.453125" style="547" customWidth="1"/>
    <col min="7946" max="7946" width="9.1796875" style="547" customWidth="1"/>
    <col min="7947" max="7947" width="7.54296875" style="547" customWidth="1"/>
    <col min="7948" max="7956" width="0" style="547" hidden="1" customWidth="1"/>
    <col min="7957" max="7957" width="9.1796875" style="547" customWidth="1"/>
    <col min="7958" max="7958" width="21" style="547" customWidth="1"/>
    <col min="7959" max="8191" width="9.1796875" style="547"/>
    <col min="8192" max="8193" width="9.1796875" style="547" customWidth="1"/>
    <col min="8194" max="8194" width="15.54296875" style="547" customWidth="1"/>
    <col min="8195" max="8196" width="9.1796875" style="547" customWidth="1"/>
    <col min="8197" max="8197" width="19" style="547" customWidth="1"/>
    <col min="8198" max="8198" width="15.453125" style="547" customWidth="1"/>
    <col min="8199" max="8199" width="18.26953125" style="547" customWidth="1"/>
    <col min="8200" max="8200" width="9.1796875" style="547" customWidth="1"/>
    <col min="8201" max="8201" width="26.453125" style="547" customWidth="1"/>
    <col min="8202" max="8202" width="9.1796875" style="547" customWidth="1"/>
    <col min="8203" max="8203" width="7.54296875" style="547" customWidth="1"/>
    <col min="8204" max="8212" width="0" style="547" hidden="1" customWidth="1"/>
    <col min="8213" max="8213" width="9.1796875" style="547" customWidth="1"/>
    <col min="8214" max="8214" width="21" style="547" customWidth="1"/>
    <col min="8215" max="8447" width="9.1796875" style="547"/>
    <col min="8448" max="8449" width="9.1796875" style="547" customWidth="1"/>
    <col min="8450" max="8450" width="15.54296875" style="547" customWidth="1"/>
    <col min="8451" max="8452" width="9.1796875" style="547" customWidth="1"/>
    <col min="8453" max="8453" width="19" style="547" customWidth="1"/>
    <col min="8454" max="8454" width="15.453125" style="547" customWidth="1"/>
    <col min="8455" max="8455" width="18.26953125" style="547" customWidth="1"/>
    <col min="8456" max="8456" width="9.1796875" style="547" customWidth="1"/>
    <col min="8457" max="8457" width="26.453125" style="547" customWidth="1"/>
    <col min="8458" max="8458" width="9.1796875" style="547" customWidth="1"/>
    <col min="8459" max="8459" width="7.54296875" style="547" customWidth="1"/>
    <col min="8460" max="8468" width="0" style="547" hidden="1" customWidth="1"/>
    <col min="8469" max="8469" width="9.1796875" style="547" customWidth="1"/>
    <col min="8470" max="8470" width="21" style="547" customWidth="1"/>
    <col min="8471" max="8703" width="9.1796875" style="547"/>
    <col min="8704" max="8705" width="9.1796875" style="547" customWidth="1"/>
    <col min="8706" max="8706" width="15.54296875" style="547" customWidth="1"/>
    <col min="8707" max="8708" width="9.1796875" style="547" customWidth="1"/>
    <col min="8709" max="8709" width="19" style="547" customWidth="1"/>
    <col min="8710" max="8710" width="15.453125" style="547" customWidth="1"/>
    <col min="8711" max="8711" width="18.26953125" style="547" customWidth="1"/>
    <col min="8712" max="8712" width="9.1796875" style="547" customWidth="1"/>
    <col min="8713" max="8713" width="26.453125" style="547" customWidth="1"/>
    <col min="8714" max="8714" width="9.1796875" style="547" customWidth="1"/>
    <col min="8715" max="8715" width="7.54296875" style="547" customWidth="1"/>
    <col min="8716" max="8724" width="0" style="547" hidden="1" customWidth="1"/>
    <col min="8725" max="8725" width="9.1796875" style="547" customWidth="1"/>
    <col min="8726" max="8726" width="21" style="547" customWidth="1"/>
    <col min="8727" max="8959" width="9.1796875" style="547"/>
    <col min="8960" max="8961" width="9.1796875" style="547" customWidth="1"/>
    <col min="8962" max="8962" width="15.54296875" style="547" customWidth="1"/>
    <col min="8963" max="8964" width="9.1796875" style="547" customWidth="1"/>
    <col min="8965" max="8965" width="19" style="547" customWidth="1"/>
    <col min="8966" max="8966" width="15.453125" style="547" customWidth="1"/>
    <col min="8967" max="8967" width="18.26953125" style="547" customWidth="1"/>
    <col min="8968" max="8968" width="9.1796875" style="547" customWidth="1"/>
    <col min="8969" max="8969" width="26.453125" style="547" customWidth="1"/>
    <col min="8970" max="8970" width="9.1796875" style="547" customWidth="1"/>
    <col min="8971" max="8971" width="7.54296875" style="547" customWidth="1"/>
    <col min="8972" max="8980" width="0" style="547" hidden="1" customWidth="1"/>
    <col min="8981" max="8981" width="9.1796875" style="547" customWidth="1"/>
    <col min="8982" max="8982" width="21" style="547" customWidth="1"/>
    <col min="8983" max="9215" width="9.1796875" style="547"/>
    <col min="9216" max="9217" width="9.1796875" style="547" customWidth="1"/>
    <col min="9218" max="9218" width="15.54296875" style="547" customWidth="1"/>
    <col min="9219" max="9220" width="9.1796875" style="547" customWidth="1"/>
    <col min="9221" max="9221" width="19" style="547" customWidth="1"/>
    <col min="9222" max="9222" width="15.453125" style="547" customWidth="1"/>
    <col min="9223" max="9223" width="18.26953125" style="547" customWidth="1"/>
    <col min="9224" max="9224" width="9.1796875" style="547" customWidth="1"/>
    <col min="9225" max="9225" width="26.453125" style="547" customWidth="1"/>
    <col min="9226" max="9226" width="9.1796875" style="547" customWidth="1"/>
    <col min="9227" max="9227" width="7.54296875" style="547" customWidth="1"/>
    <col min="9228" max="9236" width="0" style="547" hidden="1" customWidth="1"/>
    <col min="9237" max="9237" width="9.1796875" style="547" customWidth="1"/>
    <col min="9238" max="9238" width="21" style="547" customWidth="1"/>
    <col min="9239" max="9471" width="9.1796875" style="547"/>
    <col min="9472" max="9473" width="9.1796875" style="547" customWidth="1"/>
    <col min="9474" max="9474" width="15.54296875" style="547" customWidth="1"/>
    <col min="9475" max="9476" width="9.1796875" style="547" customWidth="1"/>
    <col min="9477" max="9477" width="19" style="547" customWidth="1"/>
    <col min="9478" max="9478" width="15.453125" style="547" customWidth="1"/>
    <col min="9479" max="9479" width="18.26953125" style="547" customWidth="1"/>
    <col min="9480" max="9480" width="9.1796875" style="547" customWidth="1"/>
    <col min="9481" max="9481" width="26.453125" style="547" customWidth="1"/>
    <col min="9482" max="9482" width="9.1796875" style="547" customWidth="1"/>
    <col min="9483" max="9483" width="7.54296875" style="547" customWidth="1"/>
    <col min="9484" max="9492" width="0" style="547" hidden="1" customWidth="1"/>
    <col min="9493" max="9493" width="9.1796875" style="547" customWidth="1"/>
    <col min="9494" max="9494" width="21" style="547" customWidth="1"/>
    <col min="9495" max="9727" width="9.1796875" style="547"/>
    <col min="9728" max="9729" width="9.1796875" style="547" customWidth="1"/>
    <col min="9730" max="9730" width="15.54296875" style="547" customWidth="1"/>
    <col min="9731" max="9732" width="9.1796875" style="547" customWidth="1"/>
    <col min="9733" max="9733" width="19" style="547" customWidth="1"/>
    <col min="9734" max="9734" width="15.453125" style="547" customWidth="1"/>
    <col min="9735" max="9735" width="18.26953125" style="547" customWidth="1"/>
    <col min="9736" max="9736" width="9.1796875" style="547" customWidth="1"/>
    <col min="9737" max="9737" width="26.453125" style="547" customWidth="1"/>
    <col min="9738" max="9738" width="9.1796875" style="547" customWidth="1"/>
    <col min="9739" max="9739" width="7.54296875" style="547" customWidth="1"/>
    <col min="9740" max="9748" width="0" style="547" hidden="1" customWidth="1"/>
    <col min="9749" max="9749" width="9.1796875" style="547" customWidth="1"/>
    <col min="9750" max="9750" width="21" style="547" customWidth="1"/>
    <col min="9751" max="9983" width="9.1796875" style="547"/>
    <col min="9984" max="9985" width="9.1796875" style="547" customWidth="1"/>
    <col min="9986" max="9986" width="15.54296875" style="547" customWidth="1"/>
    <col min="9987" max="9988" width="9.1796875" style="547" customWidth="1"/>
    <col min="9989" max="9989" width="19" style="547" customWidth="1"/>
    <col min="9990" max="9990" width="15.453125" style="547" customWidth="1"/>
    <col min="9991" max="9991" width="18.26953125" style="547" customWidth="1"/>
    <col min="9992" max="9992" width="9.1796875" style="547" customWidth="1"/>
    <col min="9993" max="9993" width="26.453125" style="547" customWidth="1"/>
    <col min="9994" max="9994" width="9.1796875" style="547" customWidth="1"/>
    <col min="9995" max="9995" width="7.54296875" style="547" customWidth="1"/>
    <col min="9996" max="10004" width="0" style="547" hidden="1" customWidth="1"/>
    <col min="10005" max="10005" width="9.1796875" style="547" customWidth="1"/>
    <col min="10006" max="10006" width="21" style="547" customWidth="1"/>
    <col min="10007" max="10239" width="9.1796875" style="547"/>
    <col min="10240" max="10241" width="9.1796875" style="547" customWidth="1"/>
    <col min="10242" max="10242" width="15.54296875" style="547" customWidth="1"/>
    <col min="10243" max="10244" width="9.1796875" style="547" customWidth="1"/>
    <col min="10245" max="10245" width="19" style="547" customWidth="1"/>
    <col min="10246" max="10246" width="15.453125" style="547" customWidth="1"/>
    <col min="10247" max="10247" width="18.26953125" style="547" customWidth="1"/>
    <col min="10248" max="10248" width="9.1796875" style="547" customWidth="1"/>
    <col min="10249" max="10249" width="26.453125" style="547" customWidth="1"/>
    <col min="10250" max="10250" width="9.1796875" style="547" customWidth="1"/>
    <col min="10251" max="10251" width="7.54296875" style="547" customWidth="1"/>
    <col min="10252" max="10260" width="0" style="547" hidden="1" customWidth="1"/>
    <col min="10261" max="10261" width="9.1796875" style="547" customWidth="1"/>
    <col min="10262" max="10262" width="21" style="547" customWidth="1"/>
    <col min="10263" max="10495" width="9.1796875" style="547"/>
    <col min="10496" max="10497" width="9.1796875" style="547" customWidth="1"/>
    <col min="10498" max="10498" width="15.54296875" style="547" customWidth="1"/>
    <col min="10499" max="10500" width="9.1796875" style="547" customWidth="1"/>
    <col min="10501" max="10501" width="19" style="547" customWidth="1"/>
    <col min="10502" max="10502" width="15.453125" style="547" customWidth="1"/>
    <col min="10503" max="10503" width="18.26953125" style="547" customWidth="1"/>
    <col min="10504" max="10504" width="9.1796875" style="547" customWidth="1"/>
    <col min="10505" max="10505" width="26.453125" style="547" customWidth="1"/>
    <col min="10506" max="10506" width="9.1796875" style="547" customWidth="1"/>
    <col min="10507" max="10507" width="7.54296875" style="547" customWidth="1"/>
    <col min="10508" max="10516" width="0" style="547" hidden="1" customWidth="1"/>
    <col min="10517" max="10517" width="9.1796875" style="547" customWidth="1"/>
    <col min="10518" max="10518" width="21" style="547" customWidth="1"/>
    <col min="10519" max="10751" width="9.1796875" style="547"/>
    <col min="10752" max="10753" width="9.1796875" style="547" customWidth="1"/>
    <col min="10754" max="10754" width="15.54296875" style="547" customWidth="1"/>
    <col min="10755" max="10756" width="9.1796875" style="547" customWidth="1"/>
    <col min="10757" max="10757" width="19" style="547" customWidth="1"/>
    <col min="10758" max="10758" width="15.453125" style="547" customWidth="1"/>
    <col min="10759" max="10759" width="18.26953125" style="547" customWidth="1"/>
    <col min="10760" max="10760" width="9.1796875" style="547" customWidth="1"/>
    <col min="10761" max="10761" width="26.453125" style="547" customWidth="1"/>
    <col min="10762" max="10762" width="9.1796875" style="547" customWidth="1"/>
    <col min="10763" max="10763" width="7.54296875" style="547" customWidth="1"/>
    <col min="10764" max="10772" width="0" style="547" hidden="1" customWidth="1"/>
    <col min="10773" max="10773" width="9.1796875" style="547" customWidth="1"/>
    <col min="10774" max="10774" width="21" style="547" customWidth="1"/>
    <col min="10775" max="11007" width="9.1796875" style="547"/>
    <col min="11008" max="11009" width="9.1796875" style="547" customWidth="1"/>
    <col min="11010" max="11010" width="15.54296875" style="547" customWidth="1"/>
    <col min="11011" max="11012" width="9.1796875" style="547" customWidth="1"/>
    <col min="11013" max="11013" width="19" style="547" customWidth="1"/>
    <col min="11014" max="11014" width="15.453125" style="547" customWidth="1"/>
    <col min="11015" max="11015" width="18.26953125" style="547" customWidth="1"/>
    <col min="11016" max="11016" width="9.1796875" style="547" customWidth="1"/>
    <col min="11017" max="11017" width="26.453125" style="547" customWidth="1"/>
    <col min="11018" max="11018" width="9.1796875" style="547" customWidth="1"/>
    <col min="11019" max="11019" width="7.54296875" style="547" customWidth="1"/>
    <col min="11020" max="11028" width="0" style="547" hidden="1" customWidth="1"/>
    <col min="11029" max="11029" width="9.1796875" style="547" customWidth="1"/>
    <col min="11030" max="11030" width="21" style="547" customWidth="1"/>
    <col min="11031" max="11263" width="9.1796875" style="547"/>
    <col min="11264" max="11265" width="9.1796875" style="547" customWidth="1"/>
    <col min="11266" max="11266" width="15.54296875" style="547" customWidth="1"/>
    <col min="11267" max="11268" width="9.1796875" style="547" customWidth="1"/>
    <col min="11269" max="11269" width="19" style="547" customWidth="1"/>
    <col min="11270" max="11270" width="15.453125" style="547" customWidth="1"/>
    <col min="11271" max="11271" width="18.26953125" style="547" customWidth="1"/>
    <col min="11272" max="11272" width="9.1796875" style="547" customWidth="1"/>
    <col min="11273" max="11273" width="26.453125" style="547" customWidth="1"/>
    <col min="11274" max="11274" width="9.1796875" style="547" customWidth="1"/>
    <col min="11275" max="11275" width="7.54296875" style="547" customWidth="1"/>
    <col min="11276" max="11284" width="0" style="547" hidden="1" customWidth="1"/>
    <col min="11285" max="11285" width="9.1796875" style="547" customWidth="1"/>
    <col min="11286" max="11286" width="21" style="547" customWidth="1"/>
    <col min="11287" max="11519" width="9.1796875" style="547"/>
    <col min="11520" max="11521" width="9.1796875" style="547" customWidth="1"/>
    <col min="11522" max="11522" width="15.54296875" style="547" customWidth="1"/>
    <col min="11523" max="11524" width="9.1796875" style="547" customWidth="1"/>
    <col min="11525" max="11525" width="19" style="547" customWidth="1"/>
    <col min="11526" max="11526" width="15.453125" style="547" customWidth="1"/>
    <col min="11527" max="11527" width="18.26953125" style="547" customWidth="1"/>
    <col min="11528" max="11528" width="9.1796875" style="547" customWidth="1"/>
    <col min="11529" max="11529" width="26.453125" style="547" customWidth="1"/>
    <col min="11530" max="11530" width="9.1796875" style="547" customWidth="1"/>
    <col min="11531" max="11531" width="7.54296875" style="547" customWidth="1"/>
    <col min="11532" max="11540" width="0" style="547" hidden="1" customWidth="1"/>
    <col min="11541" max="11541" width="9.1796875" style="547" customWidth="1"/>
    <col min="11542" max="11542" width="21" style="547" customWidth="1"/>
    <col min="11543" max="11775" width="9.1796875" style="547"/>
    <col min="11776" max="11777" width="9.1796875" style="547" customWidth="1"/>
    <col min="11778" max="11778" width="15.54296875" style="547" customWidth="1"/>
    <col min="11779" max="11780" width="9.1796875" style="547" customWidth="1"/>
    <col min="11781" max="11781" width="19" style="547" customWidth="1"/>
    <col min="11782" max="11782" width="15.453125" style="547" customWidth="1"/>
    <col min="11783" max="11783" width="18.26953125" style="547" customWidth="1"/>
    <col min="11784" max="11784" width="9.1796875" style="547" customWidth="1"/>
    <col min="11785" max="11785" width="26.453125" style="547" customWidth="1"/>
    <col min="11786" max="11786" width="9.1796875" style="547" customWidth="1"/>
    <col min="11787" max="11787" width="7.54296875" style="547" customWidth="1"/>
    <col min="11788" max="11796" width="0" style="547" hidden="1" customWidth="1"/>
    <col min="11797" max="11797" width="9.1796875" style="547" customWidth="1"/>
    <col min="11798" max="11798" width="21" style="547" customWidth="1"/>
    <col min="11799" max="12031" width="9.1796875" style="547"/>
    <col min="12032" max="12033" width="9.1796875" style="547" customWidth="1"/>
    <col min="12034" max="12034" width="15.54296875" style="547" customWidth="1"/>
    <col min="12035" max="12036" width="9.1796875" style="547" customWidth="1"/>
    <col min="12037" max="12037" width="19" style="547" customWidth="1"/>
    <col min="12038" max="12038" width="15.453125" style="547" customWidth="1"/>
    <col min="12039" max="12039" width="18.26953125" style="547" customWidth="1"/>
    <col min="12040" max="12040" width="9.1796875" style="547" customWidth="1"/>
    <col min="12041" max="12041" width="26.453125" style="547" customWidth="1"/>
    <col min="12042" max="12042" width="9.1796875" style="547" customWidth="1"/>
    <col min="12043" max="12043" width="7.54296875" style="547" customWidth="1"/>
    <col min="12044" max="12052" width="0" style="547" hidden="1" customWidth="1"/>
    <col min="12053" max="12053" width="9.1796875" style="547" customWidth="1"/>
    <col min="12054" max="12054" width="21" style="547" customWidth="1"/>
    <col min="12055" max="12287" width="9.1796875" style="547"/>
    <col min="12288" max="12289" width="9.1796875" style="547" customWidth="1"/>
    <col min="12290" max="12290" width="15.54296875" style="547" customWidth="1"/>
    <col min="12291" max="12292" width="9.1796875" style="547" customWidth="1"/>
    <col min="12293" max="12293" width="19" style="547" customWidth="1"/>
    <col min="12294" max="12294" width="15.453125" style="547" customWidth="1"/>
    <col min="12295" max="12295" width="18.26953125" style="547" customWidth="1"/>
    <col min="12296" max="12296" width="9.1796875" style="547" customWidth="1"/>
    <col min="12297" max="12297" width="26.453125" style="547" customWidth="1"/>
    <col min="12298" max="12298" width="9.1796875" style="547" customWidth="1"/>
    <col min="12299" max="12299" width="7.54296875" style="547" customWidth="1"/>
    <col min="12300" max="12308" width="0" style="547" hidden="1" customWidth="1"/>
    <col min="12309" max="12309" width="9.1796875" style="547" customWidth="1"/>
    <col min="12310" max="12310" width="21" style="547" customWidth="1"/>
    <col min="12311" max="12543" width="9.1796875" style="547"/>
    <col min="12544" max="12545" width="9.1796875" style="547" customWidth="1"/>
    <col min="12546" max="12546" width="15.54296875" style="547" customWidth="1"/>
    <col min="12547" max="12548" width="9.1796875" style="547" customWidth="1"/>
    <col min="12549" max="12549" width="19" style="547" customWidth="1"/>
    <col min="12550" max="12550" width="15.453125" style="547" customWidth="1"/>
    <col min="12551" max="12551" width="18.26953125" style="547" customWidth="1"/>
    <col min="12552" max="12552" width="9.1796875" style="547" customWidth="1"/>
    <col min="12553" max="12553" width="26.453125" style="547" customWidth="1"/>
    <col min="12554" max="12554" width="9.1796875" style="547" customWidth="1"/>
    <col min="12555" max="12555" width="7.54296875" style="547" customWidth="1"/>
    <col min="12556" max="12564" width="0" style="547" hidden="1" customWidth="1"/>
    <col min="12565" max="12565" width="9.1796875" style="547" customWidth="1"/>
    <col min="12566" max="12566" width="21" style="547" customWidth="1"/>
    <col min="12567" max="12799" width="9.1796875" style="547"/>
    <col min="12800" max="12801" width="9.1796875" style="547" customWidth="1"/>
    <col min="12802" max="12802" width="15.54296875" style="547" customWidth="1"/>
    <col min="12803" max="12804" width="9.1796875" style="547" customWidth="1"/>
    <col min="12805" max="12805" width="19" style="547" customWidth="1"/>
    <col min="12806" max="12806" width="15.453125" style="547" customWidth="1"/>
    <col min="12807" max="12807" width="18.26953125" style="547" customWidth="1"/>
    <col min="12808" max="12808" width="9.1796875" style="547" customWidth="1"/>
    <col min="12809" max="12809" width="26.453125" style="547" customWidth="1"/>
    <col min="12810" max="12810" width="9.1796875" style="547" customWidth="1"/>
    <col min="12811" max="12811" width="7.54296875" style="547" customWidth="1"/>
    <col min="12812" max="12820" width="0" style="547" hidden="1" customWidth="1"/>
    <col min="12821" max="12821" width="9.1796875" style="547" customWidth="1"/>
    <col min="12822" max="12822" width="21" style="547" customWidth="1"/>
    <col min="12823" max="13055" width="9.1796875" style="547"/>
    <col min="13056" max="13057" width="9.1796875" style="547" customWidth="1"/>
    <col min="13058" max="13058" width="15.54296875" style="547" customWidth="1"/>
    <col min="13059" max="13060" width="9.1796875" style="547" customWidth="1"/>
    <col min="13061" max="13061" width="19" style="547" customWidth="1"/>
    <col min="13062" max="13062" width="15.453125" style="547" customWidth="1"/>
    <col min="13063" max="13063" width="18.26953125" style="547" customWidth="1"/>
    <col min="13064" max="13064" width="9.1796875" style="547" customWidth="1"/>
    <col min="13065" max="13065" width="26.453125" style="547" customWidth="1"/>
    <col min="13066" max="13066" width="9.1796875" style="547" customWidth="1"/>
    <col min="13067" max="13067" width="7.54296875" style="547" customWidth="1"/>
    <col min="13068" max="13076" width="0" style="547" hidden="1" customWidth="1"/>
    <col min="13077" max="13077" width="9.1796875" style="547" customWidth="1"/>
    <col min="13078" max="13078" width="21" style="547" customWidth="1"/>
    <col min="13079" max="13311" width="9.1796875" style="547"/>
    <col min="13312" max="13313" width="9.1796875" style="547" customWidth="1"/>
    <col min="13314" max="13314" width="15.54296875" style="547" customWidth="1"/>
    <col min="13315" max="13316" width="9.1796875" style="547" customWidth="1"/>
    <col min="13317" max="13317" width="19" style="547" customWidth="1"/>
    <col min="13318" max="13318" width="15.453125" style="547" customWidth="1"/>
    <col min="13319" max="13319" width="18.26953125" style="547" customWidth="1"/>
    <col min="13320" max="13320" width="9.1796875" style="547" customWidth="1"/>
    <col min="13321" max="13321" width="26.453125" style="547" customWidth="1"/>
    <col min="13322" max="13322" width="9.1796875" style="547" customWidth="1"/>
    <col min="13323" max="13323" width="7.54296875" style="547" customWidth="1"/>
    <col min="13324" max="13332" width="0" style="547" hidden="1" customWidth="1"/>
    <col min="13333" max="13333" width="9.1796875" style="547" customWidth="1"/>
    <col min="13334" max="13334" width="21" style="547" customWidth="1"/>
    <col min="13335" max="13567" width="9.1796875" style="547"/>
    <col min="13568" max="13569" width="9.1796875" style="547" customWidth="1"/>
    <col min="13570" max="13570" width="15.54296875" style="547" customWidth="1"/>
    <col min="13571" max="13572" width="9.1796875" style="547" customWidth="1"/>
    <col min="13573" max="13573" width="19" style="547" customWidth="1"/>
    <col min="13574" max="13574" width="15.453125" style="547" customWidth="1"/>
    <col min="13575" max="13575" width="18.26953125" style="547" customWidth="1"/>
    <col min="13576" max="13576" width="9.1796875" style="547" customWidth="1"/>
    <col min="13577" max="13577" width="26.453125" style="547" customWidth="1"/>
    <col min="13578" max="13578" width="9.1796875" style="547" customWidth="1"/>
    <col min="13579" max="13579" width="7.54296875" style="547" customWidth="1"/>
    <col min="13580" max="13588" width="0" style="547" hidden="1" customWidth="1"/>
    <col min="13589" max="13589" width="9.1796875" style="547" customWidth="1"/>
    <col min="13590" max="13590" width="21" style="547" customWidth="1"/>
    <col min="13591" max="13823" width="9.1796875" style="547"/>
    <col min="13824" max="13825" width="9.1796875" style="547" customWidth="1"/>
    <col min="13826" max="13826" width="15.54296875" style="547" customWidth="1"/>
    <col min="13827" max="13828" width="9.1796875" style="547" customWidth="1"/>
    <col min="13829" max="13829" width="19" style="547" customWidth="1"/>
    <col min="13830" max="13830" width="15.453125" style="547" customWidth="1"/>
    <col min="13831" max="13831" width="18.26953125" style="547" customWidth="1"/>
    <col min="13832" max="13832" width="9.1796875" style="547" customWidth="1"/>
    <col min="13833" max="13833" width="26.453125" style="547" customWidth="1"/>
    <col min="13834" max="13834" width="9.1796875" style="547" customWidth="1"/>
    <col min="13835" max="13835" width="7.54296875" style="547" customWidth="1"/>
    <col min="13836" max="13844" width="0" style="547" hidden="1" customWidth="1"/>
    <col min="13845" max="13845" width="9.1796875" style="547" customWidth="1"/>
    <col min="13846" max="13846" width="21" style="547" customWidth="1"/>
    <col min="13847" max="14079" width="9.1796875" style="547"/>
    <col min="14080" max="14081" width="9.1796875" style="547" customWidth="1"/>
    <col min="14082" max="14082" width="15.54296875" style="547" customWidth="1"/>
    <col min="14083" max="14084" width="9.1796875" style="547" customWidth="1"/>
    <col min="14085" max="14085" width="19" style="547" customWidth="1"/>
    <col min="14086" max="14086" width="15.453125" style="547" customWidth="1"/>
    <col min="14087" max="14087" width="18.26953125" style="547" customWidth="1"/>
    <col min="14088" max="14088" width="9.1796875" style="547" customWidth="1"/>
    <col min="14089" max="14089" width="26.453125" style="547" customWidth="1"/>
    <col min="14090" max="14090" width="9.1796875" style="547" customWidth="1"/>
    <col min="14091" max="14091" width="7.54296875" style="547" customWidth="1"/>
    <col min="14092" max="14100" width="0" style="547" hidden="1" customWidth="1"/>
    <col min="14101" max="14101" width="9.1796875" style="547" customWidth="1"/>
    <col min="14102" max="14102" width="21" style="547" customWidth="1"/>
    <col min="14103" max="14335" width="9.1796875" style="547"/>
    <col min="14336" max="14337" width="9.1796875" style="547" customWidth="1"/>
    <col min="14338" max="14338" width="15.54296875" style="547" customWidth="1"/>
    <col min="14339" max="14340" width="9.1796875" style="547" customWidth="1"/>
    <col min="14341" max="14341" width="19" style="547" customWidth="1"/>
    <col min="14342" max="14342" width="15.453125" style="547" customWidth="1"/>
    <col min="14343" max="14343" width="18.26953125" style="547" customWidth="1"/>
    <col min="14344" max="14344" width="9.1796875" style="547" customWidth="1"/>
    <col min="14345" max="14345" width="26.453125" style="547" customWidth="1"/>
    <col min="14346" max="14346" width="9.1796875" style="547" customWidth="1"/>
    <col min="14347" max="14347" width="7.54296875" style="547" customWidth="1"/>
    <col min="14348" max="14356" width="0" style="547" hidden="1" customWidth="1"/>
    <col min="14357" max="14357" width="9.1796875" style="547" customWidth="1"/>
    <col min="14358" max="14358" width="21" style="547" customWidth="1"/>
    <col min="14359" max="14591" width="9.1796875" style="547"/>
    <col min="14592" max="14593" width="9.1796875" style="547" customWidth="1"/>
    <col min="14594" max="14594" width="15.54296875" style="547" customWidth="1"/>
    <col min="14595" max="14596" width="9.1796875" style="547" customWidth="1"/>
    <col min="14597" max="14597" width="19" style="547" customWidth="1"/>
    <col min="14598" max="14598" width="15.453125" style="547" customWidth="1"/>
    <col min="14599" max="14599" width="18.26953125" style="547" customWidth="1"/>
    <col min="14600" max="14600" width="9.1796875" style="547" customWidth="1"/>
    <col min="14601" max="14601" width="26.453125" style="547" customWidth="1"/>
    <col min="14602" max="14602" width="9.1796875" style="547" customWidth="1"/>
    <col min="14603" max="14603" width="7.54296875" style="547" customWidth="1"/>
    <col min="14604" max="14612" width="0" style="547" hidden="1" customWidth="1"/>
    <col min="14613" max="14613" width="9.1796875" style="547" customWidth="1"/>
    <col min="14614" max="14614" width="21" style="547" customWidth="1"/>
    <col min="14615" max="14847" width="9.1796875" style="547"/>
    <col min="14848" max="14849" width="9.1796875" style="547" customWidth="1"/>
    <col min="14850" max="14850" width="15.54296875" style="547" customWidth="1"/>
    <col min="14851" max="14852" width="9.1796875" style="547" customWidth="1"/>
    <col min="14853" max="14853" width="19" style="547" customWidth="1"/>
    <col min="14854" max="14854" width="15.453125" style="547" customWidth="1"/>
    <col min="14855" max="14855" width="18.26953125" style="547" customWidth="1"/>
    <col min="14856" max="14856" width="9.1796875" style="547" customWidth="1"/>
    <col min="14857" max="14857" width="26.453125" style="547" customWidth="1"/>
    <col min="14858" max="14858" width="9.1796875" style="547" customWidth="1"/>
    <col min="14859" max="14859" width="7.54296875" style="547" customWidth="1"/>
    <col min="14860" max="14868" width="0" style="547" hidden="1" customWidth="1"/>
    <col min="14869" max="14869" width="9.1796875" style="547" customWidth="1"/>
    <col min="14870" max="14870" width="21" style="547" customWidth="1"/>
    <col min="14871" max="15103" width="9.1796875" style="547"/>
    <col min="15104" max="15105" width="9.1796875" style="547" customWidth="1"/>
    <col min="15106" max="15106" width="15.54296875" style="547" customWidth="1"/>
    <col min="15107" max="15108" width="9.1796875" style="547" customWidth="1"/>
    <col min="15109" max="15109" width="19" style="547" customWidth="1"/>
    <col min="15110" max="15110" width="15.453125" style="547" customWidth="1"/>
    <col min="15111" max="15111" width="18.26953125" style="547" customWidth="1"/>
    <col min="15112" max="15112" width="9.1796875" style="547" customWidth="1"/>
    <col min="15113" max="15113" width="26.453125" style="547" customWidth="1"/>
    <col min="15114" max="15114" width="9.1796875" style="547" customWidth="1"/>
    <col min="15115" max="15115" width="7.54296875" style="547" customWidth="1"/>
    <col min="15116" max="15124" width="0" style="547" hidden="1" customWidth="1"/>
    <col min="15125" max="15125" width="9.1796875" style="547" customWidth="1"/>
    <col min="15126" max="15126" width="21" style="547" customWidth="1"/>
    <col min="15127" max="15359" width="9.1796875" style="547"/>
    <col min="15360" max="15361" width="9.1796875" style="547" customWidth="1"/>
    <col min="15362" max="15362" width="15.54296875" style="547" customWidth="1"/>
    <col min="15363" max="15364" width="9.1796875" style="547" customWidth="1"/>
    <col min="15365" max="15365" width="19" style="547" customWidth="1"/>
    <col min="15366" max="15366" width="15.453125" style="547" customWidth="1"/>
    <col min="15367" max="15367" width="18.26953125" style="547" customWidth="1"/>
    <col min="15368" max="15368" width="9.1796875" style="547" customWidth="1"/>
    <col min="15369" max="15369" width="26.453125" style="547" customWidth="1"/>
    <col min="15370" max="15370" width="9.1796875" style="547" customWidth="1"/>
    <col min="15371" max="15371" width="7.54296875" style="547" customWidth="1"/>
    <col min="15372" max="15380" width="0" style="547" hidden="1" customWidth="1"/>
    <col min="15381" max="15381" width="9.1796875" style="547" customWidth="1"/>
    <col min="15382" max="15382" width="21" style="547" customWidth="1"/>
    <col min="15383" max="15615" width="9.1796875" style="547"/>
    <col min="15616" max="15617" width="9.1796875" style="547" customWidth="1"/>
    <col min="15618" max="15618" width="15.54296875" style="547" customWidth="1"/>
    <col min="15619" max="15620" width="9.1796875" style="547" customWidth="1"/>
    <col min="15621" max="15621" width="19" style="547" customWidth="1"/>
    <col min="15622" max="15622" width="15.453125" style="547" customWidth="1"/>
    <col min="15623" max="15623" width="18.26953125" style="547" customWidth="1"/>
    <col min="15624" max="15624" width="9.1796875" style="547" customWidth="1"/>
    <col min="15625" max="15625" width="26.453125" style="547" customWidth="1"/>
    <col min="15626" max="15626" width="9.1796875" style="547" customWidth="1"/>
    <col min="15627" max="15627" width="7.54296875" style="547" customWidth="1"/>
    <col min="15628" max="15636" width="0" style="547" hidden="1" customWidth="1"/>
    <col min="15637" max="15637" width="9.1796875" style="547" customWidth="1"/>
    <col min="15638" max="15638" width="21" style="547" customWidth="1"/>
    <col min="15639" max="15871" width="9.1796875" style="547"/>
    <col min="15872" max="15873" width="9.1796875" style="547" customWidth="1"/>
    <col min="15874" max="15874" width="15.54296875" style="547" customWidth="1"/>
    <col min="15875" max="15876" width="9.1796875" style="547" customWidth="1"/>
    <col min="15877" max="15877" width="19" style="547" customWidth="1"/>
    <col min="15878" max="15878" width="15.453125" style="547" customWidth="1"/>
    <col min="15879" max="15879" width="18.26953125" style="547" customWidth="1"/>
    <col min="15880" max="15880" width="9.1796875" style="547" customWidth="1"/>
    <col min="15881" max="15881" width="26.453125" style="547" customWidth="1"/>
    <col min="15882" max="15882" width="9.1796875" style="547" customWidth="1"/>
    <col min="15883" max="15883" width="7.54296875" style="547" customWidth="1"/>
    <col min="15884" max="15892" width="0" style="547" hidden="1" customWidth="1"/>
    <col min="15893" max="15893" width="9.1796875" style="547" customWidth="1"/>
    <col min="15894" max="15894" width="21" style="547" customWidth="1"/>
    <col min="15895" max="16127" width="9.1796875" style="547"/>
    <col min="16128" max="16129" width="9.1796875" style="547" customWidth="1"/>
    <col min="16130" max="16130" width="15.54296875" style="547" customWidth="1"/>
    <col min="16131" max="16132" width="9.1796875" style="547" customWidth="1"/>
    <col min="16133" max="16133" width="19" style="547" customWidth="1"/>
    <col min="16134" max="16134" width="15.453125" style="547" customWidth="1"/>
    <col min="16135" max="16135" width="18.26953125" style="547" customWidth="1"/>
    <col min="16136" max="16136" width="9.1796875" style="547" customWidth="1"/>
    <col min="16137" max="16137" width="26.453125" style="547" customWidth="1"/>
    <col min="16138" max="16138" width="9.1796875" style="547" customWidth="1"/>
    <col min="16139" max="16139" width="7.54296875" style="547" customWidth="1"/>
    <col min="16140" max="16148" width="0" style="547" hidden="1" customWidth="1"/>
    <col min="16149" max="16149" width="9.1796875" style="547" customWidth="1"/>
    <col min="16150" max="16150" width="21" style="547" customWidth="1"/>
    <col min="16151" max="16384" width="9.1796875" style="547"/>
  </cols>
  <sheetData>
    <row r="1" spans="8:23" hidden="1" x14ac:dyDescent="0.35">
      <c r="L1" s="869" t="s">
        <v>625</v>
      </c>
      <c r="M1" s="1724"/>
    </row>
    <row r="2" spans="8:23" hidden="1" x14ac:dyDescent="0.35">
      <c r="J2" s="541"/>
      <c r="L2" s="869" t="s">
        <v>450</v>
      </c>
      <c r="M2" s="1724"/>
      <c r="N2" s="1724"/>
    </row>
    <row r="3" spans="8:23" hidden="1" x14ac:dyDescent="0.35">
      <c r="H3" s="541"/>
      <c r="I3" s="541"/>
      <c r="J3" s="541"/>
      <c r="L3" s="869" t="s">
        <v>626</v>
      </c>
      <c r="M3" s="1724"/>
      <c r="N3" s="1724"/>
      <c r="O3" s="1724"/>
      <c r="P3" s="1724"/>
    </row>
    <row r="4" spans="8:23" hidden="1" x14ac:dyDescent="0.35">
      <c r="I4" s="541"/>
      <c r="J4" s="541"/>
      <c r="L4" s="869" t="s">
        <v>448</v>
      </c>
      <c r="M4" s="1724"/>
      <c r="N4" s="1724"/>
      <c r="O4" s="1724"/>
    </row>
    <row r="5" spans="8:23" hidden="1" x14ac:dyDescent="0.35">
      <c r="I5" s="541"/>
      <c r="J5" s="541"/>
      <c r="L5" s="869" t="s">
        <v>448</v>
      </c>
      <c r="M5" s="1724"/>
      <c r="N5" s="1724"/>
      <c r="O5" s="1724"/>
    </row>
    <row r="6" spans="8:23" hidden="1" x14ac:dyDescent="0.35">
      <c r="J6" s="541"/>
      <c r="L6" s="876" t="s">
        <v>627</v>
      </c>
      <c r="M6" s="1725"/>
      <c r="N6" s="1725"/>
    </row>
    <row r="7" spans="8:23" hidden="1" x14ac:dyDescent="0.35"/>
    <row r="8" spans="8:23" hidden="1" x14ac:dyDescent="0.35">
      <c r="L8" s="869" t="s">
        <v>446</v>
      </c>
    </row>
    <row r="9" spans="8:23" hidden="1" x14ac:dyDescent="0.35"/>
    <row r="10" spans="8:23" hidden="1" x14ac:dyDescent="0.35">
      <c r="L10" s="869" t="s">
        <v>628</v>
      </c>
    </row>
    <row r="11" spans="8:23" hidden="1" x14ac:dyDescent="0.35">
      <c r="L11" s="869"/>
    </row>
    <row r="12" spans="8:23" x14ac:dyDescent="0.35">
      <c r="M12" s="261"/>
      <c r="N12" s="261"/>
      <c r="O12" s="261"/>
      <c r="P12" s="261"/>
      <c r="Q12" s="261"/>
      <c r="R12" s="261"/>
      <c r="U12" s="3162" t="s">
        <v>625</v>
      </c>
      <c r="V12" s="3162"/>
      <c r="W12" s="3162"/>
    </row>
    <row r="13" spans="8:23" x14ac:dyDescent="0.35">
      <c r="Q13" s="877"/>
      <c r="U13" s="3162" t="s">
        <v>450</v>
      </c>
      <c r="V13" s="3162"/>
      <c r="W13" s="3162"/>
    </row>
    <row r="14" spans="8:23" x14ac:dyDescent="0.35">
      <c r="K14" s="3162" t="s">
        <v>449</v>
      </c>
      <c r="L14" s="3162"/>
      <c r="M14" s="3162"/>
      <c r="N14" s="3162"/>
      <c r="O14" s="3162"/>
      <c r="P14" s="3162"/>
      <c r="Q14" s="3162"/>
      <c r="R14" s="3162"/>
      <c r="S14" s="3162"/>
      <c r="T14" s="3162"/>
      <c r="U14" s="3162"/>
      <c r="V14" s="3162"/>
      <c r="W14" s="3162"/>
    </row>
    <row r="15" spans="8:23" x14ac:dyDescent="0.35">
      <c r="K15" s="3162" t="s">
        <v>448</v>
      </c>
      <c r="L15" s="3162"/>
      <c r="M15" s="3162"/>
      <c r="N15" s="3162"/>
      <c r="O15" s="3162"/>
      <c r="P15" s="3162"/>
      <c r="Q15" s="3162"/>
      <c r="R15" s="3162"/>
      <c r="S15" s="3162"/>
      <c r="T15" s="3162"/>
      <c r="U15" s="3162"/>
      <c r="V15" s="3162"/>
      <c r="W15" s="3162"/>
    </row>
    <row r="16" spans="8:23" x14ac:dyDescent="0.35">
      <c r="Q16" s="541"/>
      <c r="R16" s="387" t="s">
        <v>617</v>
      </c>
      <c r="U16" s="3164" t="s">
        <v>991</v>
      </c>
      <c r="V16" s="3164"/>
      <c r="W16" s="3164"/>
    </row>
    <row r="17" spans="1:23" x14ac:dyDescent="0.35">
      <c r="Q17" s="541"/>
      <c r="R17" s="1724"/>
      <c r="S17" s="1724"/>
      <c r="T17" s="1724"/>
      <c r="U17" s="1724"/>
    </row>
    <row r="18" spans="1:23" hidden="1" x14ac:dyDescent="0.35">
      <c r="L18" s="1724" t="s">
        <v>446</v>
      </c>
      <c r="Q18" s="541"/>
      <c r="R18" s="1724"/>
      <c r="S18" s="1724"/>
      <c r="T18" s="1724"/>
    </row>
    <row r="19" spans="1:23" hidden="1" x14ac:dyDescent="0.35">
      <c r="L19" s="541"/>
      <c r="Q19" s="541"/>
      <c r="R19" s="1724"/>
      <c r="S19" s="1724"/>
      <c r="T19" s="1724"/>
      <c r="U19" s="1724"/>
    </row>
    <row r="20" spans="1:23" hidden="1" x14ac:dyDescent="0.35">
      <c r="L20" s="1724" t="s">
        <v>842</v>
      </c>
      <c r="Q20" s="541"/>
      <c r="R20" s="1724"/>
      <c r="S20" s="1724"/>
      <c r="T20" s="1724"/>
    </row>
    <row r="21" spans="1:23" x14ac:dyDescent="0.35">
      <c r="J21" s="1724"/>
      <c r="K21" s="869"/>
      <c r="L21" s="1724"/>
    </row>
    <row r="22" spans="1:23" x14ac:dyDescent="0.35">
      <c r="J22" s="1724"/>
      <c r="K22" s="869"/>
      <c r="L22" s="869"/>
    </row>
    <row r="23" spans="1:23" hidden="1" x14ac:dyDescent="0.35"/>
    <row r="24" spans="1:23" ht="19.5" customHeight="1" x14ac:dyDescent="0.35">
      <c r="A24" s="2913" t="s">
        <v>629</v>
      </c>
      <c r="B24" s="2913"/>
      <c r="C24" s="2913"/>
      <c r="D24" s="2913"/>
      <c r="E24" s="2913"/>
      <c r="F24" s="2913"/>
      <c r="G24" s="2913"/>
      <c r="H24" s="2913"/>
      <c r="I24" s="2913"/>
      <c r="J24" s="2913"/>
      <c r="K24" s="2913"/>
      <c r="L24" s="2913"/>
      <c r="M24" s="2913"/>
      <c r="N24" s="2913"/>
      <c r="O24" s="2913"/>
      <c r="P24" s="2913"/>
      <c r="Q24" s="2913"/>
      <c r="R24" s="2913"/>
      <c r="S24" s="2913"/>
      <c r="T24" s="2913"/>
      <c r="U24" s="2913"/>
      <c r="V24" s="2913"/>
      <c r="W24" s="2913"/>
    </row>
    <row r="25" spans="1:23" ht="17.5" x14ac:dyDescent="0.35">
      <c r="A25" s="2913" t="s">
        <v>630</v>
      </c>
      <c r="B25" s="2913"/>
      <c r="C25" s="2913"/>
      <c r="D25" s="2913"/>
      <c r="E25" s="2913"/>
      <c r="F25" s="2913"/>
      <c r="G25" s="2913"/>
      <c r="H25" s="2913"/>
      <c r="I25" s="2913"/>
      <c r="J25" s="2913"/>
      <c r="K25" s="2913"/>
      <c r="L25" s="2913"/>
      <c r="M25" s="2913"/>
      <c r="N25" s="2913"/>
      <c r="O25" s="2913"/>
      <c r="P25" s="2913"/>
      <c r="Q25" s="2913"/>
      <c r="R25" s="2913"/>
      <c r="S25" s="2913"/>
      <c r="T25" s="2913"/>
      <c r="U25" s="2913"/>
      <c r="V25" s="2913"/>
      <c r="W25" s="2913"/>
    </row>
    <row r="26" spans="1:23" ht="17.5" hidden="1" x14ac:dyDescent="0.35">
      <c r="A26" s="2913"/>
      <c r="B26" s="2913"/>
      <c r="C26" s="2913"/>
      <c r="D26" s="2913"/>
      <c r="E26" s="2913"/>
      <c r="F26" s="2913"/>
      <c r="G26" s="2913"/>
      <c r="H26" s="2913"/>
      <c r="I26" s="2913"/>
      <c r="J26" s="2913"/>
      <c r="K26" s="2913"/>
      <c r="L26" s="2913"/>
    </row>
    <row r="27" spans="1:23" ht="17.5" x14ac:dyDescent="0.35">
      <c r="A27" s="2913" t="s">
        <v>992</v>
      </c>
      <c r="B27" s="2913"/>
      <c r="C27" s="2913"/>
      <c r="D27" s="2913"/>
      <c r="E27" s="2913"/>
      <c r="F27" s="2913"/>
      <c r="G27" s="2913"/>
      <c r="H27" s="2913"/>
      <c r="I27" s="2913"/>
      <c r="J27" s="2913"/>
      <c r="K27" s="2913"/>
      <c r="L27" s="2913"/>
      <c r="M27" s="2913"/>
      <c r="N27" s="2913"/>
      <c r="O27" s="2913"/>
      <c r="P27" s="2913"/>
      <c r="Q27" s="2913"/>
      <c r="R27" s="2913"/>
      <c r="S27" s="2913"/>
      <c r="T27" s="2913"/>
      <c r="U27" s="2913"/>
      <c r="V27" s="2913"/>
      <c r="W27" s="2913"/>
    </row>
    <row r="28" spans="1:23" ht="16" thickBot="1" x14ac:dyDescent="0.4">
      <c r="A28" s="971"/>
      <c r="B28" s="971"/>
      <c r="C28" s="971"/>
      <c r="D28" s="971"/>
      <c r="E28" s="971"/>
      <c r="F28" s="971"/>
      <c r="G28" s="971"/>
      <c r="H28" s="971"/>
      <c r="I28" s="971"/>
      <c r="J28" s="971"/>
      <c r="K28" s="3022"/>
      <c r="L28" s="3022"/>
      <c r="R28" s="3163"/>
      <c r="S28" s="3163"/>
      <c r="T28" s="3163" t="s">
        <v>631</v>
      </c>
      <c r="U28" s="3163"/>
      <c r="W28" s="541" t="s">
        <v>631</v>
      </c>
    </row>
    <row r="29" spans="1:23" x14ac:dyDescent="0.35">
      <c r="A29" s="3018" t="s">
        <v>632</v>
      </c>
      <c r="B29" s="3019"/>
      <c r="C29" s="3020"/>
      <c r="D29" s="3028" t="s">
        <v>633</v>
      </c>
      <c r="E29" s="3029"/>
      <c r="F29" s="3029"/>
      <c r="G29" s="3029"/>
      <c r="H29" s="3029"/>
      <c r="I29" s="3029"/>
      <c r="J29" s="2914"/>
      <c r="K29" s="3028" t="s">
        <v>843</v>
      </c>
      <c r="L29" s="2914"/>
      <c r="M29" s="3150" t="s">
        <v>635</v>
      </c>
      <c r="N29" s="3160" t="s">
        <v>636</v>
      </c>
      <c r="O29" s="3160" t="s">
        <v>637</v>
      </c>
      <c r="P29" s="3150" t="s">
        <v>638</v>
      </c>
      <c r="Q29" s="3152" t="s">
        <v>639</v>
      </c>
      <c r="R29" s="3154" t="s">
        <v>634</v>
      </c>
      <c r="S29" s="3155"/>
      <c r="T29" s="3154" t="s">
        <v>640</v>
      </c>
      <c r="U29" s="3155"/>
      <c r="V29" s="2914" t="s">
        <v>894</v>
      </c>
      <c r="W29" s="2914" t="s">
        <v>993</v>
      </c>
    </row>
    <row r="30" spans="1:23" ht="16" thickBot="1" x14ac:dyDescent="0.4">
      <c r="A30" s="3021" t="s">
        <v>641</v>
      </c>
      <c r="B30" s="3022"/>
      <c r="C30" s="3023"/>
      <c r="D30" s="3030"/>
      <c r="E30" s="3031"/>
      <c r="F30" s="3031"/>
      <c r="G30" s="3031"/>
      <c r="H30" s="3031"/>
      <c r="I30" s="3031"/>
      <c r="J30" s="2915"/>
      <c r="K30" s="3030"/>
      <c r="L30" s="2915"/>
      <c r="M30" s="3151"/>
      <c r="N30" s="3161"/>
      <c r="O30" s="3161"/>
      <c r="P30" s="3151"/>
      <c r="Q30" s="3153"/>
      <c r="R30" s="3156"/>
      <c r="S30" s="3157"/>
      <c r="T30" s="3156"/>
      <c r="U30" s="3157"/>
      <c r="V30" s="2915"/>
      <c r="W30" s="2915"/>
    </row>
    <row r="31" spans="1:23" ht="16" thickBot="1" x14ac:dyDescent="0.4">
      <c r="A31" s="972"/>
      <c r="B31" s="1733">
        <v>1</v>
      </c>
      <c r="C31" s="974"/>
      <c r="D31" s="972"/>
      <c r="E31" s="975"/>
      <c r="F31" s="975"/>
      <c r="G31" s="1733">
        <v>2</v>
      </c>
      <c r="H31" s="975"/>
      <c r="I31" s="975"/>
      <c r="J31" s="974"/>
      <c r="K31" s="3116">
        <v>3</v>
      </c>
      <c r="L31" s="3118"/>
      <c r="M31" s="1735"/>
      <c r="N31" s="1735"/>
      <c r="O31" s="1735"/>
      <c r="P31" s="1735"/>
      <c r="Q31" s="879"/>
      <c r="R31" s="3158">
        <v>3</v>
      </c>
      <c r="S31" s="3159"/>
      <c r="T31" s="3158">
        <v>3</v>
      </c>
      <c r="U31" s="3159"/>
      <c r="V31" s="1726">
        <v>4</v>
      </c>
      <c r="W31" s="1726">
        <v>5</v>
      </c>
    </row>
    <row r="32" spans="1:23" ht="15.65" customHeight="1" x14ac:dyDescent="0.25">
      <c r="A32" s="2968" t="s">
        <v>642</v>
      </c>
      <c r="B32" s="2969"/>
      <c r="C32" s="2970"/>
      <c r="D32" s="3144" t="s">
        <v>643</v>
      </c>
      <c r="E32" s="3145"/>
      <c r="F32" s="3145"/>
      <c r="G32" s="3145"/>
      <c r="H32" s="3145"/>
      <c r="I32" s="3145"/>
      <c r="J32" s="3146"/>
      <c r="K32" s="3108">
        <f>K34+K38+K41+K45+K51+K57+K76+K82+K94+K98</f>
        <v>76122.440999999992</v>
      </c>
      <c r="L32" s="2916"/>
      <c r="M32" s="2933">
        <v>17235.358</v>
      </c>
      <c r="N32" s="2933"/>
      <c r="O32" s="2933"/>
      <c r="P32" s="2933">
        <f>P34+P45+P51+P57+P76+P82+P98</f>
        <v>24582.394</v>
      </c>
      <c r="Q32" s="2933">
        <v>20829</v>
      </c>
      <c r="R32" s="3101">
        <f>R34+R45+R51+R57+R76+R82+R98+R41+R38+R94</f>
        <v>73596.200000000012</v>
      </c>
      <c r="S32" s="3102"/>
      <c r="T32" s="3101">
        <f>T34+T45+T51+T57+T76+T82+T98+T41+T38+T94</f>
        <v>75660.700000000012</v>
      </c>
      <c r="U32" s="3102"/>
      <c r="V32" s="2916">
        <f>V34+V38+V41+V45+V51+V57+V76+V82+V94+V98</f>
        <v>77856.865000000005</v>
      </c>
      <c r="W32" s="2916">
        <f>W34+W38+W41+W45+W51+W57+W76+W82+W94+W98</f>
        <v>79559.585999999996</v>
      </c>
    </row>
    <row r="33" spans="1:23" ht="13.9" customHeight="1" thickBot="1" x14ac:dyDescent="0.3">
      <c r="A33" s="2971"/>
      <c r="B33" s="2972"/>
      <c r="C33" s="2973"/>
      <c r="D33" s="3147"/>
      <c r="E33" s="3148"/>
      <c r="F33" s="3148"/>
      <c r="G33" s="3148"/>
      <c r="H33" s="3148"/>
      <c r="I33" s="3148"/>
      <c r="J33" s="3149"/>
      <c r="K33" s="3109"/>
      <c r="L33" s="2917"/>
      <c r="M33" s="2933"/>
      <c r="N33" s="2933"/>
      <c r="O33" s="2933"/>
      <c r="P33" s="2933"/>
      <c r="Q33" s="2933"/>
      <c r="R33" s="3103"/>
      <c r="S33" s="3104"/>
      <c r="T33" s="3103"/>
      <c r="U33" s="3104"/>
      <c r="V33" s="2917"/>
      <c r="W33" s="2917"/>
    </row>
    <row r="34" spans="1:23" ht="15" x14ac:dyDescent="0.3">
      <c r="A34" s="976" t="s">
        <v>644</v>
      </c>
      <c r="B34" s="977"/>
      <c r="C34" s="978"/>
      <c r="D34" s="3144" t="s">
        <v>645</v>
      </c>
      <c r="E34" s="3145"/>
      <c r="F34" s="3145"/>
      <c r="G34" s="3145"/>
      <c r="H34" s="3145"/>
      <c r="I34" s="3145"/>
      <c r="J34" s="3146"/>
      <c r="K34" s="3108">
        <f>K36</f>
        <v>35367.445</v>
      </c>
      <c r="L34" s="2916"/>
      <c r="M34" s="2933">
        <v>4523.7</v>
      </c>
      <c r="N34" s="2933"/>
      <c r="O34" s="2933"/>
      <c r="P34" s="2933">
        <f>P36</f>
        <v>5592.7</v>
      </c>
      <c r="Q34" s="3143">
        <v>4938.4639999999999</v>
      </c>
      <c r="R34" s="3101">
        <f>R36</f>
        <v>25200</v>
      </c>
      <c r="S34" s="3102"/>
      <c r="T34" s="3101">
        <f>T36</f>
        <v>26208</v>
      </c>
      <c r="U34" s="3102"/>
      <c r="V34" s="2916">
        <f>V36</f>
        <v>36782.142999999996</v>
      </c>
      <c r="W34" s="2916">
        <f>W36</f>
        <v>38253.428</v>
      </c>
    </row>
    <row r="35" spans="1:23" thickBot="1" x14ac:dyDescent="0.35">
      <c r="A35" s="979" t="s">
        <v>646</v>
      </c>
      <c r="B35" s="980"/>
      <c r="C35" s="981"/>
      <c r="D35" s="3147"/>
      <c r="E35" s="3148"/>
      <c r="F35" s="3148"/>
      <c r="G35" s="3148"/>
      <c r="H35" s="3148"/>
      <c r="I35" s="3148"/>
      <c r="J35" s="3149"/>
      <c r="K35" s="3109"/>
      <c r="L35" s="2917"/>
      <c r="M35" s="2933"/>
      <c r="N35" s="2933"/>
      <c r="O35" s="2933"/>
      <c r="P35" s="2933"/>
      <c r="Q35" s="3143"/>
      <c r="R35" s="3103"/>
      <c r="S35" s="3104"/>
      <c r="T35" s="3103"/>
      <c r="U35" s="3104"/>
      <c r="V35" s="2917"/>
      <c r="W35" s="2917"/>
    </row>
    <row r="36" spans="1:23" x14ac:dyDescent="0.35">
      <c r="A36" s="3018" t="s">
        <v>647</v>
      </c>
      <c r="B36" s="3019"/>
      <c r="C36" s="3020"/>
      <c r="D36" s="982"/>
      <c r="E36" s="983"/>
      <c r="F36" s="983"/>
      <c r="G36" s="983"/>
      <c r="H36" s="983"/>
      <c r="I36" s="983"/>
      <c r="J36" s="984"/>
      <c r="K36" s="3105">
        <v>35367.445</v>
      </c>
      <c r="L36" s="2918"/>
      <c r="M36" s="2933">
        <v>4523.7</v>
      </c>
      <c r="N36" s="2933">
        <v>534.5</v>
      </c>
      <c r="O36" s="2933">
        <v>534.5</v>
      </c>
      <c r="P36" s="2933">
        <f>M36+N36+O36</f>
        <v>5592.7</v>
      </c>
      <c r="Q36" s="3143">
        <v>4938.4639999999999</v>
      </c>
      <c r="R36" s="3110">
        <v>25200</v>
      </c>
      <c r="S36" s="3111"/>
      <c r="T36" s="3110">
        <v>26208</v>
      </c>
      <c r="U36" s="3111"/>
      <c r="V36" s="2918">
        <v>36782.142999999996</v>
      </c>
      <c r="W36" s="2918">
        <v>38253.428</v>
      </c>
    </row>
    <row r="37" spans="1:23" ht="16" thickBot="1" x14ac:dyDescent="0.4">
      <c r="A37" s="3021"/>
      <c r="B37" s="3022"/>
      <c r="C37" s="3023"/>
      <c r="D37" s="985" t="s">
        <v>648</v>
      </c>
      <c r="E37" s="986"/>
      <c r="F37" s="986"/>
      <c r="G37" s="986"/>
      <c r="H37" s="986"/>
      <c r="I37" s="986"/>
      <c r="J37" s="987"/>
      <c r="K37" s="3107"/>
      <c r="L37" s="2919"/>
      <c r="M37" s="2933"/>
      <c r="N37" s="2933"/>
      <c r="O37" s="2933"/>
      <c r="P37" s="2933"/>
      <c r="Q37" s="3143"/>
      <c r="R37" s="3114"/>
      <c r="S37" s="3115"/>
      <c r="T37" s="3114"/>
      <c r="U37" s="3115"/>
      <c r="V37" s="2919"/>
      <c r="W37" s="2919"/>
    </row>
    <row r="38" spans="1:23" ht="15.65" customHeight="1" x14ac:dyDescent="0.25">
      <c r="A38" s="3040" t="s">
        <v>649</v>
      </c>
      <c r="B38" s="3041"/>
      <c r="C38" s="3042"/>
      <c r="D38" s="3137" t="s">
        <v>650</v>
      </c>
      <c r="E38" s="3138"/>
      <c r="F38" s="3138"/>
      <c r="G38" s="3138"/>
      <c r="H38" s="3138"/>
      <c r="I38" s="3138"/>
      <c r="J38" s="3139"/>
      <c r="K38" s="3108">
        <f>K40</f>
        <v>948.322</v>
      </c>
      <c r="L38" s="2916"/>
      <c r="M38" s="2933">
        <v>9794</v>
      </c>
      <c r="N38" s="2933"/>
      <c r="O38" s="2933"/>
      <c r="P38" s="2933" t="e">
        <f>#REF!+P41+P42</f>
        <v>#REF!</v>
      </c>
      <c r="Q38" s="3127">
        <v>12087.288329999999</v>
      </c>
      <c r="R38" s="3101">
        <f>R40</f>
        <v>0</v>
      </c>
      <c r="S38" s="3102"/>
      <c r="T38" s="3101">
        <f>T40</f>
        <v>0</v>
      </c>
      <c r="U38" s="3102"/>
      <c r="V38" s="2916">
        <f>V40</f>
        <v>948.322</v>
      </c>
      <c r="W38" s="2916"/>
    </row>
    <row r="39" spans="1:23" ht="16.149999999999999" customHeight="1" thickBot="1" x14ac:dyDescent="0.3">
      <c r="A39" s="3043"/>
      <c r="B39" s="3044"/>
      <c r="C39" s="3045"/>
      <c r="D39" s="3140"/>
      <c r="E39" s="3141"/>
      <c r="F39" s="3141"/>
      <c r="G39" s="3141"/>
      <c r="H39" s="3141"/>
      <c r="I39" s="3141"/>
      <c r="J39" s="3142"/>
      <c r="K39" s="3109"/>
      <c r="L39" s="2917"/>
      <c r="M39" s="2933"/>
      <c r="N39" s="2933"/>
      <c r="O39" s="2933"/>
      <c r="P39" s="2933"/>
      <c r="Q39" s="3127"/>
      <c r="R39" s="3103"/>
      <c r="S39" s="3104"/>
      <c r="T39" s="3103"/>
      <c r="U39" s="3104"/>
      <c r="V39" s="2917"/>
      <c r="W39" s="2917"/>
    </row>
    <row r="40" spans="1:23" ht="31.15" customHeight="1" thickBot="1" x14ac:dyDescent="0.4">
      <c r="A40" s="3131" t="s">
        <v>651</v>
      </c>
      <c r="B40" s="3132"/>
      <c r="C40" s="3133"/>
      <c r="D40" s="3134" t="s">
        <v>652</v>
      </c>
      <c r="E40" s="3135"/>
      <c r="F40" s="3135"/>
      <c r="G40" s="3135"/>
      <c r="H40" s="3135"/>
      <c r="I40" s="3135"/>
      <c r="J40" s="3136"/>
      <c r="K40" s="3119">
        <v>948.322</v>
      </c>
      <c r="L40" s="3120"/>
      <c r="M40" s="1728">
        <v>124</v>
      </c>
      <c r="N40" s="1728"/>
      <c r="O40" s="1728"/>
      <c r="P40" s="1728">
        <f>M40+N40+O40</f>
        <v>124</v>
      </c>
      <c r="Q40" s="1732">
        <v>206.22337999999999</v>
      </c>
      <c r="R40" s="3121"/>
      <c r="S40" s="3122"/>
      <c r="T40" s="3121"/>
      <c r="U40" s="3122"/>
      <c r="V40" s="1731">
        <v>948.322</v>
      </c>
      <c r="W40" s="1731"/>
    </row>
    <row r="41" spans="1:23" ht="15.65" customHeight="1" x14ac:dyDescent="0.25">
      <c r="A41" s="3040" t="s">
        <v>653</v>
      </c>
      <c r="B41" s="3041"/>
      <c r="C41" s="3042"/>
      <c r="D41" s="3046" t="s">
        <v>654</v>
      </c>
      <c r="E41" s="3047"/>
      <c r="F41" s="3047"/>
      <c r="G41" s="3047"/>
      <c r="H41" s="3047"/>
      <c r="I41" s="3047"/>
      <c r="J41" s="3048"/>
      <c r="K41" s="3108">
        <f>K44</f>
        <v>509</v>
      </c>
      <c r="L41" s="2916"/>
      <c r="M41" s="2933">
        <v>9794</v>
      </c>
      <c r="N41" s="2933"/>
      <c r="O41" s="2933"/>
      <c r="P41" s="2933">
        <f>P44+P45+P46</f>
        <v>15318</v>
      </c>
      <c r="Q41" s="3127">
        <v>12087.288329999999</v>
      </c>
      <c r="R41" s="3101">
        <f>R44</f>
        <v>75.8</v>
      </c>
      <c r="S41" s="3102"/>
      <c r="T41" s="3101">
        <f>T44</f>
        <v>80</v>
      </c>
      <c r="U41" s="3102"/>
      <c r="V41" s="2916">
        <f>V44</f>
        <v>529.36</v>
      </c>
      <c r="W41" s="2916">
        <f>W44</f>
        <v>563.81600000000003</v>
      </c>
    </row>
    <row r="42" spans="1:23" ht="16.149999999999999" customHeight="1" thickBot="1" x14ac:dyDescent="0.3">
      <c r="A42" s="3043"/>
      <c r="B42" s="3044"/>
      <c r="C42" s="3045"/>
      <c r="D42" s="3049"/>
      <c r="E42" s="3050"/>
      <c r="F42" s="3050"/>
      <c r="G42" s="3050"/>
      <c r="H42" s="3050"/>
      <c r="I42" s="3050"/>
      <c r="J42" s="3051"/>
      <c r="K42" s="3109"/>
      <c r="L42" s="2917"/>
      <c r="M42" s="2933"/>
      <c r="N42" s="2933"/>
      <c r="O42" s="2933"/>
      <c r="P42" s="2933"/>
      <c r="Q42" s="3127"/>
      <c r="R42" s="3103"/>
      <c r="S42" s="3104"/>
      <c r="T42" s="3103"/>
      <c r="U42" s="3104"/>
      <c r="V42" s="2917"/>
      <c r="W42" s="2917"/>
    </row>
    <row r="43" spans="1:23" ht="16.149999999999999" hidden="1" customHeight="1" thickBot="1" x14ac:dyDescent="0.4">
      <c r="A43" s="979"/>
      <c r="B43" s="980"/>
      <c r="C43" s="980"/>
      <c r="D43" s="988"/>
      <c r="E43" s="989"/>
      <c r="F43" s="989"/>
      <c r="G43" s="989"/>
      <c r="H43" s="989"/>
      <c r="I43" s="989"/>
      <c r="J43" s="990"/>
      <c r="K43" s="991"/>
      <c r="L43" s="1727"/>
      <c r="M43" s="1792"/>
      <c r="N43" s="1792"/>
      <c r="O43" s="1792"/>
      <c r="P43" s="1792"/>
      <c r="Q43" s="1793"/>
      <c r="R43" s="446"/>
      <c r="S43" s="1729"/>
      <c r="T43" s="446"/>
      <c r="U43" s="1729"/>
      <c r="V43" s="1727"/>
      <c r="W43" s="1727"/>
    </row>
    <row r="44" spans="1:23" ht="16" thickBot="1" x14ac:dyDescent="0.4">
      <c r="A44" s="3116" t="s">
        <v>655</v>
      </c>
      <c r="B44" s="3117"/>
      <c r="C44" s="3118"/>
      <c r="D44" s="3128" t="s">
        <v>656</v>
      </c>
      <c r="E44" s="3129"/>
      <c r="F44" s="3129"/>
      <c r="G44" s="3129"/>
      <c r="H44" s="3129"/>
      <c r="I44" s="3129"/>
      <c r="J44" s="3130"/>
      <c r="K44" s="3119">
        <v>509</v>
      </c>
      <c r="L44" s="3120"/>
      <c r="M44" s="1728">
        <v>124</v>
      </c>
      <c r="N44" s="1728"/>
      <c r="O44" s="1728"/>
      <c r="P44" s="1728">
        <f>M44+N44+O44</f>
        <v>124</v>
      </c>
      <c r="Q44" s="1732">
        <v>206.22337999999999</v>
      </c>
      <c r="R44" s="3121">
        <v>75.8</v>
      </c>
      <c r="S44" s="3122"/>
      <c r="T44" s="3121">
        <v>80</v>
      </c>
      <c r="U44" s="3122"/>
      <c r="V44" s="1731">
        <v>529.36</v>
      </c>
      <c r="W44" s="1731">
        <v>563.81600000000003</v>
      </c>
    </row>
    <row r="45" spans="1:23" ht="15.65" customHeight="1" x14ac:dyDescent="0.25">
      <c r="A45" s="3040" t="s">
        <v>657</v>
      </c>
      <c r="B45" s="3041"/>
      <c r="C45" s="3042"/>
      <c r="D45" s="3046" t="s">
        <v>658</v>
      </c>
      <c r="E45" s="3047"/>
      <c r="F45" s="3047"/>
      <c r="G45" s="3047"/>
      <c r="H45" s="3047"/>
      <c r="I45" s="3047"/>
      <c r="J45" s="3048"/>
      <c r="K45" s="3108">
        <f>K48+K50+K49</f>
        <v>36986.9</v>
      </c>
      <c r="L45" s="2916"/>
      <c r="M45" s="2933">
        <v>9794</v>
      </c>
      <c r="N45" s="2933"/>
      <c r="O45" s="2933"/>
      <c r="P45" s="2933">
        <f>P48+P49+P50</f>
        <v>15194</v>
      </c>
      <c r="Q45" s="3127">
        <v>12087.288329999999</v>
      </c>
      <c r="R45" s="3101">
        <f>R48+R50+R49</f>
        <v>44797.8</v>
      </c>
      <c r="S45" s="3102"/>
      <c r="T45" s="3101">
        <f>T48+T50+T49</f>
        <v>46588.6</v>
      </c>
      <c r="U45" s="3102"/>
      <c r="V45" s="2916">
        <f>V48+V50</f>
        <v>37760.94</v>
      </c>
      <c r="W45" s="2916">
        <f>W48+W50</f>
        <v>38867.346000000005</v>
      </c>
    </row>
    <row r="46" spans="1:23" ht="16.149999999999999" customHeight="1" thickBot="1" x14ac:dyDescent="0.3">
      <c r="A46" s="3043"/>
      <c r="B46" s="3044"/>
      <c r="C46" s="3045"/>
      <c r="D46" s="3049"/>
      <c r="E46" s="3050"/>
      <c r="F46" s="3050"/>
      <c r="G46" s="3050"/>
      <c r="H46" s="3050"/>
      <c r="I46" s="3050"/>
      <c r="J46" s="3051"/>
      <c r="K46" s="3109"/>
      <c r="L46" s="2917"/>
      <c r="M46" s="2933"/>
      <c r="N46" s="2933"/>
      <c r="O46" s="2933"/>
      <c r="P46" s="2933"/>
      <c r="Q46" s="3127"/>
      <c r="R46" s="3103"/>
      <c r="S46" s="3104"/>
      <c r="T46" s="3103"/>
      <c r="U46" s="3104"/>
      <c r="V46" s="2917"/>
      <c r="W46" s="2917"/>
    </row>
    <row r="47" spans="1:23" ht="16.149999999999999" hidden="1" customHeight="1" thickBot="1" x14ac:dyDescent="0.4">
      <c r="A47" s="979"/>
      <c r="B47" s="980"/>
      <c r="C47" s="980"/>
      <c r="D47" s="993"/>
      <c r="E47" s="994"/>
      <c r="F47" s="994"/>
      <c r="G47" s="994"/>
      <c r="H47" s="994"/>
      <c r="I47" s="994"/>
      <c r="J47" s="995"/>
      <c r="K47" s="991"/>
      <c r="L47" s="1727"/>
      <c r="M47" s="1792"/>
      <c r="N47" s="1792"/>
      <c r="O47" s="1792"/>
      <c r="P47" s="1792"/>
      <c r="Q47" s="1793"/>
      <c r="R47" s="446"/>
      <c r="S47" s="1729"/>
      <c r="T47" s="446"/>
      <c r="U47" s="1729"/>
      <c r="V47" s="1727"/>
      <c r="W47" s="1727"/>
    </row>
    <row r="48" spans="1:23" ht="16" thickBot="1" x14ac:dyDescent="0.4">
      <c r="A48" s="3116" t="s">
        <v>659</v>
      </c>
      <c r="B48" s="3117"/>
      <c r="C48" s="3118"/>
      <c r="D48" s="972" t="s">
        <v>660</v>
      </c>
      <c r="E48" s="975"/>
      <c r="F48" s="975"/>
      <c r="G48" s="975"/>
      <c r="H48" s="975"/>
      <c r="I48" s="975"/>
      <c r="J48" s="974"/>
      <c r="K48" s="3119">
        <v>5166</v>
      </c>
      <c r="L48" s="3120"/>
      <c r="M48" s="1728">
        <v>124</v>
      </c>
      <c r="N48" s="1728"/>
      <c r="O48" s="1728"/>
      <c r="P48" s="1728">
        <f>M48+N48+O48</f>
        <v>124</v>
      </c>
      <c r="Q48" s="1732">
        <v>206.22337999999999</v>
      </c>
      <c r="R48" s="3121">
        <v>3816</v>
      </c>
      <c r="S48" s="3122"/>
      <c r="T48" s="3121">
        <v>3968.6</v>
      </c>
      <c r="U48" s="3122"/>
      <c r="V48" s="1731">
        <v>5372.64</v>
      </c>
      <c r="W48" s="1731">
        <v>5587.5460000000003</v>
      </c>
    </row>
    <row r="49" spans="1:23" ht="15.65" hidden="1" customHeight="1" thickBot="1" x14ac:dyDescent="0.4">
      <c r="A49" s="3116" t="s">
        <v>661</v>
      </c>
      <c r="B49" s="3117"/>
      <c r="C49" s="3118"/>
      <c r="D49" s="996" t="s">
        <v>662</v>
      </c>
      <c r="E49" s="997"/>
      <c r="F49" s="997"/>
      <c r="G49" s="997"/>
      <c r="H49" s="997"/>
      <c r="I49" s="997"/>
      <c r="J49" s="998"/>
      <c r="K49" s="3119"/>
      <c r="L49" s="3120"/>
      <c r="M49" s="1728">
        <v>1970</v>
      </c>
      <c r="N49" s="1728">
        <v>700</v>
      </c>
      <c r="O49" s="1728">
        <v>700</v>
      </c>
      <c r="P49" s="1728">
        <f>M49+N49+O49</f>
        <v>3370</v>
      </c>
      <c r="Q49" s="1732">
        <v>2811.7408799999998</v>
      </c>
      <c r="R49" s="3121">
        <v>9783.7999999999993</v>
      </c>
      <c r="S49" s="3122"/>
      <c r="T49" s="3121">
        <v>10175</v>
      </c>
      <c r="U49" s="3122"/>
      <c r="V49" s="1731"/>
      <c r="W49" s="1731"/>
    </row>
    <row r="50" spans="1:23" ht="16" thickBot="1" x14ac:dyDescent="0.4">
      <c r="A50" s="3116" t="s">
        <v>663</v>
      </c>
      <c r="B50" s="3117"/>
      <c r="C50" s="3118"/>
      <c r="D50" s="972" t="s">
        <v>664</v>
      </c>
      <c r="E50" s="975"/>
      <c r="F50" s="975"/>
      <c r="G50" s="975"/>
      <c r="H50" s="975"/>
      <c r="I50" s="975"/>
      <c r="J50" s="974"/>
      <c r="K50" s="3119">
        <v>31820.9</v>
      </c>
      <c r="L50" s="3120"/>
      <c r="M50" s="1728">
        <v>7700</v>
      </c>
      <c r="N50" s="1728">
        <v>2000</v>
      </c>
      <c r="O50" s="1728">
        <v>2000</v>
      </c>
      <c r="P50" s="1728">
        <f>M50+N50+O50</f>
        <v>11700</v>
      </c>
      <c r="Q50" s="1732">
        <v>9069.3240700000006</v>
      </c>
      <c r="R50" s="3121">
        <v>31198</v>
      </c>
      <c r="S50" s="3122"/>
      <c r="T50" s="3121">
        <v>32445</v>
      </c>
      <c r="U50" s="3122"/>
      <c r="V50" s="1731">
        <v>32388.3</v>
      </c>
      <c r="W50" s="1731">
        <v>33279.800000000003</v>
      </c>
    </row>
    <row r="51" spans="1:23" ht="15.65" customHeight="1" x14ac:dyDescent="0.25">
      <c r="A51" s="3040" t="s">
        <v>665</v>
      </c>
      <c r="B51" s="3041"/>
      <c r="C51" s="3042"/>
      <c r="D51" s="3046" t="s">
        <v>666</v>
      </c>
      <c r="E51" s="3047"/>
      <c r="F51" s="3047"/>
      <c r="G51" s="3047"/>
      <c r="H51" s="3047"/>
      <c r="I51" s="3047"/>
      <c r="J51" s="3048"/>
      <c r="K51" s="3108">
        <f>K53</f>
        <v>5</v>
      </c>
      <c r="L51" s="2916"/>
      <c r="M51" s="2933">
        <v>17</v>
      </c>
      <c r="N51" s="2933"/>
      <c r="O51" s="2933"/>
      <c r="P51" s="2933">
        <f>M51+N51+O51</f>
        <v>17</v>
      </c>
      <c r="Q51" s="2933">
        <v>3.9649999999999999</v>
      </c>
      <c r="R51" s="3101">
        <f>R53</f>
        <v>8</v>
      </c>
      <c r="S51" s="3102"/>
      <c r="T51" s="3101">
        <f>T53</f>
        <v>10</v>
      </c>
      <c r="U51" s="3102"/>
      <c r="V51" s="2916">
        <v>5</v>
      </c>
      <c r="W51" s="2916">
        <v>5</v>
      </c>
    </row>
    <row r="52" spans="1:23" ht="13.9" customHeight="1" thickBot="1" x14ac:dyDescent="0.3">
      <c r="A52" s="3043"/>
      <c r="B52" s="3044"/>
      <c r="C52" s="3045"/>
      <c r="D52" s="3049"/>
      <c r="E52" s="3050"/>
      <c r="F52" s="3050"/>
      <c r="G52" s="3050"/>
      <c r="H52" s="3050"/>
      <c r="I52" s="3050"/>
      <c r="J52" s="3051"/>
      <c r="K52" s="3109"/>
      <c r="L52" s="2917"/>
      <c r="M52" s="2933"/>
      <c r="N52" s="2933"/>
      <c r="O52" s="2933"/>
      <c r="P52" s="2933"/>
      <c r="Q52" s="2933"/>
      <c r="R52" s="3103"/>
      <c r="S52" s="3104"/>
      <c r="T52" s="3103"/>
      <c r="U52" s="3104"/>
      <c r="V52" s="2917"/>
      <c r="W52" s="2917"/>
    </row>
    <row r="53" spans="1:23" x14ac:dyDescent="0.35">
      <c r="A53" s="3028" t="s">
        <v>667</v>
      </c>
      <c r="B53" s="3029"/>
      <c r="C53" s="2914"/>
      <c r="D53" s="982" t="s">
        <v>668</v>
      </c>
      <c r="E53" s="983"/>
      <c r="F53" s="983"/>
      <c r="G53" s="983"/>
      <c r="H53" s="983"/>
      <c r="I53" s="983"/>
      <c r="J53" s="983"/>
      <c r="K53" s="3105">
        <v>5</v>
      </c>
      <c r="L53" s="2918"/>
      <c r="M53" s="2933">
        <v>17</v>
      </c>
      <c r="N53" s="2933"/>
      <c r="O53" s="2933"/>
      <c r="P53" s="2933">
        <f>M53+N53+O53</f>
        <v>17</v>
      </c>
      <c r="Q53" s="2933">
        <v>3.9649999999999999</v>
      </c>
      <c r="R53" s="3110">
        <v>8</v>
      </c>
      <c r="S53" s="3111"/>
      <c r="T53" s="3110">
        <v>10</v>
      </c>
      <c r="U53" s="3111"/>
      <c r="V53" s="2918">
        <v>5</v>
      </c>
      <c r="W53" s="2918">
        <v>5</v>
      </c>
    </row>
    <row r="54" spans="1:23" x14ac:dyDescent="0.35">
      <c r="A54" s="3053"/>
      <c r="B54" s="3054"/>
      <c r="C54" s="3055"/>
      <c r="D54" s="996" t="s">
        <v>669</v>
      </c>
      <c r="E54" s="997"/>
      <c r="F54" s="997"/>
      <c r="G54" s="997"/>
      <c r="H54" s="997"/>
      <c r="I54" s="997"/>
      <c r="J54" s="997"/>
      <c r="K54" s="3106"/>
      <c r="L54" s="2920"/>
      <c r="M54" s="2933"/>
      <c r="N54" s="2933"/>
      <c r="O54" s="2933"/>
      <c r="P54" s="2933"/>
      <c r="Q54" s="2933"/>
      <c r="R54" s="3112"/>
      <c r="S54" s="3113"/>
      <c r="T54" s="3112"/>
      <c r="U54" s="3113"/>
      <c r="V54" s="2920"/>
      <c r="W54" s="2920"/>
    </row>
    <row r="55" spans="1:23" x14ac:dyDescent="0.35">
      <c r="A55" s="3053"/>
      <c r="B55" s="3054"/>
      <c r="C55" s="3055"/>
      <c r="D55" s="996" t="s">
        <v>670</v>
      </c>
      <c r="E55" s="997"/>
      <c r="F55" s="997"/>
      <c r="G55" s="997"/>
      <c r="H55" s="997"/>
      <c r="I55" s="997"/>
      <c r="J55" s="997"/>
      <c r="K55" s="3106"/>
      <c r="L55" s="2920"/>
      <c r="M55" s="2933"/>
      <c r="N55" s="2933"/>
      <c r="O55" s="2933"/>
      <c r="P55" s="2933"/>
      <c r="Q55" s="2933"/>
      <c r="R55" s="3112"/>
      <c r="S55" s="3113"/>
      <c r="T55" s="3112"/>
      <c r="U55" s="3113"/>
      <c r="V55" s="2920"/>
      <c r="W55" s="2920"/>
    </row>
    <row r="56" spans="1:23" ht="16" thickBot="1" x14ac:dyDescent="0.4">
      <c r="A56" s="3030"/>
      <c r="B56" s="3031"/>
      <c r="C56" s="2915"/>
      <c r="D56" s="985" t="s">
        <v>671</v>
      </c>
      <c r="E56" s="986"/>
      <c r="F56" s="986"/>
      <c r="G56" s="986"/>
      <c r="H56" s="986"/>
      <c r="I56" s="986"/>
      <c r="J56" s="986"/>
      <c r="K56" s="3107"/>
      <c r="L56" s="2919"/>
      <c r="M56" s="2933"/>
      <c r="N56" s="2933"/>
      <c r="O56" s="2933"/>
      <c r="P56" s="2933"/>
      <c r="Q56" s="2933"/>
      <c r="R56" s="3114"/>
      <c r="S56" s="3115"/>
      <c r="T56" s="3114"/>
      <c r="U56" s="3115"/>
      <c r="V56" s="2919"/>
      <c r="W56" s="2919"/>
    </row>
    <row r="57" spans="1:23" ht="15" x14ac:dyDescent="0.3">
      <c r="A57" s="3040" t="s">
        <v>672</v>
      </c>
      <c r="B57" s="3041"/>
      <c r="C57" s="3042"/>
      <c r="D57" s="976" t="s">
        <v>673</v>
      </c>
      <c r="E57" s="977"/>
      <c r="F57" s="977"/>
      <c r="G57" s="977"/>
      <c r="H57" s="977"/>
      <c r="I57" s="977"/>
      <c r="J57" s="978"/>
      <c r="K57" s="3010">
        <f>K60+K64+K72+K68</f>
        <v>1723.7</v>
      </c>
      <c r="L57" s="2911"/>
      <c r="M57" s="2933">
        <v>2183.6579999999999</v>
      </c>
      <c r="N57" s="2933"/>
      <c r="O57" s="2933"/>
      <c r="P57" s="2933">
        <f>P60+P64+P72</f>
        <v>2913.6940000000004</v>
      </c>
      <c r="Q57" s="2944">
        <v>2859.2967100000001</v>
      </c>
      <c r="R57" s="3095">
        <f>R60+R64+R72+R68</f>
        <v>1933</v>
      </c>
      <c r="S57" s="3096"/>
      <c r="T57" s="3095">
        <f>T60+T64+T72+T68</f>
        <v>1975</v>
      </c>
      <c r="U57" s="3096"/>
      <c r="V57" s="2911">
        <f>V68+V72</f>
        <v>1761.1</v>
      </c>
      <c r="W57" s="2911">
        <f>W68+W72</f>
        <v>1799.9960000000001</v>
      </c>
    </row>
    <row r="58" spans="1:23" ht="15" x14ac:dyDescent="0.3">
      <c r="A58" s="3092"/>
      <c r="B58" s="3093"/>
      <c r="C58" s="3094"/>
      <c r="D58" s="999" t="s">
        <v>674</v>
      </c>
      <c r="E58" s="1000"/>
      <c r="F58" s="1000"/>
      <c r="G58" s="1000"/>
      <c r="H58" s="1000"/>
      <c r="I58" s="1000"/>
      <c r="J58" s="1001"/>
      <c r="K58" s="3011"/>
      <c r="L58" s="2921"/>
      <c r="M58" s="2933"/>
      <c r="N58" s="2933"/>
      <c r="O58" s="2933"/>
      <c r="P58" s="2933"/>
      <c r="Q58" s="2944"/>
      <c r="R58" s="3097"/>
      <c r="S58" s="3098"/>
      <c r="T58" s="3097"/>
      <c r="U58" s="3098"/>
      <c r="V58" s="2921"/>
      <c r="W58" s="2921"/>
    </row>
    <row r="59" spans="1:23" thickBot="1" x14ac:dyDescent="0.35">
      <c r="A59" s="3043"/>
      <c r="B59" s="3044"/>
      <c r="C59" s="3045"/>
      <c r="D59" s="979" t="s">
        <v>675</v>
      </c>
      <c r="E59" s="980"/>
      <c r="F59" s="980"/>
      <c r="G59" s="980"/>
      <c r="H59" s="980"/>
      <c r="I59" s="980"/>
      <c r="J59" s="981"/>
      <c r="K59" s="3012"/>
      <c r="L59" s="2912"/>
      <c r="M59" s="2933"/>
      <c r="N59" s="2933"/>
      <c r="O59" s="2933"/>
      <c r="P59" s="2933"/>
      <c r="Q59" s="2944"/>
      <c r="R59" s="3099"/>
      <c r="S59" s="3100"/>
      <c r="T59" s="3099"/>
      <c r="U59" s="3100"/>
      <c r="V59" s="2912"/>
      <c r="W59" s="2912"/>
    </row>
    <row r="60" spans="1:23" ht="15.65" hidden="1" customHeight="1" thickBot="1" x14ac:dyDescent="0.4">
      <c r="A60" s="3028" t="s">
        <v>676</v>
      </c>
      <c r="B60" s="3029"/>
      <c r="C60" s="2914"/>
      <c r="D60" s="982" t="s">
        <v>677</v>
      </c>
      <c r="E60" s="983"/>
      <c r="F60" s="983"/>
      <c r="G60" s="983"/>
      <c r="H60" s="983"/>
      <c r="I60" s="983"/>
      <c r="J60" s="984"/>
      <c r="K60" s="3024"/>
      <c r="L60" s="2922"/>
      <c r="M60" s="2933">
        <v>1030</v>
      </c>
      <c r="N60" s="2933">
        <v>140</v>
      </c>
      <c r="O60" s="2933">
        <v>140</v>
      </c>
      <c r="P60" s="2933">
        <f>M60+N60+O60</f>
        <v>1310</v>
      </c>
      <c r="Q60" s="2944">
        <v>1430.7293099999999</v>
      </c>
      <c r="R60" s="2940"/>
      <c r="S60" s="2941"/>
      <c r="T60" s="2940"/>
      <c r="U60" s="2941"/>
      <c r="V60" s="2922"/>
      <c r="W60" s="2922"/>
    </row>
    <row r="61" spans="1:23" ht="15.65" hidden="1" customHeight="1" thickBot="1" x14ac:dyDescent="0.4">
      <c r="A61" s="3053"/>
      <c r="B61" s="3054"/>
      <c r="C61" s="3055"/>
      <c r="D61" s="996" t="s">
        <v>678</v>
      </c>
      <c r="E61" s="997"/>
      <c r="F61" s="997"/>
      <c r="G61" s="997"/>
      <c r="H61" s="997"/>
      <c r="I61" s="997"/>
      <c r="J61" s="998"/>
      <c r="K61" s="3056"/>
      <c r="L61" s="2923"/>
      <c r="M61" s="2933"/>
      <c r="N61" s="2933"/>
      <c r="O61" s="2933"/>
      <c r="P61" s="2933"/>
      <c r="Q61" s="2944"/>
      <c r="R61" s="2942"/>
      <c r="S61" s="2943"/>
      <c r="T61" s="2942"/>
      <c r="U61" s="2943"/>
      <c r="V61" s="2923"/>
      <c r="W61" s="2923"/>
    </row>
    <row r="62" spans="1:23" ht="15.65" hidden="1" customHeight="1" thickBot="1" x14ac:dyDescent="0.4">
      <c r="A62" s="3053"/>
      <c r="B62" s="3054"/>
      <c r="C62" s="3055"/>
      <c r="D62" s="996" t="s">
        <v>679</v>
      </c>
      <c r="E62" s="997"/>
      <c r="F62" s="997"/>
      <c r="G62" s="997"/>
      <c r="H62" s="997"/>
      <c r="I62" s="997"/>
      <c r="J62" s="998"/>
      <c r="K62" s="3056"/>
      <c r="L62" s="2923"/>
      <c r="M62" s="2933"/>
      <c r="N62" s="2933"/>
      <c r="O62" s="2933"/>
      <c r="P62" s="2933"/>
      <c r="Q62" s="2944"/>
      <c r="R62" s="2942"/>
      <c r="S62" s="2943"/>
      <c r="T62" s="2942"/>
      <c r="U62" s="2943"/>
      <c r="V62" s="2923"/>
      <c r="W62" s="2923"/>
    </row>
    <row r="63" spans="1:23" ht="15.65" hidden="1" customHeight="1" thickBot="1" x14ac:dyDescent="0.4">
      <c r="A63" s="3030"/>
      <c r="B63" s="3031"/>
      <c r="C63" s="2915"/>
      <c r="D63" s="985" t="s">
        <v>680</v>
      </c>
      <c r="E63" s="986"/>
      <c r="F63" s="986"/>
      <c r="G63" s="986"/>
      <c r="H63" s="986"/>
      <c r="I63" s="986"/>
      <c r="J63" s="987"/>
      <c r="K63" s="3025"/>
      <c r="L63" s="2924"/>
      <c r="M63" s="2933"/>
      <c r="N63" s="2933"/>
      <c r="O63" s="2933"/>
      <c r="P63" s="2933"/>
      <c r="Q63" s="2944"/>
      <c r="R63" s="2950"/>
      <c r="S63" s="2951"/>
      <c r="T63" s="2950"/>
      <c r="U63" s="2951"/>
      <c r="V63" s="2924"/>
      <c r="W63" s="2924"/>
    </row>
    <row r="64" spans="1:23" ht="15.65" hidden="1" customHeight="1" thickBot="1" x14ac:dyDescent="0.4">
      <c r="A64" s="3028" t="s">
        <v>681</v>
      </c>
      <c r="B64" s="3029"/>
      <c r="C64" s="2914"/>
      <c r="D64" s="982" t="s">
        <v>682</v>
      </c>
      <c r="E64" s="983"/>
      <c r="F64" s="983"/>
      <c r="G64" s="983"/>
      <c r="H64" s="983"/>
      <c r="I64" s="983"/>
      <c r="J64" s="984"/>
      <c r="K64" s="3024"/>
      <c r="L64" s="2922"/>
      <c r="M64" s="2933">
        <v>928.55</v>
      </c>
      <c r="N64" s="2933">
        <v>200</v>
      </c>
      <c r="O64" s="2933">
        <v>200</v>
      </c>
      <c r="P64" s="2933">
        <f>M64+N64+O64</f>
        <v>1328.55</v>
      </c>
      <c r="Q64" s="2944">
        <v>1007.7294000000001</v>
      </c>
      <c r="R64" s="2940"/>
      <c r="S64" s="2941"/>
      <c r="T64" s="2940"/>
      <c r="U64" s="2941"/>
      <c r="V64" s="2922"/>
      <c r="W64" s="2922"/>
    </row>
    <row r="65" spans="1:23" ht="14.25" hidden="1" customHeight="1" x14ac:dyDescent="0.35">
      <c r="A65" s="3053"/>
      <c r="B65" s="3054"/>
      <c r="C65" s="3055"/>
      <c r="D65" s="996" t="s">
        <v>683</v>
      </c>
      <c r="E65" s="997"/>
      <c r="F65" s="997"/>
      <c r="G65" s="997"/>
      <c r="H65" s="997"/>
      <c r="I65" s="997"/>
      <c r="J65" s="998"/>
      <c r="K65" s="3056"/>
      <c r="L65" s="2923"/>
      <c r="M65" s="2933"/>
      <c r="N65" s="2933"/>
      <c r="O65" s="2933"/>
      <c r="P65" s="2933"/>
      <c r="Q65" s="2944"/>
      <c r="R65" s="2942"/>
      <c r="S65" s="2943"/>
      <c r="T65" s="2942"/>
      <c r="U65" s="2943"/>
      <c r="V65" s="2923"/>
      <c r="W65" s="2923"/>
    </row>
    <row r="66" spans="1:23" ht="15.75" hidden="1" customHeight="1" x14ac:dyDescent="0.35">
      <c r="A66" s="3053"/>
      <c r="B66" s="3054"/>
      <c r="C66" s="3055"/>
      <c r="D66" s="996" t="s">
        <v>684</v>
      </c>
      <c r="E66" s="997"/>
      <c r="F66" s="997"/>
      <c r="G66" s="997"/>
      <c r="H66" s="997"/>
      <c r="I66" s="997"/>
      <c r="J66" s="998"/>
      <c r="K66" s="3056"/>
      <c r="L66" s="2923"/>
      <c r="M66" s="2933"/>
      <c r="N66" s="2933"/>
      <c r="O66" s="2933"/>
      <c r="P66" s="2933"/>
      <c r="Q66" s="2944"/>
      <c r="R66" s="2942"/>
      <c r="S66" s="2943"/>
      <c r="T66" s="2942"/>
      <c r="U66" s="2943"/>
      <c r="V66" s="2923"/>
      <c r="W66" s="2923"/>
    </row>
    <row r="67" spans="1:23" ht="15.75" hidden="1" customHeight="1" thickBot="1" x14ac:dyDescent="0.4">
      <c r="A67" s="3030"/>
      <c r="B67" s="3031"/>
      <c r="C67" s="2915"/>
      <c r="D67" s="985" t="s">
        <v>685</v>
      </c>
      <c r="E67" s="986"/>
      <c r="F67" s="986"/>
      <c r="G67" s="986"/>
      <c r="H67" s="986"/>
      <c r="I67" s="986"/>
      <c r="J67" s="987"/>
      <c r="K67" s="3025"/>
      <c r="L67" s="2924"/>
      <c r="M67" s="2933"/>
      <c r="N67" s="2933"/>
      <c r="O67" s="2933"/>
      <c r="P67" s="2933"/>
      <c r="Q67" s="2944"/>
      <c r="R67" s="2950"/>
      <c r="S67" s="2951"/>
      <c r="T67" s="2950"/>
      <c r="U67" s="2951"/>
      <c r="V67" s="2924"/>
      <c r="W67" s="2924"/>
    </row>
    <row r="68" spans="1:23" x14ac:dyDescent="0.35">
      <c r="A68" s="3028" t="s">
        <v>686</v>
      </c>
      <c r="B68" s="3029"/>
      <c r="C68" s="2914"/>
      <c r="D68" s="1002"/>
      <c r="E68" s="997"/>
      <c r="F68" s="997"/>
      <c r="G68" s="997"/>
      <c r="H68" s="997"/>
      <c r="I68" s="997"/>
      <c r="J68" s="998"/>
      <c r="K68" s="3024">
        <v>788.7</v>
      </c>
      <c r="L68" s="2922"/>
      <c r="M68" s="2933">
        <v>928.55</v>
      </c>
      <c r="N68" s="2933">
        <v>200</v>
      </c>
      <c r="O68" s="2933">
        <v>200</v>
      </c>
      <c r="P68" s="2933">
        <f>M68+N68+O68</f>
        <v>1328.55</v>
      </c>
      <c r="Q68" s="2944">
        <v>1007.7294000000001</v>
      </c>
      <c r="R68" s="2940">
        <v>1035</v>
      </c>
      <c r="S68" s="2941"/>
      <c r="T68" s="2940">
        <v>1040</v>
      </c>
      <c r="U68" s="2941"/>
      <c r="V68" s="2922">
        <v>788.7</v>
      </c>
      <c r="W68" s="2922">
        <v>788.7</v>
      </c>
    </row>
    <row r="69" spans="1:23" ht="14.25" customHeight="1" x14ac:dyDescent="0.35">
      <c r="A69" s="3053"/>
      <c r="B69" s="3054"/>
      <c r="C69" s="3055"/>
      <c r="D69" s="997" t="s">
        <v>687</v>
      </c>
      <c r="E69" s="997"/>
      <c r="F69" s="997"/>
      <c r="G69" s="997"/>
      <c r="H69" s="997"/>
      <c r="I69" s="997"/>
      <c r="J69" s="998"/>
      <c r="K69" s="3056"/>
      <c r="L69" s="2923"/>
      <c r="M69" s="2933"/>
      <c r="N69" s="2933"/>
      <c r="O69" s="2933"/>
      <c r="P69" s="2933"/>
      <c r="Q69" s="2944"/>
      <c r="R69" s="2942"/>
      <c r="S69" s="2943"/>
      <c r="T69" s="2942"/>
      <c r="U69" s="2943"/>
      <c r="V69" s="2923"/>
      <c r="W69" s="2923"/>
    </row>
    <row r="70" spans="1:23" ht="15.75" customHeight="1" x14ac:dyDescent="0.35">
      <c r="A70" s="3053"/>
      <c r="B70" s="3054"/>
      <c r="C70" s="3055"/>
      <c r="D70" s="997" t="s">
        <v>688</v>
      </c>
      <c r="E70" s="997"/>
      <c r="F70" s="997"/>
      <c r="G70" s="997"/>
      <c r="H70" s="997"/>
      <c r="I70" s="997"/>
      <c r="J70" s="998"/>
      <c r="K70" s="3056"/>
      <c r="L70" s="2923"/>
      <c r="M70" s="2933"/>
      <c r="N70" s="2933"/>
      <c r="O70" s="2933"/>
      <c r="P70" s="2933"/>
      <c r="Q70" s="2944"/>
      <c r="R70" s="2942"/>
      <c r="S70" s="2943"/>
      <c r="T70" s="2942"/>
      <c r="U70" s="2943"/>
      <c r="V70" s="2923"/>
      <c r="W70" s="2923"/>
    </row>
    <row r="71" spans="1:23" ht="15.75" customHeight="1" thickBot="1" x14ac:dyDescent="0.4">
      <c r="A71" s="3030"/>
      <c r="B71" s="3031"/>
      <c r="C71" s="2915"/>
      <c r="D71" s="986"/>
      <c r="E71" s="986"/>
      <c r="F71" s="986"/>
      <c r="G71" s="986"/>
      <c r="H71" s="986"/>
      <c r="I71" s="986"/>
      <c r="J71" s="987"/>
      <c r="K71" s="3025"/>
      <c r="L71" s="2924"/>
      <c r="M71" s="2933"/>
      <c r="N71" s="2933"/>
      <c r="O71" s="2933"/>
      <c r="P71" s="2933"/>
      <c r="Q71" s="2944"/>
      <c r="R71" s="2950"/>
      <c r="S71" s="2951"/>
      <c r="T71" s="2950"/>
      <c r="U71" s="2951"/>
      <c r="V71" s="2924"/>
      <c r="W71" s="2924"/>
    </row>
    <row r="72" spans="1:23" ht="15" customHeight="1" x14ac:dyDescent="0.35">
      <c r="A72" s="3028" t="s">
        <v>689</v>
      </c>
      <c r="B72" s="3029"/>
      <c r="C72" s="2914"/>
      <c r="D72" s="982" t="s">
        <v>690</v>
      </c>
      <c r="E72" s="983"/>
      <c r="F72" s="983"/>
      <c r="G72" s="983"/>
      <c r="H72" s="983"/>
      <c r="I72" s="983"/>
      <c r="J72" s="984"/>
      <c r="K72" s="3024">
        <v>935</v>
      </c>
      <c r="L72" s="2922"/>
      <c r="M72" s="3085">
        <v>225.108</v>
      </c>
      <c r="N72" s="3088">
        <f>24.9+0.118</f>
        <v>25.017999999999997</v>
      </c>
      <c r="O72" s="3088">
        <v>25.018000000000001</v>
      </c>
      <c r="P72" s="2931">
        <f>M72+N72+O72</f>
        <v>275.14400000000001</v>
      </c>
      <c r="Q72" s="3088">
        <v>420.83800000000002</v>
      </c>
      <c r="R72" s="2952">
        <v>898</v>
      </c>
      <c r="S72" s="2953"/>
      <c r="T72" s="2952">
        <v>935</v>
      </c>
      <c r="U72" s="2953"/>
      <c r="V72" s="2922">
        <v>972.4</v>
      </c>
      <c r="W72" s="2922">
        <v>1011.296</v>
      </c>
    </row>
    <row r="73" spans="1:23" ht="13.15" customHeight="1" x14ac:dyDescent="0.35">
      <c r="A73" s="3053"/>
      <c r="B73" s="3054"/>
      <c r="C73" s="3055"/>
      <c r="D73" s="996" t="s">
        <v>691</v>
      </c>
      <c r="E73" s="997"/>
      <c r="F73" s="997"/>
      <c r="G73" s="997"/>
      <c r="H73" s="997"/>
      <c r="I73" s="997"/>
      <c r="J73" s="998"/>
      <c r="K73" s="3056"/>
      <c r="L73" s="2923"/>
      <c r="M73" s="3086"/>
      <c r="N73" s="3089"/>
      <c r="O73" s="3089"/>
      <c r="P73" s="3091"/>
      <c r="Q73" s="3089"/>
      <c r="R73" s="2954"/>
      <c r="S73" s="2955"/>
      <c r="T73" s="2954"/>
      <c r="U73" s="2955"/>
      <c r="V73" s="2923"/>
      <c r="W73" s="2923"/>
    </row>
    <row r="74" spans="1:23" ht="13.15" customHeight="1" x14ac:dyDescent="0.35">
      <c r="A74" s="3053"/>
      <c r="B74" s="3054"/>
      <c r="C74" s="3055"/>
      <c r="D74" s="996" t="s">
        <v>692</v>
      </c>
      <c r="E74" s="997"/>
      <c r="F74" s="997"/>
      <c r="G74" s="997"/>
      <c r="H74" s="997"/>
      <c r="I74" s="997"/>
      <c r="J74" s="998"/>
      <c r="K74" s="3056"/>
      <c r="L74" s="2923"/>
      <c r="M74" s="3086"/>
      <c r="N74" s="3089"/>
      <c r="O74" s="3089"/>
      <c r="P74" s="3091"/>
      <c r="Q74" s="3089"/>
      <c r="R74" s="2954"/>
      <c r="S74" s="2955"/>
      <c r="T74" s="2954"/>
      <c r="U74" s="2955"/>
      <c r="V74" s="2923"/>
      <c r="W74" s="2923"/>
    </row>
    <row r="75" spans="1:23" ht="12.75" customHeight="1" thickBot="1" x14ac:dyDescent="0.4">
      <c r="A75" s="3030"/>
      <c r="B75" s="3031"/>
      <c r="C75" s="2915"/>
      <c r="D75" s="985" t="s">
        <v>693</v>
      </c>
      <c r="E75" s="986"/>
      <c r="F75" s="986"/>
      <c r="G75" s="986"/>
      <c r="H75" s="986"/>
      <c r="I75" s="986"/>
      <c r="J75" s="987"/>
      <c r="K75" s="3025"/>
      <c r="L75" s="2924"/>
      <c r="M75" s="3087"/>
      <c r="N75" s="3090"/>
      <c r="O75" s="3090"/>
      <c r="P75" s="2932"/>
      <c r="Q75" s="3090"/>
      <c r="R75" s="2956"/>
      <c r="S75" s="2957"/>
      <c r="T75" s="2956"/>
      <c r="U75" s="2957"/>
      <c r="V75" s="2924"/>
      <c r="W75" s="2924"/>
    </row>
    <row r="76" spans="1:23" ht="15" x14ac:dyDescent="0.3">
      <c r="A76" s="3040" t="s">
        <v>694</v>
      </c>
      <c r="B76" s="3041"/>
      <c r="C76" s="3042"/>
      <c r="D76" s="976" t="s">
        <v>887</v>
      </c>
      <c r="E76" s="977"/>
      <c r="F76" s="977"/>
      <c r="G76" s="977"/>
      <c r="H76" s="977"/>
      <c r="I76" s="977"/>
      <c r="J76" s="978"/>
      <c r="K76" s="3010">
        <f>K78+K81</f>
        <v>537.07399999999996</v>
      </c>
      <c r="L76" s="2911"/>
      <c r="M76" s="2933">
        <v>97</v>
      </c>
      <c r="N76" s="2933"/>
      <c r="O76" s="2933"/>
      <c r="P76" s="2933">
        <f>P78+P81</f>
        <v>125</v>
      </c>
      <c r="Q76" s="2944">
        <v>435.29176000000001</v>
      </c>
      <c r="R76" s="2946">
        <f>R78+R81</f>
        <v>10.6</v>
      </c>
      <c r="S76" s="2947"/>
      <c r="T76" s="2946">
        <f>T78+T81</f>
        <v>11.1</v>
      </c>
      <c r="U76" s="2947"/>
      <c r="V76" s="2911">
        <f>V81</f>
        <v>25</v>
      </c>
      <c r="W76" s="2911">
        <f>W81</f>
        <v>25</v>
      </c>
    </row>
    <row r="77" spans="1:23" thickBot="1" x14ac:dyDescent="0.35">
      <c r="A77" s="3043"/>
      <c r="B77" s="3044"/>
      <c r="C77" s="3045"/>
      <c r="D77" s="979" t="s">
        <v>695</v>
      </c>
      <c r="E77" s="980"/>
      <c r="F77" s="980"/>
      <c r="G77" s="980"/>
      <c r="H77" s="980"/>
      <c r="I77" s="980"/>
      <c r="J77" s="981"/>
      <c r="K77" s="3012"/>
      <c r="L77" s="2912"/>
      <c r="M77" s="2933"/>
      <c r="N77" s="2933"/>
      <c r="O77" s="2933"/>
      <c r="P77" s="2933"/>
      <c r="Q77" s="2944"/>
      <c r="R77" s="2948"/>
      <c r="S77" s="2949"/>
      <c r="T77" s="2948"/>
      <c r="U77" s="2949"/>
      <c r="V77" s="2912"/>
      <c r="W77" s="2912"/>
    </row>
    <row r="78" spans="1:23" ht="15" hidden="1" customHeight="1" x14ac:dyDescent="0.35">
      <c r="A78" s="3028" t="s">
        <v>696</v>
      </c>
      <c r="B78" s="3029"/>
      <c r="C78" s="2914"/>
      <c r="D78" s="982" t="s">
        <v>697</v>
      </c>
      <c r="E78" s="983"/>
      <c r="F78" s="983"/>
      <c r="G78" s="983"/>
      <c r="H78" s="983"/>
      <c r="I78" s="983"/>
      <c r="J78" s="984"/>
      <c r="K78" s="3024"/>
      <c r="L78" s="2925"/>
      <c r="M78" s="2933">
        <v>69</v>
      </c>
      <c r="N78" s="2933">
        <v>7</v>
      </c>
      <c r="O78" s="2933">
        <v>7</v>
      </c>
      <c r="P78" s="2933">
        <f>M78+N78+O78</f>
        <v>83</v>
      </c>
      <c r="Q78" s="2933">
        <v>0.5</v>
      </c>
      <c r="R78" s="2940"/>
      <c r="S78" s="3080"/>
      <c r="T78" s="2940"/>
      <c r="U78" s="3080"/>
      <c r="V78" s="2925"/>
      <c r="W78" s="2925"/>
    </row>
    <row r="79" spans="1:23" ht="15" hidden="1" customHeight="1" x14ac:dyDescent="0.35">
      <c r="A79" s="3053"/>
      <c r="B79" s="3054"/>
      <c r="C79" s="3055"/>
      <c r="D79" s="996" t="s">
        <v>698</v>
      </c>
      <c r="E79" s="997"/>
      <c r="F79" s="997"/>
      <c r="G79" s="997"/>
      <c r="H79" s="997"/>
      <c r="I79" s="997"/>
      <c r="J79" s="998"/>
      <c r="K79" s="3078"/>
      <c r="L79" s="2926"/>
      <c r="M79" s="2933"/>
      <c r="N79" s="2933"/>
      <c r="O79" s="2933"/>
      <c r="P79" s="2933"/>
      <c r="Q79" s="2933"/>
      <c r="R79" s="3081"/>
      <c r="S79" s="3082"/>
      <c r="T79" s="3081"/>
      <c r="U79" s="3082"/>
      <c r="V79" s="2926"/>
      <c r="W79" s="2926"/>
    </row>
    <row r="80" spans="1:23" ht="7.15" hidden="1" customHeight="1" x14ac:dyDescent="0.35">
      <c r="A80" s="3075"/>
      <c r="B80" s="3076"/>
      <c r="C80" s="3077"/>
      <c r="D80" s="1003"/>
      <c r="E80" s="1004"/>
      <c r="F80" s="1004"/>
      <c r="G80" s="1004"/>
      <c r="H80" s="1004"/>
      <c r="I80" s="1004"/>
      <c r="J80" s="1005"/>
      <c r="K80" s="3079"/>
      <c r="L80" s="2927"/>
      <c r="M80" s="2933"/>
      <c r="N80" s="2933"/>
      <c r="O80" s="2933"/>
      <c r="P80" s="2933"/>
      <c r="Q80" s="2933"/>
      <c r="R80" s="3083"/>
      <c r="S80" s="3084"/>
      <c r="T80" s="3083"/>
      <c r="U80" s="3084"/>
      <c r="V80" s="2927"/>
      <c r="W80" s="2927"/>
    </row>
    <row r="81" spans="1:23" ht="16" thickBot="1" x14ac:dyDescent="0.4">
      <c r="A81" s="3068" t="s">
        <v>699</v>
      </c>
      <c r="B81" s="3069"/>
      <c r="C81" s="3070"/>
      <c r="D81" s="996" t="s">
        <v>700</v>
      </c>
      <c r="E81" s="997"/>
      <c r="F81" s="997"/>
      <c r="G81" s="997"/>
      <c r="H81" s="997"/>
      <c r="I81" s="997"/>
      <c r="J81" s="998"/>
      <c r="K81" s="3071">
        <v>537.07399999999996</v>
      </c>
      <c r="L81" s="3072"/>
      <c r="M81" s="1728">
        <v>28</v>
      </c>
      <c r="N81" s="1728">
        <v>7</v>
      </c>
      <c r="O81" s="1728">
        <v>7</v>
      </c>
      <c r="P81" s="1728">
        <f>M81+N81+O81</f>
        <v>42</v>
      </c>
      <c r="Q81" s="1734">
        <v>434.79176000000001</v>
      </c>
      <c r="R81" s="3073">
        <v>10.6</v>
      </c>
      <c r="S81" s="3074"/>
      <c r="T81" s="3073">
        <v>11.1</v>
      </c>
      <c r="U81" s="3074"/>
      <c r="V81" s="1817">
        <v>25</v>
      </c>
      <c r="W81" s="1817">
        <v>25</v>
      </c>
    </row>
    <row r="82" spans="1:23" ht="15" hidden="1" x14ac:dyDescent="0.3">
      <c r="A82" s="3040" t="s">
        <v>701</v>
      </c>
      <c r="B82" s="3041"/>
      <c r="C82" s="3042"/>
      <c r="D82" s="976" t="s">
        <v>702</v>
      </c>
      <c r="E82" s="977"/>
      <c r="F82" s="977"/>
      <c r="G82" s="977"/>
      <c r="H82" s="977"/>
      <c r="I82" s="977"/>
      <c r="J82" s="978"/>
      <c r="K82" s="3010">
        <f>K85+K90+K84</f>
        <v>0</v>
      </c>
      <c r="L82" s="2911"/>
      <c r="M82" s="2933">
        <v>530</v>
      </c>
      <c r="N82" s="2933"/>
      <c r="O82" s="2933"/>
      <c r="P82" s="2933">
        <f>P84+P85+P90</f>
        <v>590</v>
      </c>
      <c r="Q82" s="2944">
        <v>375.10428000000002</v>
      </c>
      <c r="R82" s="2946">
        <f>R85+R90+R84</f>
        <v>1540</v>
      </c>
      <c r="S82" s="2947"/>
      <c r="T82" s="2946">
        <f>T85+T90+T84</f>
        <v>755</v>
      </c>
      <c r="U82" s="2947"/>
      <c r="V82" s="2911">
        <f>V85</f>
        <v>0</v>
      </c>
      <c r="W82" s="2911">
        <f>W85</f>
        <v>0</v>
      </c>
    </row>
    <row r="83" spans="1:23" hidden="1" thickBot="1" x14ac:dyDescent="0.35">
      <c r="A83" s="3043"/>
      <c r="B83" s="3044"/>
      <c r="C83" s="3045"/>
      <c r="D83" s="979" t="s">
        <v>703</v>
      </c>
      <c r="E83" s="980"/>
      <c r="F83" s="980"/>
      <c r="G83" s="980"/>
      <c r="H83" s="980"/>
      <c r="I83" s="980"/>
      <c r="J83" s="981"/>
      <c r="K83" s="3012"/>
      <c r="L83" s="2912"/>
      <c r="M83" s="2931"/>
      <c r="N83" s="2931"/>
      <c r="O83" s="2931"/>
      <c r="P83" s="2931"/>
      <c r="Q83" s="2945"/>
      <c r="R83" s="2948"/>
      <c r="S83" s="2949"/>
      <c r="T83" s="2948"/>
      <c r="U83" s="2949"/>
      <c r="V83" s="2912"/>
      <c r="W83" s="2912"/>
    </row>
    <row r="84" spans="1:23" ht="15.65" hidden="1" customHeight="1" x14ac:dyDescent="0.35">
      <c r="A84" s="3061" t="s">
        <v>704</v>
      </c>
      <c r="B84" s="3062"/>
      <c r="C84" s="3063"/>
      <c r="D84" s="1006" t="s">
        <v>705</v>
      </c>
      <c r="E84" s="1007"/>
      <c r="F84" s="1007"/>
      <c r="G84" s="1007"/>
      <c r="H84" s="1007"/>
      <c r="I84" s="1007"/>
      <c r="J84" s="1008"/>
      <c r="K84" s="3064"/>
      <c r="L84" s="3065"/>
      <c r="M84" s="883"/>
      <c r="N84" s="884"/>
      <c r="O84" s="884"/>
      <c r="P84" s="884"/>
      <c r="Q84" s="885">
        <v>62.085000000000001</v>
      </c>
      <c r="R84" s="3066"/>
      <c r="S84" s="3067"/>
      <c r="T84" s="3066"/>
      <c r="U84" s="3067"/>
      <c r="V84" s="1736"/>
      <c r="W84" s="1736"/>
    </row>
    <row r="85" spans="1:23" hidden="1" x14ac:dyDescent="0.35">
      <c r="A85" s="3057" t="s">
        <v>706</v>
      </c>
      <c r="B85" s="3058"/>
      <c r="C85" s="3059"/>
      <c r="D85" s="996" t="s">
        <v>707</v>
      </c>
      <c r="E85" s="997"/>
      <c r="F85" s="997"/>
      <c r="G85" s="997"/>
      <c r="H85" s="997"/>
      <c r="I85" s="997"/>
      <c r="J85" s="998"/>
      <c r="K85" s="3060"/>
      <c r="L85" s="2928"/>
      <c r="M85" s="2932">
        <v>190</v>
      </c>
      <c r="N85" s="2932">
        <v>30</v>
      </c>
      <c r="O85" s="2932">
        <v>30</v>
      </c>
      <c r="P85" s="2932">
        <f>M85+N85+O85</f>
        <v>250</v>
      </c>
      <c r="Q85" s="3052">
        <v>243.4375</v>
      </c>
      <c r="R85" s="2942">
        <v>1540</v>
      </c>
      <c r="S85" s="2943"/>
      <c r="T85" s="2942">
        <v>755</v>
      </c>
      <c r="U85" s="2943"/>
      <c r="V85" s="2928">
        <v>0</v>
      </c>
      <c r="W85" s="2928">
        <v>0</v>
      </c>
    </row>
    <row r="86" spans="1:23" hidden="1" x14ac:dyDescent="0.35">
      <c r="A86" s="3053"/>
      <c r="B86" s="3054"/>
      <c r="C86" s="3055"/>
      <c r="D86" s="996" t="s">
        <v>708</v>
      </c>
      <c r="E86" s="997"/>
      <c r="F86" s="997"/>
      <c r="G86" s="997"/>
      <c r="H86" s="997"/>
      <c r="I86" s="997"/>
      <c r="J86" s="998"/>
      <c r="K86" s="3056"/>
      <c r="L86" s="2923"/>
      <c r="M86" s="2933"/>
      <c r="N86" s="2933"/>
      <c r="O86" s="2933"/>
      <c r="P86" s="2933"/>
      <c r="Q86" s="2944"/>
      <c r="R86" s="2942"/>
      <c r="S86" s="2943"/>
      <c r="T86" s="2942"/>
      <c r="U86" s="2943"/>
      <c r="V86" s="2923"/>
      <c r="W86" s="2923"/>
    </row>
    <row r="87" spans="1:23" hidden="1" x14ac:dyDescent="0.35">
      <c r="A87" s="3053"/>
      <c r="B87" s="3054"/>
      <c r="C87" s="3055"/>
      <c r="D87" s="996" t="s">
        <v>709</v>
      </c>
      <c r="E87" s="997"/>
      <c r="F87" s="997"/>
      <c r="G87" s="997"/>
      <c r="H87" s="997"/>
      <c r="I87" s="997"/>
      <c r="J87" s="998"/>
      <c r="K87" s="3056"/>
      <c r="L87" s="2923"/>
      <c r="M87" s="2933"/>
      <c r="N87" s="2933"/>
      <c r="O87" s="2933"/>
      <c r="P87" s="2933"/>
      <c r="Q87" s="2944"/>
      <c r="R87" s="2942"/>
      <c r="S87" s="2943"/>
      <c r="T87" s="2942"/>
      <c r="U87" s="2943"/>
      <c r="V87" s="2923"/>
      <c r="W87" s="2923"/>
    </row>
    <row r="88" spans="1:23" hidden="1" x14ac:dyDescent="0.35">
      <c r="A88" s="3053"/>
      <c r="B88" s="3054"/>
      <c r="C88" s="3055"/>
      <c r="D88" s="996" t="s">
        <v>710</v>
      </c>
      <c r="E88" s="997"/>
      <c r="F88" s="997"/>
      <c r="G88" s="997"/>
      <c r="H88" s="997"/>
      <c r="I88" s="997"/>
      <c r="J88" s="998"/>
      <c r="K88" s="3056"/>
      <c r="L88" s="2923"/>
      <c r="M88" s="2933"/>
      <c r="N88" s="2933"/>
      <c r="O88" s="2933"/>
      <c r="P88" s="2933"/>
      <c r="Q88" s="2944"/>
      <c r="R88" s="2942"/>
      <c r="S88" s="2943"/>
      <c r="T88" s="2942"/>
      <c r="U88" s="2943"/>
      <c r="V88" s="2923"/>
      <c r="W88" s="2923"/>
    </row>
    <row r="89" spans="1:23" ht="16" hidden="1" thickBot="1" x14ac:dyDescent="0.4">
      <c r="A89" s="3030"/>
      <c r="B89" s="3031"/>
      <c r="C89" s="2915"/>
      <c r="D89" s="985" t="s">
        <v>711</v>
      </c>
      <c r="E89" s="986"/>
      <c r="F89" s="986"/>
      <c r="G89" s="986"/>
      <c r="H89" s="986"/>
      <c r="I89" s="986"/>
      <c r="J89" s="987"/>
      <c r="K89" s="3025"/>
      <c r="L89" s="2924"/>
      <c r="M89" s="2933"/>
      <c r="N89" s="2933"/>
      <c r="O89" s="2933"/>
      <c r="P89" s="2933"/>
      <c r="Q89" s="2944"/>
      <c r="R89" s="2950"/>
      <c r="S89" s="2951"/>
      <c r="T89" s="2950"/>
      <c r="U89" s="2951"/>
      <c r="V89" s="2924"/>
      <c r="W89" s="2924"/>
    </row>
    <row r="90" spans="1:23" ht="15.65" hidden="1" customHeight="1" thickBot="1" x14ac:dyDescent="0.4">
      <c r="A90" s="3028" t="s">
        <v>712</v>
      </c>
      <c r="B90" s="3029"/>
      <c r="C90" s="2914"/>
      <c r="D90" s="996" t="s">
        <v>713</v>
      </c>
      <c r="E90" s="997"/>
      <c r="F90" s="997"/>
      <c r="G90" s="997"/>
      <c r="H90" s="997"/>
      <c r="I90" s="997"/>
      <c r="J90" s="998"/>
      <c r="K90" s="3024"/>
      <c r="L90" s="2922"/>
      <c r="M90" s="2933">
        <v>340</v>
      </c>
      <c r="N90" s="2933"/>
      <c r="O90" s="2933"/>
      <c r="P90" s="2933">
        <f>M90+N90+O90</f>
        <v>340</v>
      </c>
      <c r="Q90" s="2944">
        <v>69.581779999999995</v>
      </c>
      <c r="R90" s="2940"/>
      <c r="S90" s="2941"/>
      <c r="T90" s="2940"/>
      <c r="U90" s="2941"/>
      <c r="V90" s="2922"/>
      <c r="W90" s="2922"/>
    </row>
    <row r="91" spans="1:23" ht="15.65" hidden="1" customHeight="1" thickBot="1" x14ac:dyDescent="0.4">
      <c r="A91" s="3053"/>
      <c r="B91" s="3054"/>
      <c r="C91" s="3055"/>
      <c r="D91" s="996" t="s">
        <v>714</v>
      </c>
      <c r="E91" s="997"/>
      <c r="F91" s="997"/>
      <c r="G91" s="997"/>
      <c r="H91" s="997"/>
      <c r="I91" s="997"/>
      <c r="J91" s="998"/>
      <c r="K91" s="3056"/>
      <c r="L91" s="2923"/>
      <c r="M91" s="2933"/>
      <c r="N91" s="2933"/>
      <c r="O91" s="2933"/>
      <c r="P91" s="2933"/>
      <c r="Q91" s="2944"/>
      <c r="R91" s="2942"/>
      <c r="S91" s="2943"/>
      <c r="T91" s="2942"/>
      <c r="U91" s="2943"/>
      <c r="V91" s="2923"/>
      <c r="W91" s="2923"/>
    </row>
    <row r="92" spans="1:23" ht="15.65" hidden="1" customHeight="1" thickBot="1" x14ac:dyDescent="0.4">
      <c r="A92" s="3053"/>
      <c r="B92" s="3054"/>
      <c r="C92" s="3055"/>
      <c r="D92" s="996" t="s">
        <v>715</v>
      </c>
      <c r="E92" s="997"/>
      <c r="F92" s="997"/>
      <c r="G92" s="997"/>
      <c r="H92" s="997"/>
      <c r="I92" s="997"/>
      <c r="J92" s="998"/>
      <c r="K92" s="3056"/>
      <c r="L92" s="2923"/>
      <c r="M92" s="2933"/>
      <c r="N92" s="2933"/>
      <c r="O92" s="2933"/>
      <c r="P92" s="2933"/>
      <c r="Q92" s="2944"/>
      <c r="R92" s="2942"/>
      <c r="S92" s="2943"/>
      <c r="T92" s="2942"/>
      <c r="U92" s="2943"/>
      <c r="V92" s="2923"/>
      <c r="W92" s="2923"/>
    </row>
    <row r="93" spans="1:23" ht="15.75" hidden="1" customHeight="1" thickBot="1" x14ac:dyDescent="0.4">
      <c r="A93" s="996"/>
      <c r="B93" s="997"/>
      <c r="C93" s="998"/>
      <c r="D93" s="996"/>
      <c r="E93" s="997"/>
      <c r="F93" s="997"/>
      <c r="G93" s="997"/>
      <c r="H93" s="997"/>
      <c r="I93" s="997"/>
      <c r="J93" s="998"/>
      <c r="K93" s="3025"/>
      <c r="L93" s="2924"/>
      <c r="M93" s="1728"/>
      <c r="N93" s="1728"/>
      <c r="O93" s="1728"/>
      <c r="P93" s="1728"/>
      <c r="Q93" s="1730"/>
      <c r="R93" s="2942"/>
      <c r="S93" s="2943"/>
      <c r="T93" s="2942"/>
      <c r="U93" s="2943"/>
      <c r="V93" s="2924"/>
      <c r="W93" s="2924"/>
    </row>
    <row r="94" spans="1:23" ht="15.75" customHeight="1" x14ac:dyDescent="0.35">
      <c r="A94" s="3040" t="s">
        <v>716</v>
      </c>
      <c r="B94" s="3041"/>
      <c r="C94" s="3042"/>
      <c r="D94" s="3046" t="s">
        <v>717</v>
      </c>
      <c r="E94" s="3047"/>
      <c r="F94" s="3047"/>
      <c r="G94" s="3047"/>
      <c r="H94" s="3047"/>
      <c r="I94" s="3047"/>
      <c r="J94" s="3048"/>
      <c r="K94" s="3010">
        <f>K96</f>
        <v>20</v>
      </c>
      <c r="L94" s="2911"/>
      <c r="M94" s="1728"/>
      <c r="N94" s="1728"/>
      <c r="O94" s="1728"/>
      <c r="P94" s="1728"/>
      <c r="Q94" s="1730"/>
      <c r="R94" s="2946">
        <f>R96</f>
        <v>10</v>
      </c>
      <c r="S94" s="2947"/>
      <c r="T94" s="2946">
        <f>T96</f>
        <v>11</v>
      </c>
      <c r="U94" s="2947"/>
      <c r="V94" s="2911">
        <f>V96</f>
        <v>20</v>
      </c>
      <c r="W94" s="2911">
        <f>W96</f>
        <v>20</v>
      </c>
    </row>
    <row r="95" spans="1:23" ht="15.75" customHeight="1" thickBot="1" x14ac:dyDescent="0.4">
      <c r="A95" s="3043"/>
      <c r="B95" s="3044"/>
      <c r="C95" s="3045"/>
      <c r="D95" s="3049"/>
      <c r="E95" s="3050"/>
      <c r="F95" s="3050"/>
      <c r="G95" s="3050"/>
      <c r="H95" s="3050"/>
      <c r="I95" s="3050"/>
      <c r="J95" s="3051"/>
      <c r="K95" s="3012"/>
      <c r="L95" s="2912"/>
      <c r="M95" s="1728"/>
      <c r="N95" s="1728"/>
      <c r="O95" s="1728"/>
      <c r="P95" s="1728"/>
      <c r="Q95" s="1730"/>
      <c r="R95" s="3038"/>
      <c r="S95" s="3039"/>
      <c r="T95" s="3038"/>
      <c r="U95" s="3039"/>
      <c r="V95" s="2912"/>
      <c r="W95" s="2912"/>
    </row>
    <row r="96" spans="1:23" ht="15.75" customHeight="1" x14ac:dyDescent="0.35">
      <c r="A96" s="3028" t="s">
        <v>1000</v>
      </c>
      <c r="B96" s="3029"/>
      <c r="C96" s="2914"/>
      <c r="D96" s="3032" t="s">
        <v>999</v>
      </c>
      <c r="E96" s="3033"/>
      <c r="F96" s="3033"/>
      <c r="G96" s="3033"/>
      <c r="H96" s="3033"/>
      <c r="I96" s="3033"/>
      <c r="J96" s="3034"/>
      <c r="K96" s="3024">
        <v>20</v>
      </c>
      <c r="L96" s="2922"/>
      <c r="M96" s="1728"/>
      <c r="N96" s="1728"/>
      <c r="O96" s="1728"/>
      <c r="P96" s="1728"/>
      <c r="Q96" s="1730"/>
      <c r="R96" s="2940">
        <v>10</v>
      </c>
      <c r="S96" s="2941"/>
      <c r="T96" s="2940">
        <v>11</v>
      </c>
      <c r="U96" s="2941"/>
      <c r="V96" s="2922">
        <v>20</v>
      </c>
      <c r="W96" s="2922">
        <v>20</v>
      </c>
    </row>
    <row r="97" spans="1:28" ht="27" customHeight="1" thickBot="1" x14ac:dyDescent="0.4">
      <c r="A97" s="3030"/>
      <c r="B97" s="3031"/>
      <c r="C97" s="2915"/>
      <c r="D97" s="3035"/>
      <c r="E97" s="3036"/>
      <c r="F97" s="3036"/>
      <c r="G97" s="3036"/>
      <c r="H97" s="3036"/>
      <c r="I97" s="3036"/>
      <c r="J97" s="3037"/>
      <c r="K97" s="3025"/>
      <c r="L97" s="2924"/>
      <c r="M97" s="1728"/>
      <c r="N97" s="1728"/>
      <c r="O97" s="1728"/>
      <c r="P97" s="1728"/>
      <c r="Q97" s="1730"/>
      <c r="R97" s="3026"/>
      <c r="S97" s="3027"/>
      <c r="T97" s="3026"/>
      <c r="U97" s="3027"/>
      <c r="V97" s="2924"/>
      <c r="W97" s="2924"/>
    </row>
    <row r="98" spans="1:28" ht="15" x14ac:dyDescent="0.3">
      <c r="A98" s="2968" t="s">
        <v>720</v>
      </c>
      <c r="B98" s="2969"/>
      <c r="C98" s="2970"/>
      <c r="D98" s="976"/>
      <c r="E98" s="977"/>
      <c r="F98" s="977"/>
      <c r="G98" s="977"/>
      <c r="H98" s="977"/>
      <c r="I98" s="977"/>
      <c r="J98" s="978"/>
      <c r="K98" s="3010">
        <f>K100</f>
        <v>25</v>
      </c>
      <c r="L98" s="2911"/>
      <c r="M98" s="2933">
        <v>90</v>
      </c>
      <c r="N98" s="2933"/>
      <c r="O98" s="2933"/>
      <c r="P98" s="2933">
        <f>P100</f>
        <v>150</v>
      </c>
      <c r="Q98" s="2944">
        <v>129.83756</v>
      </c>
      <c r="R98" s="2946">
        <f>R100</f>
        <v>21</v>
      </c>
      <c r="S98" s="2947"/>
      <c r="T98" s="2946">
        <f>T100</f>
        <v>22</v>
      </c>
      <c r="U98" s="2947"/>
      <c r="V98" s="2911">
        <f>V100</f>
        <v>25</v>
      </c>
      <c r="W98" s="2911">
        <f>W100</f>
        <v>25</v>
      </c>
    </row>
    <row r="99" spans="1:28" thickBot="1" x14ac:dyDescent="0.35">
      <c r="A99" s="2971"/>
      <c r="B99" s="2972"/>
      <c r="C99" s="2973"/>
      <c r="D99" s="1009" t="s">
        <v>721</v>
      </c>
      <c r="E99" s="1010"/>
      <c r="F99" s="1010"/>
      <c r="G99" s="1010"/>
      <c r="H99" s="1010"/>
      <c r="I99" s="1010"/>
      <c r="J99" s="1011"/>
      <c r="K99" s="3012"/>
      <c r="L99" s="2912"/>
      <c r="M99" s="2933"/>
      <c r="N99" s="2933"/>
      <c r="O99" s="2933"/>
      <c r="P99" s="2933"/>
      <c r="Q99" s="2944"/>
      <c r="R99" s="3038"/>
      <c r="S99" s="3039"/>
      <c r="T99" s="3038"/>
      <c r="U99" s="3039"/>
      <c r="V99" s="2912"/>
      <c r="W99" s="2912"/>
    </row>
    <row r="100" spans="1:28" ht="15" customHeight="1" x14ac:dyDescent="0.3">
      <c r="A100" s="3018" t="s">
        <v>722</v>
      </c>
      <c r="B100" s="3019"/>
      <c r="C100" s="3020"/>
      <c r="D100" s="976"/>
      <c r="E100" s="977"/>
      <c r="F100" s="977"/>
      <c r="G100" s="977"/>
      <c r="H100" s="977"/>
      <c r="I100" s="977"/>
      <c r="J100" s="978"/>
      <c r="K100" s="3024">
        <v>25</v>
      </c>
      <c r="L100" s="2922"/>
      <c r="M100" s="2933">
        <v>90</v>
      </c>
      <c r="N100" s="2933">
        <v>30</v>
      </c>
      <c r="O100" s="2933">
        <v>30</v>
      </c>
      <c r="P100" s="2933">
        <f>M100+N100+O100</f>
        <v>150</v>
      </c>
      <c r="Q100" s="2944">
        <v>117.42055999999999</v>
      </c>
      <c r="R100" s="2940">
        <v>21</v>
      </c>
      <c r="S100" s="2941"/>
      <c r="T100" s="2940">
        <v>22</v>
      </c>
      <c r="U100" s="2941"/>
      <c r="V100" s="2922">
        <v>25</v>
      </c>
      <c r="W100" s="2922">
        <v>25</v>
      </c>
    </row>
    <row r="101" spans="1:28" ht="16" thickBot="1" x14ac:dyDescent="0.4">
      <c r="A101" s="3021"/>
      <c r="B101" s="3022"/>
      <c r="C101" s="3023"/>
      <c r="D101" s="1003" t="s">
        <v>723</v>
      </c>
      <c r="E101" s="1010"/>
      <c r="F101" s="1010"/>
      <c r="G101" s="1010"/>
      <c r="H101" s="1010"/>
      <c r="I101" s="1010"/>
      <c r="J101" s="1011"/>
      <c r="K101" s="3025"/>
      <c r="L101" s="2924"/>
      <c r="M101" s="2933"/>
      <c r="N101" s="2933"/>
      <c r="O101" s="2933"/>
      <c r="P101" s="2933"/>
      <c r="Q101" s="2944"/>
      <c r="R101" s="3026"/>
      <c r="S101" s="3027"/>
      <c r="T101" s="3026"/>
      <c r="U101" s="3027"/>
      <c r="V101" s="2923"/>
      <c r="W101" s="2924"/>
    </row>
    <row r="102" spans="1:28" ht="15" x14ac:dyDescent="0.3">
      <c r="A102" s="2968" t="s">
        <v>724</v>
      </c>
      <c r="B102" s="2969"/>
      <c r="C102" s="2970"/>
      <c r="D102" s="976"/>
      <c r="E102" s="977"/>
      <c r="F102" s="977"/>
      <c r="G102" s="977"/>
      <c r="H102" s="977"/>
      <c r="I102" s="977"/>
      <c r="J102" s="978"/>
      <c r="K102" s="3010">
        <f>K105+K107+K108+K111+K112+K115</f>
        <v>20390</v>
      </c>
      <c r="L102" s="2911"/>
      <c r="M102" s="2933">
        <v>8484.0619999999999</v>
      </c>
      <c r="N102" s="2933"/>
      <c r="O102" s="2933"/>
      <c r="P102" s="2933">
        <f>P105+P111+P112+P113+P115</f>
        <v>8524.0619999999999</v>
      </c>
      <c r="Q102" s="2944">
        <v>3580.9459499999998</v>
      </c>
      <c r="R102" s="2934">
        <f>R105+R111+R112+R113+R115+R106+S108+R114+R110+R109</f>
        <v>810.5</v>
      </c>
      <c r="S102" s="2935"/>
      <c r="T102" s="2934">
        <f>T105+T111+T112+T113+T115+T106+U108+T114+T110+T109</f>
        <v>818.5</v>
      </c>
      <c r="U102" s="3256"/>
      <c r="V102" s="3370">
        <f>V105+V107+V108+V111+V112+V115+V106</f>
        <v>22452.500000000004</v>
      </c>
      <c r="W102" s="2911">
        <f>W105+W107+W108+W111+W112+W115</f>
        <v>19031.2</v>
      </c>
    </row>
    <row r="103" spans="1:28" ht="15" x14ac:dyDescent="0.3">
      <c r="A103" s="3007"/>
      <c r="B103" s="3008"/>
      <c r="C103" s="3009"/>
      <c r="D103" s="999" t="s">
        <v>725</v>
      </c>
      <c r="E103" s="1000"/>
      <c r="F103" s="1000"/>
      <c r="G103" s="1000"/>
      <c r="H103" s="1000"/>
      <c r="I103" s="1000"/>
      <c r="J103" s="1001"/>
      <c r="K103" s="3011"/>
      <c r="L103" s="2921"/>
      <c r="M103" s="2933"/>
      <c r="N103" s="2933"/>
      <c r="O103" s="2933"/>
      <c r="P103" s="2933"/>
      <c r="Q103" s="2944"/>
      <c r="R103" s="3003"/>
      <c r="S103" s="3004"/>
      <c r="T103" s="3003"/>
      <c r="U103" s="3257"/>
      <c r="V103" s="3371"/>
      <c r="W103" s="2921"/>
    </row>
    <row r="104" spans="1:28" ht="0.75" customHeight="1" thickBot="1" x14ac:dyDescent="0.4">
      <c r="A104" s="979"/>
      <c r="B104" s="980"/>
      <c r="C104" s="981"/>
      <c r="D104" s="979"/>
      <c r="E104" s="980"/>
      <c r="F104" s="980"/>
      <c r="G104" s="980"/>
      <c r="H104" s="980"/>
      <c r="I104" s="980"/>
      <c r="J104" s="981"/>
      <c r="K104" s="3012"/>
      <c r="L104" s="2912"/>
      <c r="M104" s="1728"/>
      <c r="N104" s="1728"/>
      <c r="O104" s="1728"/>
      <c r="P104" s="1728"/>
      <c r="Q104" s="1730"/>
      <c r="R104" s="2936"/>
      <c r="S104" s="2937"/>
      <c r="T104" s="2936"/>
      <c r="U104" s="3258"/>
      <c r="V104" s="3372"/>
      <c r="W104" s="2912"/>
    </row>
    <row r="105" spans="1:28" ht="34.5" customHeight="1" thickBot="1" x14ac:dyDescent="0.4">
      <c r="A105" s="2958" t="s">
        <v>976</v>
      </c>
      <c r="B105" s="2959"/>
      <c r="C105" s="2960"/>
      <c r="D105" s="2978" t="s">
        <v>864</v>
      </c>
      <c r="E105" s="2979"/>
      <c r="F105" s="2979"/>
      <c r="G105" s="2979"/>
      <c r="H105" s="2979"/>
      <c r="I105" s="2979"/>
      <c r="J105" s="2980"/>
      <c r="K105" s="2964">
        <v>17766.7</v>
      </c>
      <c r="L105" s="2965"/>
      <c r="M105" s="1728">
        <v>6410.5</v>
      </c>
      <c r="N105" s="1728"/>
      <c r="O105" s="1728"/>
      <c r="P105" s="1728">
        <f>M105</f>
        <v>6410.5</v>
      </c>
      <c r="Q105" s="1730">
        <v>1538.52</v>
      </c>
      <c r="R105" s="3005"/>
      <c r="S105" s="3006"/>
      <c r="T105" s="3005"/>
      <c r="U105" s="3006"/>
      <c r="V105" s="1823">
        <v>18356</v>
      </c>
      <c r="W105" s="1737">
        <v>18974.099999999999</v>
      </c>
    </row>
    <row r="106" spans="1:28" ht="34.5" customHeight="1" thickBot="1" x14ac:dyDescent="0.4">
      <c r="A106" s="3015" t="s">
        <v>1001</v>
      </c>
      <c r="B106" s="3016"/>
      <c r="C106" s="3017"/>
      <c r="D106" s="3365" t="s">
        <v>1002</v>
      </c>
      <c r="E106" s="3366"/>
      <c r="F106" s="3366"/>
      <c r="G106" s="3366"/>
      <c r="H106" s="3366"/>
      <c r="I106" s="3366"/>
      <c r="J106" s="3367"/>
      <c r="K106" s="3368"/>
      <c r="L106" s="3369"/>
      <c r="M106" s="1818"/>
      <c r="N106" s="1818"/>
      <c r="O106" s="1818"/>
      <c r="P106" s="1818"/>
      <c r="Q106" s="1819"/>
      <c r="R106" s="1820"/>
      <c r="S106" s="1821"/>
      <c r="T106" s="1820"/>
      <c r="U106" s="1821"/>
      <c r="V106" s="1822">
        <v>1443</v>
      </c>
      <c r="W106" s="1822"/>
    </row>
    <row r="107" spans="1:28" ht="61.5" customHeight="1" thickBot="1" x14ac:dyDescent="0.4">
      <c r="A107" s="3015" t="s">
        <v>975</v>
      </c>
      <c r="B107" s="3016"/>
      <c r="C107" s="3017"/>
      <c r="D107" s="2978" t="s">
        <v>888</v>
      </c>
      <c r="E107" s="2999"/>
      <c r="F107" s="2999"/>
      <c r="G107" s="2999"/>
      <c r="H107" s="2999"/>
      <c r="I107" s="2999"/>
      <c r="J107" s="3000"/>
      <c r="K107" s="2929">
        <f>388.9-5.7</f>
        <v>383.2</v>
      </c>
      <c r="L107" s="2930"/>
      <c r="M107" s="1728"/>
      <c r="N107" s="1728"/>
      <c r="O107" s="1728"/>
      <c r="P107" s="1728"/>
      <c r="Q107" s="1730"/>
      <c r="R107" s="1742"/>
      <c r="S107" s="1743"/>
      <c r="T107" s="1742"/>
      <c r="U107" s="1743"/>
      <c r="V107" s="1741">
        <v>388.9</v>
      </c>
      <c r="W107" s="1741"/>
      <c r="AB107" s="550">
        <v>383.2</v>
      </c>
    </row>
    <row r="108" spans="1:28" ht="36.65" customHeight="1" thickBot="1" x14ac:dyDescent="0.4">
      <c r="A108" s="2958" t="s">
        <v>974</v>
      </c>
      <c r="B108" s="2959"/>
      <c r="C108" s="2960"/>
      <c r="D108" s="2978" t="s">
        <v>890</v>
      </c>
      <c r="E108" s="2999"/>
      <c r="F108" s="2999"/>
      <c r="G108" s="2999"/>
      <c r="H108" s="2999"/>
      <c r="I108" s="2999"/>
      <c r="J108" s="3000"/>
      <c r="K108" s="2964">
        <v>1333.1</v>
      </c>
      <c r="L108" s="2965"/>
      <c r="M108" s="1728">
        <v>485.56200000000001</v>
      </c>
      <c r="N108" s="1728"/>
      <c r="O108" s="1728"/>
      <c r="P108" s="1728">
        <v>485.56200000000001</v>
      </c>
      <c r="Q108" s="1730">
        <v>485.56200000000001</v>
      </c>
      <c r="R108" s="1789"/>
      <c r="S108" s="1739"/>
      <c r="T108" s="1789"/>
      <c r="U108" s="1739"/>
      <c r="V108" s="1737">
        <v>1333.1</v>
      </c>
      <c r="W108" s="1737"/>
      <c r="X108" s="1791">
        <v>1333.1</v>
      </c>
      <c r="Y108" s="1790">
        <v>1333.1</v>
      </c>
      <c r="Z108" s="1790">
        <v>1333.1</v>
      </c>
    </row>
    <row r="109" spans="1:28" ht="60.65" hidden="1" customHeight="1" thickBot="1" x14ac:dyDescent="0.4">
      <c r="A109" s="2958" t="s">
        <v>731</v>
      </c>
      <c r="B109" s="2959"/>
      <c r="C109" s="2960"/>
      <c r="D109" s="2993" t="s">
        <v>732</v>
      </c>
      <c r="E109" s="2994"/>
      <c r="F109" s="2994"/>
      <c r="G109" s="2994"/>
      <c r="H109" s="2994"/>
      <c r="I109" s="2994"/>
      <c r="J109" s="2995"/>
      <c r="K109" s="2981"/>
      <c r="L109" s="2982"/>
      <c r="M109" s="1728"/>
      <c r="N109" s="1728"/>
      <c r="O109" s="1728"/>
      <c r="P109" s="1728"/>
      <c r="Q109" s="1730"/>
      <c r="R109" s="2983"/>
      <c r="S109" s="2984"/>
      <c r="T109" s="2983"/>
      <c r="U109" s="2984"/>
      <c r="V109" s="1738"/>
      <c r="W109" s="1738"/>
      <c r="X109" s="1791"/>
      <c r="Y109" s="1790"/>
      <c r="Z109" s="1790"/>
    </row>
    <row r="110" spans="1:28" ht="60.65" hidden="1" customHeight="1" thickBot="1" x14ac:dyDescent="0.4">
      <c r="A110" s="2958" t="s">
        <v>733</v>
      </c>
      <c r="B110" s="2959"/>
      <c r="C110" s="2960"/>
      <c r="D110" s="2996" t="s">
        <v>734</v>
      </c>
      <c r="E110" s="2997"/>
      <c r="F110" s="2997"/>
      <c r="G110" s="2997"/>
      <c r="H110" s="2997"/>
      <c r="I110" s="2997"/>
      <c r="J110" s="2998"/>
      <c r="K110" s="2981"/>
      <c r="L110" s="2982"/>
      <c r="M110" s="1728"/>
      <c r="N110" s="1728"/>
      <c r="O110" s="1728"/>
      <c r="P110" s="1728"/>
      <c r="Q110" s="1730"/>
      <c r="R110" s="2983"/>
      <c r="S110" s="2984"/>
      <c r="T110" s="2983"/>
      <c r="U110" s="2984"/>
      <c r="V110" s="1738"/>
      <c r="W110" s="1738"/>
      <c r="X110" s="1791"/>
      <c r="Y110" s="1790"/>
      <c r="Z110" s="1790"/>
    </row>
    <row r="111" spans="1:28" ht="36.75" customHeight="1" thickBot="1" x14ac:dyDescent="0.4">
      <c r="A111" s="2958" t="s">
        <v>973</v>
      </c>
      <c r="B111" s="2959"/>
      <c r="C111" s="2960"/>
      <c r="D111" s="2978" t="s">
        <v>736</v>
      </c>
      <c r="E111" s="2979"/>
      <c r="F111" s="2979"/>
      <c r="G111" s="2979"/>
      <c r="H111" s="2979"/>
      <c r="I111" s="2979"/>
      <c r="J111" s="2980"/>
      <c r="K111" s="2981">
        <v>844.2</v>
      </c>
      <c r="L111" s="2982"/>
      <c r="M111" s="1728">
        <v>485.56200000000001</v>
      </c>
      <c r="N111" s="1728"/>
      <c r="O111" s="1728"/>
      <c r="P111" s="1728">
        <v>485.56200000000001</v>
      </c>
      <c r="Q111" s="1730">
        <v>485.56200000000001</v>
      </c>
      <c r="R111" s="2983"/>
      <c r="S111" s="2984"/>
      <c r="T111" s="2983"/>
      <c r="U111" s="2984"/>
      <c r="V111" s="1738">
        <v>874.4</v>
      </c>
      <c r="W111" s="1738"/>
      <c r="X111" s="1791">
        <v>834.7</v>
      </c>
      <c r="Y111" s="1790">
        <v>844.2</v>
      </c>
      <c r="Z111" s="1790">
        <v>874.4</v>
      </c>
    </row>
    <row r="112" spans="1:28" ht="51.75" customHeight="1" thickBot="1" x14ac:dyDescent="0.4">
      <c r="A112" s="2958" t="s">
        <v>972</v>
      </c>
      <c r="B112" s="2959"/>
      <c r="C112" s="2960"/>
      <c r="D112" s="2978" t="s">
        <v>889</v>
      </c>
      <c r="E112" s="2979"/>
      <c r="F112" s="2979"/>
      <c r="G112" s="2979"/>
      <c r="H112" s="2979"/>
      <c r="I112" s="2979"/>
      <c r="J112" s="2980"/>
      <c r="K112" s="2981">
        <f>7.1-0.06</f>
        <v>7.04</v>
      </c>
      <c r="L112" s="2982"/>
      <c r="M112" s="1728">
        <v>10</v>
      </c>
      <c r="N112" s="1728"/>
      <c r="O112" s="1728"/>
      <c r="P112" s="1728">
        <v>10</v>
      </c>
      <c r="Q112" s="1730">
        <v>10</v>
      </c>
      <c r="R112" s="2983">
        <v>598.5</v>
      </c>
      <c r="S112" s="2984"/>
      <c r="T112" s="2983">
        <v>598.5</v>
      </c>
      <c r="U112" s="2984"/>
      <c r="V112" s="1738">
        <f>7.1-0.06</f>
        <v>7.04</v>
      </c>
      <c r="W112" s="1738">
        <f>7.1-0.06</f>
        <v>7.04</v>
      </c>
      <c r="X112" s="1791">
        <v>7.1</v>
      </c>
      <c r="Y112" s="1790">
        <v>7.1</v>
      </c>
      <c r="Z112" s="1790">
        <v>7.1</v>
      </c>
    </row>
    <row r="113" spans="1:26" ht="49.15" hidden="1" customHeight="1" thickBot="1" x14ac:dyDescent="0.4">
      <c r="A113" s="2958" t="s">
        <v>738</v>
      </c>
      <c r="B113" s="2959"/>
      <c r="C113" s="2960"/>
      <c r="D113" s="2978" t="s">
        <v>739</v>
      </c>
      <c r="E113" s="2979"/>
      <c r="F113" s="2979"/>
      <c r="G113" s="2979"/>
      <c r="H113" s="2979"/>
      <c r="I113" s="2979"/>
      <c r="J113" s="2980"/>
      <c r="K113" s="2981"/>
      <c r="L113" s="2982"/>
      <c r="M113" s="1728">
        <v>613</v>
      </c>
      <c r="N113" s="1728"/>
      <c r="O113" s="1728"/>
      <c r="P113" s="1728">
        <v>613</v>
      </c>
      <c r="Q113" s="1730">
        <v>613</v>
      </c>
      <c r="R113" s="2983"/>
      <c r="S113" s="2984"/>
      <c r="T113" s="2983"/>
      <c r="U113" s="2984"/>
      <c r="V113" s="1738"/>
      <c r="W113" s="1738"/>
    </row>
    <row r="114" spans="1:26" ht="58.9" hidden="1" customHeight="1" thickBot="1" x14ac:dyDescent="0.4">
      <c r="A114" s="2958" t="s">
        <v>740</v>
      </c>
      <c r="B114" s="2959"/>
      <c r="C114" s="2960"/>
      <c r="D114" s="2978" t="s">
        <v>741</v>
      </c>
      <c r="E114" s="2979"/>
      <c r="F114" s="2979"/>
      <c r="G114" s="2979"/>
      <c r="H114" s="2979"/>
      <c r="I114" s="2979"/>
      <c r="J114" s="2980"/>
      <c r="K114" s="2985"/>
      <c r="L114" s="2986"/>
      <c r="M114" s="1728"/>
      <c r="N114" s="1728"/>
      <c r="O114" s="1728"/>
      <c r="P114" s="1728"/>
      <c r="Q114" s="1730"/>
      <c r="R114" s="2987"/>
      <c r="S114" s="2988"/>
      <c r="T114" s="2987"/>
      <c r="U114" s="2988"/>
      <c r="V114" s="1740"/>
      <c r="W114" s="1740"/>
    </row>
    <row r="115" spans="1:26" ht="34.5" customHeight="1" thickBot="1" x14ac:dyDescent="0.4">
      <c r="A115" s="2958" t="s">
        <v>971</v>
      </c>
      <c r="B115" s="2959"/>
      <c r="C115" s="2960"/>
      <c r="D115" s="2961" t="s">
        <v>743</v>
      </c>
      <c r="E115" s="2962"/>
      <c r="F115" s="2962"/>
      <c r="G115" s="2962"/>
      <c r="H115" s="2962"/>
      <c r="I115" s="2962"/>
      <c r="J115" s="2963"/>
      <c r="K115" s="2964">
        <f>50+0.06+5.7</f>
        <v>55.760000000000005</v>
      </c>
      <c r="L115" s="2965"/>
      <c r="M115" s="1728">
        <v>965</v>
      </c>
      <c r="N115" s="1728">
        <v>20</v>
      </c>
      <c r="O115" s="1728">
        <v>20</v>
      </c>
      <c r="P115" s="1728">
        <f>M115+N115+O115</f>
        <v>1005</v>
      </c>
      <c r="Q115" s="1730">
        <v>1222.22</v>
      </c>
      <c r="R115" s="2966">
        <v>212</v>
      </c>
      <c r="S115" s="2967"/>
      <c r="T115" s="2966">
        <v>220</v>
      </c>
      <c r="U115" s="2967"/>
      <c r="V115" s="1737">
        <f>50+0.06</f>
        <v>50.06</v>
      </c>
      <c r="W115" s="1737">
        <f>50+0.06</f>
        <v>50.06</v>
      </c>
    </row>
    <row r="116" spans="1:26" ht="12.75" customHeight="1" x14ac:dyDescent="0.35">
      <c r="A116" s="2968" t="s">
        <v>744</v>
      </c>
      <c r="B116" s="2969"/>
      <c r="C116" s="2970"/>
      <c r="D116" s="982"/>
      <c r="E116" s="983"/>
      <c r="F116" s="983"/>
      <c r="G116" s="983"/>
      <c r="H116" s="983"/>
      <c r="I116" s="983"/>
      <c r="J116" s="984"/>
      <c r="K116" s="3010">
        <f>K102+K32</f>
        <v>96512.440999999992</v>
      </c>
      <c r="L116" s="2911"/>
      <c r="M116" s="2933">
        <v>25719.42</v>
      </c>
      <c r="N116" s="2933"/>
      <c r="O116" s="2933"/>
      <c r="P116" s="2931">
        <f>P32+P102</f>
        <v>33106.455999999998</v>
      </c>
      <c r="Q116" s="2933"/>
      <c r="R116" s="2934">
        <f>R32+R102</f>
        <v>74406.700000000012</v>
      </c>
      <c r="S116" s="2935"/>
      <c r="T116" s="2934">
        <f>T32+T102</f>
        <v>76479.200000000012</v>
      </c>
      <c r="U116" s="2935"/>
      <c r="V116" s="2911">
        <f>V102+V32</f>
        <v>100309.36500000001</v>
      </c>
      <c r="W116" s="2911">
        <f>W102+W32</f>
        <v>98590.785999999993</v>
      </c>
    </row>
    <row r="117" spans="1:26" ht="16.5" customHeight="1" thickBot="1" x14ac:dyDescent="0.4">
      <c r="A117" s="2971"/>
      <c r="B117" s="2972"/>
      <c r="C117" s="2973"/>
      <c r="D117" s="979"/>
      <c r="E117" s="980"/>
      <c r="F117" s="980"/>
      <c r="G117" s="986"/>
      <c r="H117" s="986"/>
      <c r="I117" s="986"/>
      <c r="J117" s="987"/>
      <c r="K117" s="3012"/>
      <c r="L117" s="2912"/>
      <c r="M117" s="3364"/>
      <c r="N117" s="3364"/>
      <c r="O117" s="3364"/>
      <c r="P117" s="3363"/>
      <c r="Q117" s="3364"/>
      <c r="R117" s="2936"/>
      <c r="S117" s="2937"/>
      <c r="T117" s="2936"/>
      <c r="U117" s="2937"/>
      <c r="V117" s="2912"/>
      <c r="W117" s="2912"/>
    </row>
    <row r="118" spans="1:26" x14ac:dyDescent="0.35">
      <c r="K118" s="447"/>
      <c r="L118" s="447"/>
      <c r="N118" s="875">
        <f>SUM(N32:N117)</f>
        <v>3893.518</v>
      </c>
      <c r="O118" s="875">
        <f>SUM(O32:O117)</f>
        <v>3893.518</v>
      </c>
      <c r="P118" s="875">
        <f>M116+N118+O118</f>
        <v>33506.455999999998</v>
      </c>
    </row>
    <row r="119" spans="1:26" x14ac:dyDescent="0.35">
      <c r="X119" s="1704">
        <v>356.3</v>
      </c>
      <c r="Y119" s="1704">
        <v>356.3</v>
      </c>
      <c r="Z119" s="1704">
        <v>356.3</v>
      </c>
    </row>
    <row r="120" spans="1:26" x14ac:dyDescent="0.35">
      <c r="X120" s="1704">
        <v>106.9</v>
      </c>
      <c r="Y120" s="1704">
        <v>88.4</v>
      </c>
      <c r="Z120" s="1704">
        <v>874.4</v>
      </c>
    </row>
    <row r="121" spans="1:26" x14ac:dyDescent="0.35">
      <c r="X121" s="1704">
        <v>-648.9</v>
      </c>
      <c r="Y121" s="1704">
        <v>-648.9</v>
      </c>
      <c r="Z121" s="1704">
        <v>-648.9</v>
      </c>
    </row>
    <row r="122" spans="1:26" x14ac:dyDescent="0.35">
      <c r="W122" s="541"/>
      <c r="X122" s="1704">
        <f>SUM(X119:X121)</f>
        <v>-185.69999999999993</v>
      </c>
      <c r="Y122" s="1704">
        <f>SUM(Y119:Y121)</f>
        <v>-204.19999999999993</v>
      </c>
      <c r="Z122" s="1704">
        <f>SUM(Z119:Z121)</f>
        <v>581.80000000000007</v>
      </c>
    </row>
  </sheetData>
  <mergeCells count="368">
    <mergeCell ref="A25:W25"/>
    <mergeCell ref="A26:L26"/>
    <mergeCell ref="A27:W27"/>
    <mergeCell ref="K28:L28"/>
    <mergeCell ref="R28:S28"/>
    <mergeCell ref="T28:U28"/>
    <mergeCell ref="U12:W12"/>
    <mergeCell ref="U13:W13"/>
    <mergeCell ref="U16:W16"/>
    <mergeCell ref="A24:W24"/>
    <mergeCell ref="K14:W14"/>
    <mergeCell ref="K15:W15"/>
    <mergeCell ref="P29:P30"/>
    <mergeCell ref="Q29:Q30"/>
    <mergeCell ref="R29:S30"/>
    <mergeCell ref="T29:U30"/>
    <mergeCell ref="V29:V30"/>
    <mergeCell ref="W29:W30"/>
    <mergeCell ref="A29:C29"/>
    <mergeCell ref="D29:J30"/>
    <mergeCell ref="K29:L30"/>
    <mergeCell ref="M29:M30"/>
    <mergeCell ref="N29:N30"/>
    <mergeCell ref="O29:O30"/>
    <mergeCell ref="A30:C30"/>
    <mergeCell ref="D34:J35"/>
    <mergeCell ref="K34:L35"/>
    <mergeCell ref="M34:M35"/>
    <mergeCell ref="N34:N35"/>
    <mergeCell ref="O34:O35"/>
    <mergeCell ref="K31:L31"/>
    <mergeCell ref="R31:S31"/>
    <mergeCell ref="T31:U31"/>
    <mergeCell ref="A32:C33"/>
    <mergeCell ref="D32:J33"/>
    <mergeCell ref="K32:L33"/>
    <mergeCell ref="M32:M33"/>
    <mergeCell ref="N32:N33"/>
    <mergeCell ref="O32:O33"/>
    <mergeCell ref="P32:P33"/>
    <mergeCell ref="P34:P35"/>
    <mergeCell ref="Q34:Q35"/>
    <mergeCell ref="R34:S35"/>
    <mergeCell ref="T34:U35"/>
    <mergeCell ref="V34:V35"/>
    <mergeCell ref="W34:W35"/>
    <mergeCell ref="Q32:Q33"/>
    <mergeCell ref="R32:S33"/>
    <mergeCell ref="T32:U33"/>
    <mergeCell ref="V32:V33"/>
    <mergeCell ref="W32:W33"/>
    <mergeCell ref="Q36:Q37"/>
    <mergeCell ref="R36:S37"/>
    <mergeCell ref="T36:U37"/>
    <mergeCell ref="V36:V37"/>
    <mergeCell ref="W36:W37"/>
    <mergeCell ref="O36:O37"/>
    <mergeCell ref="P36:P37"/>
    <mergeCell ref="W38:W39"/>
    <mergeCell ref="A40:C40"/>
    <mergeCell ref="D40:J40"/>
    <mergeCell ref="K40:L40"/>
    <mergeCell ref="R40:S40"/>
    <mergeCell ref="T40:U40"/>
    <mergeCell ref="O38:O39"/>
    <mergeCell ref="P38:P39"/>
    <mergeCell ref="Q38:Q39"/>
    <mergeCell ref="R38:S39"/>
    <mergeCell ref="T38:U39"/>
    <mergeCell ref="V38:V39"/>
    <mergeCell ref="A38:C39"/>
    <mergeCell ref="D38:J39"/>
    <mergeCell ref="K38:L39"/>
    <mergeCell ref="M38:M39"/>
    <mergeCell ref="N38:N39"/>
    <mergeCell ref="A36:C37"/>
    <mergeCell ref="K36:L37"/>
    <mergeCell ref="M36:M37"/>
    <mergeCell ref="N36:N37"/>
    <mergeCell ref="P41:P42"/>
    <mergeCell ref="Q41:Q42"/>
    <mergeCell ref="R41:S42"/>
    <mergeCell ref="T41:U42"/>
    <mergeCell ref="V41:V42"/>
    <mergeCell ref="W41:W42"/>
    <mergeCell ref="A41:C42"/>
    <mergeCell ref="D41:J42"/>
    <mergeCell ref="K41:L42"/>
    <mergeCell ref="M41:M42"/>
    <mergeCell ref="N41:N42"/>
    <mergeCell ref="O41:O42"/>
    <mergeCell ref="A44:C44"/>
    <mergeCell ref="D44:J44"/>
    <mergeCell ref="K44:L44"/>
    <mergeCell ref="R44:S44"/>
    <mergeCell ref="T44:U44"/>
    <mergeCell ref="A45:C46"/>
    <mergeCell ref="D45:J46"/>
    <mergeCell ref="K45:L46"/>
    <mergeCell ref="M45:M46"/>
    <mergeCell ref="N45:N46"/>
    <mergeCell ref="W45:W46"/>
    <mergeCell ref="A48:C48"/>
    <mergeCell ref="K48:L48"/>
    <mergeCell ref="R48:S48"/>
    <mergeCell ref="T48:U48"/>
    <mergeCell ref="A49:C49"/>
    <mergeCell ref="K49:L49"/>
    <mergeCell ref="R49:S49"/>
    <mergeCell ref="T49:U49"/>
    <mergeCell ref="O45:O46"/>
    <mergeCell ref="P45:P46"/>
    <mergeCell ref="Q45:Q46"/>
    <mergeCell ref="R45:S46"/>
    <mergeCell ref="T45:U46"/>
    <mergeCell ref="V45:V46"/>
    <mergeCell ref="P51:P52"/>
    <mergeCell ref="Q51:Q52"/>
    <mergeCell ref="R51:S52"/>
    <mergeCell ref="T51:U52"/>
    <mergeCell ref="V51:V52"/>
    <mergeCell ref="W51:W52"/>
    <mergeCell ref="A50:C50"/>
    <mergeCell ref="K50:L50"/>
    <mergeCell ref="R50:S50"/>
    <mergeCell ref="T50:U50"/>
    <mergeCell ref="A51:C52"/>
    <mergeCell ref="D51:J52"/>
    <mergeCell ref="K51:L52"/>
    <mergeCell ref="M51:M52"/>
    <mergeCell ref="N51:N52"/>
    <mergeCell ref="O51:O52"/>
    <mergeCell ref="A57:C59"/>
    <mergeCell ref="K57:L59"/>
    <mergeCell ref="M57:M59"/>
    <mergeCell ref="N57:N59"/>
    <mergeCell ref="O57:O59"/>
    <mergeCell ref="A53:C56"/>
    <mergeCell ref="K53:L56"/>
    <mergeCell ref="M53:M56"/>
    <mergeCell ref="N53:N56"/>
    <mergeCell ref="O53:O56"/>
    <mergeCell ref="P57:P59"/>
    <mergeCell ref="Q57:Q59"/>
    <mergeCell ref="R57:S59"/>
    <mergeCell ref="T57:U59"/>
    <mergeCell ref="V57:V59"/>
    <mergeCell ref="W57:W59"/>
    <mergeCell ref="Q53:Q56"/>
    <mergeCell ref="R53:S56"/>
    <mergeCell ref="T53:U56"/>
    <mergeCell ref="V53:V56"/>
    <mergeCell ref="W53:W56"/>
    <mergeCell ref="P53:P56"/>
    <mergeCell ref="A64:C67"/>
    <mergeCell ref="K64:L67"/>
    <mergeCell ref="M64:M67"/>
    <mergeCell ref="N64:N67"/>
    <mergeCell ref="O64:O67"/>
    <mergeCell ref="A60:C63"/>
    <mergeCell ref="K60:L63"/>
    <mergeCell ref="M60:M63"/>
    <mergeCell ref="N60:N63"/>
    <mergeCell ref="O60:O63"/>
    <mergeCell ref="P64:P67"/>
    <mergeCell ref="Q64:Q67"/>
    <mergeCell ref="R64:S67"/>
    <mergeCell ref="T64:U67"/>
    <mergeCell ref="V64:V67"/>
    <mergeCell ref="W64:W67"/>
    <mergeCell ref="Q60:Q63"/>
    <mergeCell ref="R60:S63"/>
    <mergeCell ref="T60:U63"/>
    <mergeCell ref="V60:V63"/>
    <mergeCell ref="W60:W63"/>
    <mergeCell ref="P60:P63"/>
    <mergeCell ref="A72:C75"/>
    <mergeCell ref="K72:L75"/>
    <mergeCell ref="M72:M75"/>
    <mergeCell ref="N72:N75"/>
    <mergeCell ref="O72:O75"/>
    <mergeCell ref="A68:C71"/>
    <mergeCell ref="K68:L71"/>
    <mergeCell ref="M68:M71"/>
    <mergeCell ref="N68:N71"/>
    <mergeCell ref="O68:O71"/>
    <mergeCell ref="P72:P75"/>
    <mergeCell ref="Q72:Q75"/>
    <mergeCell ref="R72:S75"/>
    <mergeCell ref="T72:U75"/>
    <mergeCell ref="V72:V75"/>
    <mergeCell ref="W72:W75"/>
    <mergeCell ref="Q68:Q71"/>
    <mergeCell ref="R68:S71"/>
    <mergeCell ref="T68:U71"/>
    <mergeCell ref="V68:V71"/>
    <mergeCell ref="W68:W71"/>
    <mergeCell ref="P68:P71"/>
    <mergeCell ref="A78:C80"/>
    <mergeCell ref="K78:L80"/>
    <mergeCell ref="M78:M80"/>
    <mergeCell ref="N78:N80"/>
    <mergeCell ref="O78:O80"/>
    <mergeCell ref="A76:C77"/>
    <mergeCell ref="K76:L77"/>
    <mergeCell ref="M76:M77"/>
    <mergeCell ref="N76:N77"/>
    <mergeCell ref="O76:O77"/>
    <mergeCell ref="P78:P80"/>
    <mergeCell ref="Q78:Q80"/>
    <mergeCell ref="R78:S80"/>
    <mergeCell ref="T78:U80"/>
    <mergeCell ref="V78:V80"/>
    <mergeCell ref="W78:W80"/>
    <mergeCell ref="Q76:Q77"/>
    <mergeCell ref="R76:S77"/>
    <mergeCell ref="T76:U77"/>
    <mergeCell ref="V76:V77"/>
    <mergeCell ref="W76:W77"/>
    <mergeCell ref="P76:P77"/>
    <mergeCell ref="A81:C81"/>
    <mergeCell ref="K81:L81"/>
    <mergeCell ref="R81:S81"/>
    <mergeCell ref="T81:U81"/>
    <mergeCell ref="A82:C83"/>
    <mergeCell ref="K82:L83"/>
    <mergeCell ref="M82:M83"/>
    <mergeCell ref="N82:N83"/>
    <mergeCell ref="O82:O83"/>
    <mergeCell ref="P82:P83"/>
    <mergeCell ref="Q82:Q83"/>
    <mergeCell ref="R82:S83"/>
    <mergeCell ref="T82:U83"/>
    <mergeCell ref="V82:V83"/>
    <mergeCell ref="W82:W83"/>
    <mergeCell ref="A84:C84"/>
    <mergeCell ref="K84:L84"/>
    <mergeCell ref="R84:S84"/>
    <mergeCell ref="T84:U84"/>
    <mergeCell ref="A90:C92"/>
    <mergeCell ref="K90:L93"/>
    <mergeCell ref="M90:M92"/>
    <mergeCell ref="N90:N92"/>
    <mergeCell ref="O90:O92"/>
    <mergeCell ref="A85:C89"/>
    <mergeCell ref="K85:L89"/>
    <mergeCell ref="M85:M89"/>
    <mergeCell ref="N85:N89"/>
    <mergeCell ref="O85:O89"/>
    <mergeCell ref="P90:P92"/>
    <mergeCell ref="Q90:Q92"/>
    <mergeCell ref="R90:S93"/>
    <mergeCell ref="T90:U93"/>
    <mergeCell ref="V90:V93"/>
    <mergeCell ref="W90:W93"/>
    <mergeCell ref="Q85:Q89"/>
    <mergeCell ref="R85:S89"/>
    <mergeCell ref="T85:U89"/>
    <mergeCell ref="V85:V89"/>
    <mergeCell ref="W85:W89"/>
    <mergeCell ref="P85:P89"/>
    <mergeCell ref="W94:W95"/>
    <mergeCell ref="A96:C97"/>
    <mergeCell ref="D96:J97"/>
    <mergeCell ref="K96:L97"/>
    <mergeCell ref="R96:S97"/>
    <mergeCell ref="T96:U97"/>
    <mergeCell ref="V96:V97"/>
    <mergeCell ref="W96:W97"/>
    <mergeCell ref="A94:C95"/>
    <mergeCell ref="D94:J95"/>
    <mergeCell ref="K94:L95"/>
    <mergeCell ref="R94:S95"/>
    <mergeCell ref="T94:U95"/>
    <mergeCell ref="V94:V95"/>
    <mergeCell ref="A100:C101"/>
    <mergeCell ref="K100:L101"/>
    <mergeCell ref="M100:M101"/>
    <mergeCell ref="N100:N101"/>
    <mergeCell ref="O100:O101"/>
    <mergeCell ref="A98:C99"/>
    <mergeCell ref="K98:L99"/>
    <mergeCell ref="M98:M99"/>
    <mergeCell ref="N98:N99"/>
    <mergeCell ref="O98:O99"/>
    <mergeCell ref="P100:P101"/>
    <mergeCell ref="Q100:Q101"/>
    <mergeCell ref="R100:S101"/>
    <mergeCell ref="T100:U101"/>
    <mergeCell ref="V100:V101"/>
    <mergeCell ref="W100:W101"/>
    <mergeCell ref="Q98:Q99"/>
    <mergeCell ref="R98:S99"/>
    <mergeCell ref="T98:U99"/>
    <mergeCell ref="V98:V99"/>
    <mergeCell ref="W98:W99"/>
    <mergeCell ref="P98:P99"/>
    <mergeCell ref="V102:V104"/>
    <mergeCell ref="W102:W104"/>
    <mergeCell ref="A105:C105"/>
    <mergeCell ref="D105:J105"/>
    <mergeCell ref="K105:L105"/>
    <mergeCell ref="R105:S105"/>
    <mergeCell ref="T105:U105"/>
    <mergeCell ref="A102:C103"/>
    <mergeCell ref="K102:L104"/>
    <mergeCell ref="M102:M103"/>
    <mergeCell ref="N102:N103"/>
    <mergeCell ref="O102:O103"/>
    <mergeCell ref="P102:P103"/>
    <mergeCell ref="A106:C106"/>
    <mergeCell ref="D106:J106"/>
    <mergeCell ref="K106:L106"/>
    <mergeCell ref="A107:C107"/>
    <mergeCell ref="D107:J107"/>
    <mergeCell ref="K107:L107"/>
    <mergeCell ref="Q102:Q103"/>
    <mergeCell ref="R102:S104"/>
    <mergeCell ref="T102:U104"/>
    <mergeCell ref="R109:S109"/>
    <mergeCell ref="T109:U109"/>
    <mergeCell ref="A110:C110"/>
    <mergeCell ref="D110:J110"/>
    <mergeCell ref="K110:L110"/>
    <mergeCell ref="R110:S110"/>
    <mergeCell ref="T110:U110"/>
    <mergeCell ref="A108:C108"/>
    <mergeCell ref="D108:J108"/>
    <mergeCell ref="K108:L108"/>
    <mergeCell ref="A109:C109"/>
    <mergeCell ref="D109:J109"/>
    <mergeCell ref="K109:L109"/>
    <mergeCell ref="A111:C111"/>
    <mergeCell ref="D111:J111"/>
    <mergeCell ref="K111:L111"/>
    <mergeCell ref="R111:S111"/>
    <mergeCell ref="T111:U111"/>
    <mergeCell ref="A112:C112"/>
    <mergeCell ref="D112:J112"/>
    <mergeCell ref="K112:L112"/>
    <mergeCell ref="R112:S112"/>
    <mergeCell ref="T112:U112"/>
    <mergeCell ref="A113:C113"/>
    <mergeCell ref="D113:J113"/>
    <mergeCell ref="K113:L113"/>
    <mergeCell ref="R113:S113"/>
    <mergeCell ref="T113:U113"/>
    <mergeCell ref="A114:C114"/>
    <mergeCell ref="D114:J114"/>
    <mergeCell ref="K114:L114"/>
    <mergeCell ref="R114:S114"/>
    <mergeCell ref="T114:U114"/>
    <mergeCell ref="P116:P117"/>
    <mergeCell ref="Q116:Q117"/>
    <mergeCell ref="R116:S117"/>
    <mergeCell ref="T116:U117"/>
    <mergeCell ref="V116:V117"/>
    <mergeCell ref="W116:W117"/>
    <mergeCell ref="A115:C115"/>
    <mergeCell ref="D115:J115"/>
    <mergeCell ref="K115:L115"/>
    <mergeCell ref="R115:S115"/>
    <mergeCell ref="T115:U115"/>
    <mergeCell ref="A116:C117"/>
    <mergeCell ref="K116:L117"/>
    <mergeCell ref="M116:M117"/>
    <mergeCell ref="N116:N117"/>
    <mergeCell ref="O116:O117"/>
  </mergeCells>
  <printOptions horizontalCentered="1"/>
  <pageMargins left="0.39" right="0.26" top="0.26" bottom="0.17" header="0.28000000000000003" footer="0.17"/>
  <pageSetup paperSize="9" scale="52" fitToHeight="0" orientation="portrait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V736"/>
  <sheetViews>
    <sheetView topLeftCell="B1" zoomScale="68" zoomScaleNormal="68" zoomScaleSheetLayoutView="90" zoomScalePageLayoutView="51" workbookViewId="0">
      <selection activeCell="V341" sqref="V341"/>
    </sheetView>
  </sheetViews>
  <sheetFormatPr defaultColWidth="9.1796875" defaultRowHeight="12.5" x14ac:dyDescent="0.25"/>
  <cols>
    <col min="1" max="1" width="8.81640625" style="1" customWidth="1"/>
    <col min="2" max="2" width="65.1796875" style="6" customWidth="1"/>
    <col min="3" max="3" width="10" style="5" hidden="1" customWidth="1"/>
    <col min="4" max="4" width="9.26953125" style="4" hidden="1" customWidth="1"/>
    <col min="5" max="5" width="10.453125" style="4" hidden="1" customWidth="1"/>
    <col min="6" max="6" width="13.26953125" style="4" customWidth="1"/>
    <col min="7" max="8" width="10.26953125" style="4" customWidth="1"/>
    <col min="9" max="9" width="10.453125" style="4" customWidth="1"/>
    <col min="10" max="10" width="22.1796875" style="1045" hidden="1" customWidth="1"/>
    <col min="11" max="11" width="14.7265625" style="1045" hidden="1" customWidth="1"/>
    <col min="12" max="12" width="15.81640625" style="1045" hidden="1" customWidth="1"/>
    <col min="13" max="13" width="18.7265625" style="1045" hidden="1" customWidth="1"/>
    <col min="14" max="14" width="22.1796875" style="1905" customWidth="1"/>
    <col min="15" max="18" width="22.1796875" style="1906" hidden="1" customWidth="1"/>
    <col min="19" max="21" width="10.26953125" style="2" hidden="1" customWidth="1"/>
    <col min="22" max="23" width="22.1796875" style="1905" customWidth="1"/>
    <col min="24" max="24" width="18.81640625" style="2" hidden="1" customWidth="1"/>
    <col min="25" max="25" width="14.81640625" style="1" hidden="1" customWidth="1"/>
    <col min="26" max="26" width="17.7265625" style="237" hidden="1" customWidth="1"/>
    <col min="27" max="16384" width="9.1796875" style="1"/>
  </cols>
  <sheetData>
    <row r="1" spans="1:256" ht="20.149999999999999" customHeight="1" x14ac:dyDescent="0.35">
      <c r="V1" s="3384" t="s">
        <v>1237</v>
      </c>
      <c r="W1" s="3384"/>
    </row>
    <row r="2" spans="1:256" ht="17.5" customHeight="1" x14ac:dyDescent="0.35">
      <c r="V2" s="3384" t="s">
        <v>450</v>
      </c>
      <c r="W2" s="3384"/>
    </row>
    <row r="3" spans="1:256" ht="16" customHeight="1" x14ac:dyDescent="0.35">
      <c r="V3" s="3384" t="s">
        <v>449</v>
      </c>
      <c r="W3" s="3384"/>
    </row>
    <row r="4" spans="1:256" ht="15.65" customHeight="1" x14ac:dyDescent="0.35">
      <c r="V4" s="3384" t="s">
        <v>448</v>
      </c>
      <c r="W4" s="3384"/>
    </row>
    <row r="5" spans="1:256" ht="17.149999999999999" customHeight="1" x14ac:dyDescent="0.25">
      <c r="V5" s="3357" t="s">
        <v>1240</v>
      </c>
      <c r="W5" s="3357"/>
      <c r="X5" s="2894"/>
      <c r="Y5" s="2894"/>
      <c r="Z5" s="2894"/>
      <c r="AA5" s="2894"/>
      <c r="AB5" s="2894"/>
      <c r="AC5" s="2894"/>
      <c r="AD5" s="2894"/>
      <c r="AE5" s="2894"/>
      <c r="AF5" s="2894"/>
      <c r="AG5" s="2894"/>
      <c r="AH5" s="2894"/>
      <c r="AI5" s="2894"/>
    </row>
    <row r="6" spans="1:256" ht="9.65" customHeight="1" x14ac:dyDescent="0.3">
      <c r="V6" s="2289"/>
      <c r="W6" s="2289"/>
    </row>
    <row r="7" spans="1:256" s="2" customFormat="1" ht="15.5" x14ac:dyDescent="0.35">
      <c r="A7" s="1"/>
      <c r="B7" s="6"/>
      <c r="C7" s="5"/>
      <c r="D7" s="4"/>
      <c r="E7" s="4"/>
      <c r="F7" s="4"/>
      <c r="G7" s="4"/>
      <c r="H7" s="4"/>
      <c r="I7" s="4"/>
      <c r="J7" s="2413"/>
      <c r="K7" s="2413"/>
      <c r="L7" s="2413"/>
      <c r="M7" s="2413"/>
      <c r="N7" s="1907"/>
      <c r="O7" s="2420"/>
      <c r="P7" s="1909"/>
      <c r="Q7" s="2420"/>
      <c r="R7" s="2420" t="s">
        <v>936</v>
      </c>
      <c r="S7" s="4"/>
      <c r="T7" s="4"/>
      <c r="U7" s="4"/>
      <c r="V7" s="1907"/>
      <c r="W7" s="410" t="s">
        <v>936</v>
      </c>
      <c r="X7" s="1825"/>
      <c r="Y7" s="1825"/>
      <c r="Z7" s="1825"/>
      <c r="AA7" s="1825"/>
      <c r="AB7" s="1825"/>
      <c r="AC7" s="2249"/>
      <c r="AD7" s="1825"/>
      <c r="AE7" s="1825"/>
      <c r="AF7" s="1825"/>
      <c r="AG7" s="1825"/>
      <c r="AH7" s="237"/>
      <c r="AI7" s="237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spans="1:256" s="2" customFormat="1" ht="15.5" x14ac:dyDescent="0.35">
      <c r="A8" s="1"/>
      <c r="B8" s="6"/>
      <c r="C8" s="5"/>
      <c r="D8" s="4"/>
      <c r="E8" s="4"/>
      <c r="F8" s="4"/>
      <c r="G8" s="4"/>
      <c r="H8" s="4"/>
      <c r="I8" s="3162"/>
      <c r="J8" s="3162"/>
      <c r="K8" s="3162"/>
      <c r="L8" s="3162"/>
      <c r="M8" s="3162"/>
      <c r="N8" s="3162"/>
      <c r="O8" s="1910"/>
      <c r="P8" s="1909"/>
      <c r="Q8" s="3383" t="s">
        <v>450</v>
      </c>
      <c r="R8" s="3383"/>
      <c r="S8" s="4"/>
      <c r="T8" s="4"/>
      <c r="V8" s="261"/>
      <c r="W8" s="410" t="s">
        <v>450</v>
      </c>
      <c r="X8" s="1825"/>
      <c r="Y8" s="1825"/>
      <c r="Z8" s="1825"/>
      <c r="AA8" s="1825"/>
      <c r="AB8" s="1825"/>
      <c r="AC8" s="2249"/>
      <c r="AD8" s="237"/>
      <c r="AE8" s="1825"/>
      <c r="AF8" s="1825"/>
      <c r="AG8" s="1825"/>
      <c r="AH8" s="237"/>
      <c r="AI8" s="237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 s="2" customFormat="1" ht="15.5" x14ac:dyDescent="0.35">
      <c r="A9" s="1"/>
      <c r="B9" s="6"/>
      <c r="C9" s="261"/>
      <c r="D9" s="261"/>
      <c r="E9" s="261"/>
      <c r="F9" s="3162"/>
      <c r="G9" s="3162"/>
      <c r="H9" s="3162"/>
      <c r="I9" s="3162"/>
      <c r="J9" s="3162"/>
      <c r="K9" s="3162"/>
      <c r="L9" s="3162"/>
      <c r="M9" s="3162"/>
      <c r="N9" s="3162"/>
      <c r="O9" s="1909"/>
      <c r="P9" s="1909"/>
      <c r="Q9" s="3383" t="s">
        <v>449</v>
      </c>
      <c r="R9" s="3383"/>
      <c r="S9" s="1539"/>
      <c r="T9" s="1539"/>
      <c r="U9" s="1539"/>
      <c r="V9" s="1539"/>
      <c r="W9" s="410" t="s">
        <v>449</v>
      </c>
      <c r="X9" s="1825"/>
      <c r="Y9" s="1825"/>
      <c r="Z9" s="1825"/>
      <c r="AA9" s="1825"/>
      <c r="AB9" s="1825"/>
      <c r="AC9" s="2249"/>
      <c r="AD9" s="1825"/>
      <c r="AE9" s="1825"/>
      <c r="AF9" s="1825"/>
      <c r="AG9" s="1825"/>
      <c r="AH9" s="237"/>
      <c r="AI9" s="237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</row>
    <row r="10" spans="1:256" s="2" customFormat="1" ht="15.5" x14ac:dyDescent="0.35">
      <c r="A10" s="1"/>
      <c r="B10" s="6"/>
      <c r="C10" s="5"/>
      <c r="D10" s="2413"/>
      <c r="E10" s="2413"/>
      <c r="F10" s="2413"/>
      <c r="G10" s="2413"/>
      <c r="H10" s="2413"/>
      <c r="I10" s="2413"/>
      <c r="J10" s="2413"/>
      <c r="K10" s="1045"/>
      <c r="L10" s="1045"/>
      <c r="M10" s="2413"/>
      <c r="N10" s="1911"/>
      <c r="O10" s="1912"/>
      <c r="P10" s="1909"/>
      <c r="Q10" s="3383" t="s">
        <v>448</v>
      </c>
      <c r="R10" s="3383"/>
      <c r="S10" s="2413"/>
      <c r="T10" s="2413"/>
      <c r="U10" s="2413"/>
      <c r="V10" s="1911"/>
      <c r="W10" s="410" t="s">
        <v>448</v>
      </c>
      <c r="X10" s="1825"/>
      <c r="Y10" s="1825"/>
      <c r="Z10" s="1825"/>
      <c r="AA10" s="1825"/>
      <c r="AB10" s="1825"/>
      <c r="AC10" s="2249"/>
      <c r="AD10" s="1825"/>
      <c r="AE10" s="1825"/>
      <c r="AF10" s="1825"/>
      <c r="AG10" s="1825"/>
      <c r="AH10" s="237"/>
      <c r="AI10" s="237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spans="1:256" s="2" customFormat="1" ht="15.5" x14ac:dyDescent="0.25">
      <c r="A11" s="1"/>
      <c r="B11" s="6"/>
      <c r="C11" s="5"/>
      <c r="D11" s="1824" t="s">
        <v>447</v>
      </c>
      <c r="E11" s="1824"/>
      <c r="F11" s="1824"/>
      <c r="G11" s="3212"/>
      <c r="H11" s="3212"/>
      <c r="I11" s="3212"/>
      <c r="J11" s="3212"/>
      <c r="K11" s="3212"/>
      <c r="L11" s="3212"/>
      <c r="M11" s="3212"/>
      <c r="N11" s="3212"/>
      <c r="O11" s="1913"/>
      <c r="P11" s="1913"/>
      <c r="Q11" s="3382" t="s">
        <v>991</v>
      </c>
      <c r="R11" s="3382"/>
      <c r="S11" s="2415"/>
      <c r="T11" s="2415"/>
      <c r="U11" s="1824"/>
      <c r="V11" s="1824"/>
      <c r="W11" s="2862" t="s">
        <v>1224</v>
      </c>
      <c r="X11" s="2140"/>
      <c r="Y11" s="2140"/>
      <c r="Z11" s="2140"/>
      <c r="AA11" s="2140"/>
      <c r="AB11" s="2140"/>
      <c r="AC11" s="2140"/>
      <c r="AD11" s="2140"/>
      <c r="AE11" s="2140"/>
      <c r="AF11" s="2140"/>
      <c r="AG11" s="2140"/>
      <c r="AH11" s="2140"/>
      <c r="AI11" s="2140"/>
      <c r="AJ11" s="2140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</row>
    <row r="12" spans="1:256" s="2" customFormat="1" ht="13.15" hidden="1" customHeight="1" x14ac:dyDescent="0.25">
      <c r="A12" s="1"/>
      <c r="B12" s="6"/>
      <c r="C12" s="5"/>
      <c r="D12" s="4"/>
      <c r="E12" s="4"/>
      <c r="F12" s="4"/>
      <c r="G12" s="4"/>
      <c r="H12" s="4"/>
      <c r="I12" s="4"/>
      <c r="J12" s="1045"/>
      <c r="K12" s="1045"/>
      <c r="L12" s="1045"/>
      <c r="M12" s="4"/>
      <c r="N12" s="1914"/>
      <c r="O12" s="1915"/>
      <c r="P12" s="1915"/>
      <c r="Q12" s="1916"/>
      <c r="R12" s="1916"/>
      <c r="S12" s="4"/>
      <c r="T12" s="4"/>
      <c r="U12" s="1045"/>
      <c r="V12" s="1914"/>
      <c r="W12" s="1914"/>
      <c r="Y12" s="1"/>
      <c r="Z12" s="237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</row>
    <row r="13" spans="1:256" s="2" customFormat="1" ht="15.65" hidden="1" customHeight="1" x14ac:dyDescent="0.35">
      <c r="A13" s="1"/>
      <c r="B13" s="2415"/>
      <c r="C13" s="5"/>
      <c r="D13" s="4"/>
      <c r="E13" s="254"/>
      <c r="F13" s="254"/>
      <c r="G13" s="254"/>
      <c r="H13" s="254"/>
      <c r="I13" s="254"/>
      <c r="J13" s="1045"/>
      <c r="K13" s="1045"/>
      <c r="L13" s="1045"/>
      <c r="M13" s="4"/>
      <c r="N13" s="1911" t="s">
        <v>446</v>
      </c>
      <c r="O13" s="2419"/>
      <c r="P13" s="2419"/>
      <c r="Q13" s="2419" t="s">
        <v>446</v>
      </c>
      <c r="R13" s="2419" t="s">
        <v>446</v>
      </c>
      <c r="S13" s="254"/>
      <c r="T13" s="254"/>
      <c r="U13" s="2415"/>
      <c r="V13" s="1911" t="s">
        <v>446</v>
      </c>
      <c r="W13" s="1911" t="s">
        <v>446</v>
      </c>
      <c r="Y13" s="1"/>
      <c r="Z13" s="237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</row>
    <row r="14" spans="1:256" s="2" customFormat="1" ht="15.65" hidden="1" customHeight="1" x14ac:dyDescent="0.35">
      <c r="A14" s="1"/>
      <c r="B14" s="6"/>
      <c r="C14" s="5"/>
      <c r="D14" s="4"/>
      <c r="E14" s="254"/>
      <c r="F14" s="254"/>
      <c r="G14" s="254"/>
      <c r="H14" s="254"/>
      <c r="I14" s="254"/>
      <c r="J14" s="384"/>
      <c r="K14" s="1045"/>
      <c r="L14" s="1045"/>
      <c r="M14" s="4"/>
      <c r="N14" s="1914"/>
      <c r="O14" s="1915"/>
      <c r="P14" s="1915"/>
      <c r="Q14" s="1916"/>
      <c r="R14" s="1916"/>
      <c r="S14" s="254"/>
      <c r="T14" s="254"/>
      <c r="U14" s="384"/>
      <c r="V14" s="1914"/>
      <c r="W14" s="1914"/>
      <c r="Y14" s="1"/>
      <c r="Z14" s="237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</row>
    <row r="15" spans="1:256" s="2" customFormat="1" ht="15.65" hidden="1" customHeight="1" x14ac:dyDescent="0.35">
      <c r="A15" s="1"/>
      <c r="B15" s="2415"/>
      <c r="C15" s="5"/>
      <c r="D15" s="4"/>
      <c r="E15" s="254"/>
      <c r="F15" s="254"/>
      <c r="G15" s="254"/>
      <c r="H15" s="254"/>
      <c r="I15" s="254"/>
      <c r="J15" s="1045"/>
      <c r="K15" s="1045"/>
      <c r="L15" s="1045"/>
      <c r="M15" s="4"/>
      <c r="N15" s="1911" t="s">
        <v>848</v>
      </c>
      <c r="O15" s="2419"/>
      <c r="P15" s="2419"/>
      <c r="Q15" s="2419" t="s">
        <v>848</v>
      </c>
      <c r="R15" s="2419" t="s">
        <v>848</v>
      </c>
      <c r="S15" s="254"/>
      <c r="T15" s="254"/>
      <c r="U15" s="2415"/>
      <c r="V15" s="1911" t="s">
        <v>848</v>
      </c>
      <c r="W15" s="1911" t="s">
        <v>848</v>
      </c>
      <c r="Y15" s="1"/>
      <c r="Z15" s="237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</row>
    <row r="16" spans="1:256" s="2" customFormat="1" ht="15.65" hidden="1" customHeight="1" x14ac:dyDescent="0.3">
      <c r="A16" s="1"/>
      <c r="B16" s="250"/>
      <c r="C16" s="249"/>
      <c r="D16" s="247"/>
      <c r="E16" s="247"/>
      <c r="F16" s="247"/>
      <c r="G16" s="247"/>
      <c r="H16" s="247"/>
      <c r="I16" s="247"/>
      <c r="J16" s="1046">
        <v>69983.100000000006</v>
      </c>
      <c r="K16" s="1047" t="s">
        <v>444</v>
      </c>
      <c r="L16" s="1048">
        <v>72195.899999999994</v>
      </c>
      <c r="M16" s="1049">
        <v>73707.5</v>
      </c>
      <c r="N16" s="1918">
        <v>69983.100000000006</v>
      </c>
      <c r="O16" s="1919">
        <v>69983.100000000006</v>
      </c>
      <c r="P16" s="1919">
        <v>69983.100000000006</v>
      </c>
      <c r="Q16" s="1919">
        <v>69983.100000000006</v>
      </c>
      <c r="R16" s="1919">
        <v>69983.100000000006</v>
      </c>
      <c r="V16" s="1918">
        <v>69983.100000000006</v>
      </c>
      <c r="W16" s="1918">
        <v>69983.100000000006</v>
      </c>
      <c r="Y16" s="1"/>
      <c r="Z16" s="237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</row>
    <row r="17" spans="1:26" ht="13" hidden="1" customHeight="1" x14ac:dyDescent="0.3">
      <c r="B17" s="1920"/>
      <c r="C17" s="249"/>
      <c r="D17" s="247"/>
      <c r="E17" s="247"/>
      <c r="F17" s="247"/>
      <c r="G17" s="248" t="s">
        <v>442</v>
      </c>
      <c r="H17" s="248"/>
      <c r="I17" s="247"/>
      <c r="J17" s="1050">
        <f>J16-J26</f>
        <v>0</v>
      </c>
      <c r="K17" s="1047" t="s">
        <v>443</v>
      </c>
      <c r="L17" s="1048">
        <v>1804.9</v>
      </c>
      <c r="M17" s="1051">
        <v>3685.4</v>
      </c>
      <c r="N17" s="1918">
        <f>N16-N26</f>
        <v>0</v>
      </c>
      <c r="O17" s="1919">
        <f>O16-O26</f>
        <v>0</v>
      </c>
      <c r="P17" s="1919">
        <f>P16-P26</f>
        <v>0</v>
      </c>
      <c r="Q17" s="1919">
        <f>Q16-Q26</f>
        <v>0</v>
      </c>
      <c r="R17" s="1919">
        <f>R16-R26</f>
        <v>0</v>
      </c>
      <c r="V17" s="1918">
        <f>V16-V26</f>
        <v>0</v>
      </c>
      <c r="W17" s="1918">
        <f>W16-W26</f>
        <v>0</v>
      </c>
    </row>
    <row r="18" spans="1:26" ht="15.65" hidden="1" customHeight="1" x14ac:dyDescent="0.3">
      <c r="B18" s="3376"/>
      <c r="C18" s="3376"/>
      <c r="D18" s="3376"/>
      <c r="E18" s="3376"/>
      <c r="F18" s="3376"/>
      <c r="G18" s="3376"/>
      <c r="H18" s="3376"/>
      <c r="I18" s="3376"/>
      <c r="J18" s="3376"/>
      <c r="K18" s="242" t="s">
        <v>442</v>
      </c>
      <c r="L18" s="241">
        <f>L16-L17-L26</f>
        <v>-1.8000000272877514E-4</v>
      </c>
      <c r="M18" s="240">
        <f>M16-M17-M26</f>
        <v>4.1740000597201288E-4</v>
      </c>
      <c r="O18" s="1921"/>
      <c r="P18" s="1921"/>
      <c r="Q18" s="1922"/>
      <c r="R18" s="1922"/>
    </row>
    <row r="19" spans="1:26" ht="15.65" customHeight="1" x14ac:dyDescent="0.3">
      <c r="A19" s="3377" t="s">
        <v>441</v>
      </c>
      <c r="B19" s="3377"/>
      <c r="C19" s="3377"/>
      <c r="D19" s="3377"/>
      <c r="E19" s="3377"/>
      <c r="F19" s="3377"/>
      <c r="G19" s="3377"/>
      <c r="H19" s="3377"/>
      <c r="I19" s="3377"/>
      <c r="J19" s="3377"/>
      <c r="K19" s="3377"/>
      <c r="L19" s="3377"/>
      <c r="M19" s="3377"/>
      <c r="N19" s="3377"/>
      <c r="O19" s="3377"/>
      <c r="P19" s="3377"/>
      <c r="Q19" s="3377"/>
      <c r="R19" s="3377"/>
      <c r="V19" s="2"/>
      <c r="W19" s="2"/>
    </row>
    <row r="20" spans="1:26" ht="17.5" customHeight="1" x14ac:dyDescent="0.3">
      <c r="A20" s="3378" t="s">
        <v>440</v>
      </c>
      <c r="B20" s="3378"/>
      <c r="C20" s="3378"/>
      <c r="D20" s="3378"/>
      <c r="E20" s="3378"/>
      <c r="F20" s="3378"/>
      <c r="G20" s="3378"/>
      <c r="H20" s="3378"/>
      <c r="I20" s="3378"/>
      <c r="J20" s="3378"/>
      <c r="K20" s="3378"/>
      <c r="L20" s="3378"/>
      <c r="M20" s="3378"/>
      <c r="N20" s="3378"/>
      <c r="O20" s="3378"/>
      <c r="P20" s="3378"/>
      <c r="Q20" s="3378"/>
      <c r="R20" s="3378"/>
      <c r="V20" s="2"/>
      <c r="W20" s="2"/>
    </row>
    <row r="21" spans="1:26" ht="15" customHeight="1" x14ac:dyDescent="0.3">
      <c r="A21" s="3377" t="s">
        <v>439</v>
      </c>
      <c r="B21" s="3377"/>
      <c r="C21" s="3377"/>
      <c r="D21" s="3377"/>
      <c r="E21" s="3377"/>
      <c r="F21" s="3377"/>
      <c r="G21" s="3377"/>
      <c r="H21" s="3377"/>
      <c r="I21" s="3377"/>
      <c r="J21" s="3377"/>
      <c r="K21" s="3377"/>
      <c r="L21" s="3377"/>
      <c r="M21" s="3377"/>
      <c r="N21" s="3377"/>
      <c r="O21" s="3377"/>
      <c r="P21" s="3377"/>
      <c r="Q21" s="3377"/>
      <c r="R21" s="3377"/>
      <c r="V21" s="2"/>
      <c r="W21" s="2"/>
    </row>
    <row r="22" spans="1:26" ht="13.5" customHeight="1" x14ac:dyDescent="0.3">
      <c r="A22" s="3377" t="s">
        <v>438</v>
      </c>
      <c r="B22" s="3377"/>
      <c r="C22" s="3377"/>
      <c r="D22" s="3377"/>
      <c r="E22" s="3377"/>
      <c r="F22" s="3377"/>
      <c r="G22" s="3377"/>
      <c r="H22" s="3377"/>
      <c r="I22" s="3377"/>
      <c r="J22" s="3377"/>
      <c r="K22" s="3377"/>
      <c r="L22" s="3377"/>
      <c r="M22" s="3377"/>
      <c r="N22" s="3377"/>
      <c r="O22" s="3377"/>
      <c r="P22" s="3377"/>
      <c r="Q22" s="3377"/>
      <c r="R22" s="3377"/>
      <c r="V22" s="2"/>
      <c r="W22" s="2"/>
    </row>
    <row r="23" spans="1:26" ht="16.149999999999999" customHeight="1" x14ac:dyDescent="0.3">
      <c r="A23" s="3377" t="s">
        <v>1197</v>
      </c>
      <c r="B23" s="3377"/>
      <c r="C23" s="3377"/>
      <c r="D23" s="3377"/>
      <c r="E23" s="3377"/>
      <c r="F23" s="3377"/>
      <c r="G23" s="3377"/>
      <c r="H23" s="3377"/>
      <c r="I23" s="3377"/>
      <c r="J23" s="3377"/>
      <c r="K23" s="3377"/>
      <c r="L23" s="3377"/>
      <c r="M23" s="3377"/>
      <c r="N23" s="3377"/>
      <c r="O23" s="3377"/>
      <c r="P23" s="3377"/>
      <c r="Q23" s="3377"/>
      <c r="R23" s="3377"/>
      <c r="V23" s="2"/>
      <c r="W23" s="2"/>
    </row>
    <row r="24" spans="1:26" ht="16" thickBot="1" x14ac:dyDescent="0.4">
      <c r="B24" s="236"/>
      <c r="C24" s="235"/>
      <c r="D24" s="234"/>
      <c r="E24" s="234"/>
      <c r="F24" s="234"/>
      <c r="G24" s="234"/>
      <c r="H24" s="234"/>
      <c r="I24" s="234"/>
      <c r="J24" s="1052" t="s">
        <v>437</v>
      </c>
      <c r="K24" s="1052"/>
      <c r="L24" s="1052"/>
      <c r="M24" s="1052"/>
      <c r="N24" s="1923"/>
      <c r="O24" s="1924" t="s">
        <v>437</v>
      </c>
      <c r="P24" s="1924" t="s">
        <v>437</v>
      </c>
      <c r="Q24" s="1924"/>
      <c r="R24" s="1924" t="s">
        <v>829</v>
      </c>
      <c r="V24" s="1923"/>
      <c r="W24" s="1923"/>
    </row>
    <row r="25" spans="1:26" ht="65.5" hidden="1" thickBot="1" x14ac:dyDescent="0.3">
      <c r="B25" s="232" t="s">
        <v>322</v>
      </c>
      <c r="C25" s="94" t="s">
        <v>436</v>
      </c>
      <c r="D25" s="94" t="s">
        <v>435</v>
      </c>
      <c r="E25" s="94" t="s">
        <v>434</v>
      </c>
      <c r="F25" s="94" t="s">
        <v>321</v>
      </c>
      <c r="G25" s="94" t="s">
        <v>320</v>
      </c>
      <c r="H25" s="94"/>
      <c r="I25" s="94" t="s">
        <v>433</v>
      </c>
      <c r="J25" s="1053" t="s">
        <v>319</v>
      </c>
      <c r="K25" s="1053"/>
      <c r="L25" s="1925" t="s">
        <v>318</v>
      </c>
      <c r="M25" s="1925" t="s">
        <v>317</v>
      </c>
      <c r="N25" s="1926" t="s">
        <v>319</v>
      </c>
      <c r="O25" s="1927" t="s">
        <v>319</v>
      </c>
      <c r="P25" s="1927" t="s">
        <v>319</v>
      </c>
      <c r="Q25" s="1928" t="s">
        <v>319</v>
      </c>
      <c r="R25" s="1928" t="s">
        <v>319</v>
      </c>
      <c r="V25" s="1926" t="s">
        <v>319</v>
      </c>
      <c r="W25" s="1926" t="s">
        <v>319</v>
      </c>
    </row>
    <row r="26" spans="1:26" s="83" customFormat="1" ht="15.5" hidden="1" thickBot="1" x14ac:dyDescent="0.35">
      <c r="B26" s="229" t="s">
        <v>432</v>
      </c>
      <c r="C26" s="228" t="s">
        <v>71</v>
      </c>
      <c r="D26" s="228" t="s">
        <v>71</v>
      </c>
      <c r="E26" s="228" t="s">
        <v>71</v>
      </c>
      <c r="F26" s="228" t="s">
        <v>71</v>
      </c>
      <c r="G26" s="228" t="s">
        <v>71</v>
      </c>
      <c r="H26" s="228"/>
      <c r="I26" s="228" t="s">
        <v>71</v>
      </c>
      <c r="J26" s="1054">
        <f>J27+J70+J75+J89+J111+J150+J158+J172+J179</f>
        <v>69983.100000000006</v>
      </c>
      <c r="K26" s="1055"/>
      <c r="L26" s="1054">
        <f t="shared" ref="L26:R26" si="0">L27+L70+L75+L89+L111+L150+L158+L172+L179</f>
        <v>70391.000180000003</v>
      </c>
      <c r="M26" s="1054">
        <f t="shared" si="0"/>
        <v>70022.0995826</v>
      </c>
      <c r="N26" s="1929">
        <f t="shared" si="0"/>
        <v>69983.100000000006</v>
      </c>
      <c r="O26" s="1930">
        <f t="shared" si="0"/>
        <v>69983.100000000006</v>
      </c>
      <c r="P26" s="1930">
        <f t="shared" si="0"/>
        <v>69983.100000000006</v>
      </c>
      <c r="Q26" s="1930">
        <f t="shared" si="0"/>
        <v>69983.100000000006</v>
      </c>
      <c r="R26" s="1930">
        <f t="shared" si="0"/>
        <v>69983.100000000006</v>
      </c>
      <c r="S26" s="84"/>
      <c r="T26" s="84"/>
      <c r="U26" s="84"/>
      <c r="V26" s="1929">
        <f t="shared" ref="V26:W26" si="1">V27+V70+V75+V89+V111+V150+V158+V172+V179</f>
        <v>69983.100000000006</v>
      </c>
      <c r="W26" s="1929">
        <f t="shared" si="1"/>
        <v>69983.100000000006</v>
      </c>
      <c r="X26" s="84"/>
      <c r="Z26" s="2141"/>
    </row>
    <row r="27" spans="1:26" s="83" customFormat="1" ht="14.5" hidden="1" thickBot="1" x14ac:dyDescent="0.35">
      <c r="B27" s="194" t="s">
        <v>431</v>
      </c>
      <c r="C27" s="193" t="s">
        <v>430</v>
      </c>
      <c r="D27" s="225" t="s">
        <v>69</v>
      </c>
      <c r="E27" s="225"/>
      <c r="F27" s="225"/>
      <c r="G27" s="225"/>
      <c r="H27" s="225"/>
      <c r="I27" s="225"/>
      <c r="J27" s="1056">
        <f>J31+J36+J54+J61+J66</f>
        <v>16206.808000000001</v>
      </c>
      <c r="K27" s="1057"/>
      <c r="L27" s="1056">
        <f t="shared" ref="L27:R27" si="2">L31+L36+L54+L61+L66</f>
        <v>16980.082180000001</v>
      </c>
      <c r="M27" s="1056">
        <f t="shared" si="2"/>
        <v>17936.364582600003</v>
      </c>
      <c r="N27" s="1931">
        <f t="shared" si="2"/>
        <v>16206.808000000001</v>
      </c>
      <c r="O27" s="1932">
        <f t="shared" si="2"/>
        <v>16206.808000000001</v>
      </c>
      <c r="P27" s="1932">
        <f t="shared" si="2"/>
        <v>16206.808000000001</v>
      </c>
      <c r="Q27" s="1932">
        <f t="shared" si="2"/>
        <v>16206.808000000001</v>
      </c>
      <c r="R27" s="1932">
        <f t="shared" si="2"/>
        <v>16206.808000000001</v>
      </c>
      <c r="S27" s="84"/>
      <c r="T27" s="84"/>
      <c r="U27" s="84"/>
      <c r="V27" s="1931">
        <f t="shared" ref="V27:W27" si="3">V31+V36+V54+V61+V66</f>
        <v>16206.808000000001</v>
      </c>
      <c r="W27" s="1931">
        <f t="shared" si="3"/>
        <v>16206.808000000001</v>
      </c>
      <c r="X27" s="84"/>
      <c r="Z27" s="2141"/>
    </row>
    <row r="28" spans="1:26" s="83" customFormat="1" ht="26.5" hidden="1" thickBot="1" x14ac:dyDescent="0.35">
      <c r="B28" s="215" t="s">
        <v>429</v>
      </c>
      <c r="C28" s="118"/>
      <c r="D28" s="89" t="s">
        <v>69</v>
      </c>
      <c r="E28" s="89" t="s">
        <v>427</v>
      </c>
      <c r="F28" s="113"/>
      <c r="G28" s="118"/>
      <c r="H28" s="118"/>
      <c r="I28" s="89" t="s">
        <v>427</v>
      </c>
      <c r="J28" s="1058"/>
      <c r="K28" s="1058"/>
      <c r="L28" s="1058"/>
      <c r="M28" s="1058"/>
      <c r="N28" s="1933"/>
      <c r="O28" s="1934"/>
      <c r="P28" s="1934"/>
      <c r="Q28" s="1934"/>
      <c r="R28" s="1934"/>
      <c r="S28" s="84"/>
      <c r="T28" s="84"/>
      <c r="U28" s="84"/>
      <c r="V28" s="1933"/>
      <c r="W28" s="1933"/>
      <c r="X28" s="84"/>
      <c r="Z28" s="2141"/>
    </row>
    <row r="29" spans="1:26" s="83" customFormat="1" ht="39.5" hidden="1" thickBot="1" x14ac:dyDescent="0.35">
      <c r="B29" s="215" t="s">
        <v>126</v>
      </c>
      <c r="C29" s="118"/>
      <c r="D29" s="89" t="s">
        <v>69</v>
      </c>
      <c r="E29" s="89" t="s">
        <v>427</v>
      </c>
      <c r="F29" s="113">
        <v>9100000</v>
      </c>
      <c r="G29" s="118"/>
      <c r="H29" s="118"/>
      <c r="I29" s="89" t="s">
        <v>427</v>
      </c>
      <c r="J29" s="1058"/>
      <c r="K29" s="1058"/>
      <c r="L29" s="1058"/>
      <c r="M29" s="1058"/>
      <c r="N29" s="1933"/>
      <c r="O29" s="1934"/>
      <c r="P29" s="1934"/>
      <c r="Q29" s="1934"/>
      <c r="R29" s="1934"/>
      <c r="S29" s="84"/>
      <c r="T29" s="84"/>
      <c r="U29" s="84"/>
      <c r="V29" s="1933"/>
      <c r="W29" s="1933"/>
      <c r="X29" s="84"/>
      <c r="Z29" s="2141"/>
    </row>
    <row r="30" spans="1:26" s="83" customFormat="1" ht="25.5" hidden="1" customHeight="1" x14ac:dyDescent="0.3">
      <c r="B30" s="170" t="s">
        <v>428</v>
      </c>
      <c r="C30" s="118"/>
      <c r="D30" s="33" t="s">
        <v>69</v>
      </c>
      <c r="E30" s="33" t="s">
        <v>427</v>
      </c>
      <c r="F30" s="112">
        <v>9100003</v>
      </c>
      <c r="G30" s="118"/>
      <c r="H30" s="118"/>
      <c r="I30" s="33" t="s">
        <v>427</v>
      </c>
      <c r="J30" s="1058"/>
      <c r="K30" s="1058"/>
      <c r="L30" s="1058"/>
      <c r="M30" s="1058"/>
      <c r="N30" s="1933"/>
      <c r="O30" s="1934"/>
      <c r="P30" s="1934"/>
      <c r="Q30" s="1934"/>
      <c r="R30" s="1934"/>
      <c r="S30" s="84"/>
      <c r="T30" s="84"/>
      <c r="U30" s="84"/>
      <c r="V30" s="1933"/>
      <c r="W30" s="1933"/>
      <c r="X30" s="84"/>
      <c r="Z30" s="2141"/>
    </row>
    <row r="31" spans="1:26" s="83" customFormat="1" ht="39.5" hidden="1" thickBot="1" x14ac:dyDescent="0.35">
      <c r="B31" s="215" t="s">
        <v>114</v>
      </c>
      <c r="C31" s="118"/>
      <c r="D31" s="89" t="s">
        <v>69</v>
      </c>
      <c r="E31" s="89" t="s">
        <v>112</v>
      </c>
      <c r="F31" s="112"/>
      <c r="G31" s="118"/>
      <c r="H31" s="118"/>
      <c r="I31" s="89" t="s">
        <v>112</v>
      </c>
      <c r="J31" s="1059">
        <f>J32</f>
        <v>2155.7860000000001</v>
      </c>
      <c r="K31" s="1058"/>
      <c r="L31" s="1059">
        <f t="shared" ref="L31:R32" si="4">L32</f>
        <v>2285.1331600000003</v>
      </c>
      <c r="M31" s="1059">
        <f t="shared" si="4"/>
        <v>2445.0924812000003</v>
      </c>
      <c r="N31" s="1933">
        <f t="shared" si="4"/>
        <v>2155.7860000000001</v>
      </c>
      <c r="O31" s="1934">
        <f t="shared" si="4"/>
        <v>2155.7860000000001</v>
      </c>
      <c r="P31" s="1934">
        <f t="shared" si="4"/>
        <v>2155.7860000000001</v>
      </c>
      <c r="Q31" s="1934">
        <f t="shared" si="4"/>
        <v>2155.7860000000001</v>
      </c>
      <c r="R31" s="1934">
        <f t="shared" si="4"/>
        <v>2155.7860000000001</v>
      </c>
      <c r="S31" s="84"/>
      <c r="T31" s="84"/>
      <c r="U31" s="84"/>
      <c r="V31" s="1933">
        <f t="shared" ref="V31:W32" si="5">V32</f>
        <v>2155.7860000000001</v>
      </c>
      <c r="W31" s="1933">
        <f t="shared" si="5"/>
        <v>2155.7860000000001</v>
      </c>
      <c r="X31" s="84"/>
      <c r="Z31" s="2141"/>
    </row>
    <row r="32" spans="1:26" s="83" customFormat="1" ht="39.5" hidden="1" thickBot="1" x14ac:dyDescent="0.35">
      <c r="B32" s="215" t="s">
        <v>126</v>
      </c>
      <c r="C32" s="118"/>
      <c r="D32" s="89" t="s">
        <v>69</v>
      </c>
      <c r="E32" s="89" t="s">
        <v>112</v>
      </c>
      <c r="F32" s="113">
        <v>9100000</v>
      </c>
      <c r="G32" s="118"/>
      <c r="H32" s="118"/>
      <c r="I32" s="89" t="s">
        <v>112</v>
      </c>
      <c r="J32" s="1059">
        <f>J33</f>
        <v>2155.7860000000001</v>
      </c>
      <c r="K32" s="1059"/>
      <c r="L32" s="1059">
        <f t="shared" si="4"/>
        <v>2285.1331600000003</v>
      </c>
      <c r="M32" s="1059">
        <f t="shared" si="4"/>
        <v>2445.0924812000003</v>
      </c>
      <c r="N32" s="1933">
        <f t="shared" si="4"/>
        <v>2155.7860000000001</v>
      </c>
      <c r="O32" s="1934">
        <f t="shared" si="4"/>
        <v>2155.7860000000001</v>
      </c>
      <c r="P32" s="1934">
        <f t="shared" si="4"/>
        <v>2155.7860000000001</v>
      </c>
      <c r="Q32" s="1934">
        <f t="shared" si="4"/>
        <v>2155.7860000000001</v>
      </c>
      <c r="R32" s="1934">
        <f t="shared" si="4"/>
        <v>2155.7860000000001</v>
      </c>
      <c r="S32" s="84"/>
      <c r="T32" s="84"/>
      <c r="U32" s="84"/>
      <c r="V32" s="1933">
        <f t="shared" si="5"/>
        <v>2155.7860000000001</v>
      </c>
      <c r="W32" s="1933">
        <f t="shared" si="5"/>
        <v>2155.7860000000001</v>
      </c>
      <c r="X32" s="84"/>
      <c r="Z32" s="2141"/>
    </row>
    <row r="33" spans="1:256" s="83" customFormat="1" ht="22.15" hidden="1" customHeight="1" x14ac:dyDescent="0.3">
      <c r="B33" s="170" t="s">
        <v>153</v>
      </c>
      <c r="C33" s="118"/>
      <c r="D33" s="33" t="s">
        <v>69</v>
      </c>
      <c r="E33" s="33" t="s">
        <v>112</v>
      </c>
      <c r="F33" s="113">
        <v>9100004</v>
      </c>
      <c r="G33" s="118"/>
      <c r="H33" s="118"/>
      <c r="I33" s="33" t="s">
        <v>112</v>
      </c>
      <c r="J33" s="1059">
        <f>J34+J35</f>
        <v>2155.7860000000001</v>
      </c>
      <c r="K33" s="1058"/>
      <c r="L33" s="1059">
        <f t="shared" ref="L33:R33" si="6">L34+L35</f>
        <v>2285.1331600000003</v>
      </c>
      <c r="M33" s="1059">
        <f t="shared" si="6"/>
        <v>2445.0924812000003</v>
      </c>
      <c r="N33" s="1933">
        <f t="shared" si="6"/>
        <v>2155.7860000000001</v>
      </c>
      <c r="O33" s="1934">
        <f t="shared" si="6"/>
        <v>2155.7860000000001</v>
      </c>
      <c r="P33" s="1934">
        <f t="shared" si="6"/>
        <v>2155.7860000000001</v>
      </c>
      <c r="Q33" s="1934">
        <f t="shared" si="6"/>
        <v>2155.7860000000001</v>
      </c>
      <c r="R33" s="1934">
        <f t="shared" si="6"/>
        <v>2155.7860000000001</v>
      </c>
      <c r="S33" s="84"/>
      <c r="T33" s="84"/>
      <c r="U33" s="84"/>
      <c r="V33" s="1933">
        <f t="shared" ref="V33:W33" si="7">V34+V35</f>
        <v>2155.7860000000001</v>
      </c>
      <c r="W33" s="1933">
        <f t="shared" si="7"/>
        <v>2155.7860000000001</v>
      </c>
      <c r="X33" s="84"/>
      <c r="Z33" s="2141"/>
    </row>
    <row r="34" spans="1:256" s="83" customFormat="1" ht="16.149999999999999" hidden="1" customHeight="1" x14ac:dyDescent="0.3">
      <c r="B34" s="1935" t="s">
        <v>410</v>
      </c>
      <c r="C34" s="118"/>
      <c r="D34" s="33" t="s">
        <v>69</v>
      </c>
      <c r="E34" s="33" t="s">
        <v>112</v>
      </c>
      <c r="F34" s="112">
        <v>9100004</v>
      </c>
      <c r="G34" s="119">
        <v>120</v>
      </c>
      <c r="H34" s="119"/>
      <c r="I34" s="33" t="s">
        <v>112</v>
      </c>
      <c r="J34" s="1060">
        <v>1300.211</v>
      </c>
      <c r="K34" s="1059"/>
      <c r="L34" s="1061">
        <f>J34*106%</f>
        <v>1378.2236600000001</v>
      </c>
      <c r="M34" s="1061">
        <f>L34*107%</f>
        <v>1474.6993162000001</v>
      </c>
      <c r="N34" s="1936">
        <v>1300.211</v>
      </c>
      <c r="O34" s="1937">
        <v>1300.211</v>
      </c>
      <c r="P34" s="1937">
        <v>1300.211</v>
      </c>
      <c r="Q34" s="1937">
        <v>1300.211</v>
      </c>
      <c r="R34" s="1937">
        <v>1300.211</v>
      </c>
      <c r="S34" s="84"/>
      <c r="T34" s="84"/>
      <c r="U34" s="84"/>
      <c r="V34" s="1936">
        <v>1300.211</v>
      </c>
      <c r="W34" s="1936">
        <v>1300.211</v>
      </c>
      <c r="X34" s="84"/>
      <c r="Z34" s="2141"/>
    </row>
    <row r="35" spans="1:256" s="83" customFormat="1" ht="18.649999999999999" hidden="1" customHeight="1" x14ac:dyDescent="0.3">
      <c r="B35" s="1935" t="s">
        <v>16</v>
      </c>
      <c r="C35" s="118"/>
      <c r="D35" s="33" t="s">
        <v>69</v>
      </c>
      <c r="E35" s="33" t="s">
        <v>112</v>
      </c>
      <c r="F35" s="112">
        <v>9100004</v>
      </c>
      <c r="G35" s="119">
        <v>240</v>
      </c>
      <c r="H35" s="119"/>
      <c r="I35" s="33" t="s">
        <v>112</v>
      </c>
      <c r="J35" s="1062">
        <v>855.57500000000005</v>
      </c>
      <c r="K35" s="1058"/>
      <c r="L35" s="1063">
        <f>J35*106%</f>
        <v>906.90950000000009</v>
      </c>
      <c r="M35" s="1063">
        <f>L35*107%</f>
        <v>970.39316500000018</v>
      </c>
      <c r="N35" s="1936">
        <v>855.57500000000005</v>
      </c>
      <c r="O35" s="1937">
        <v>855.57500000000005</v>
      </c>
      <c r="P35" s="1937">
        <v>855.57500000000005</v>
      </c>
      <c r="Q35" s="1937">
        <v>855.57500000000005</v>
      </c>
      <c r="R35" s="1937">
        <v>855.57500000000005</v>
      </c>
      <c r="S35" s="84"/>
      <c r="T35" s="84"/>
      <c r="U35" s="84"/>
      <c r="V35" s="1936">
        <v>855.57500000000005</v>
      </c>
      <c r="W35" s="1936">
        <v>855.57500000000005</v>
      </c>
      <c r="X35" s="84"/>
      <c r="Z35" s="2141"/>
    </row>
    <row r="36" spans="1:256" ht="39.5" hidden="1" thickBot="1" x14ac:dyDescent="0.3">
      <c r="B36" s="52" t="s">
        <v>105</v>
      </c>
      <c r="C36" s="88" t="s">
        <v>106</v>
      </c>
      <c r="D36" s="94" t="s">
        <v>69</v>
      </c>
      <c r="E36" s="94" t="s">
        <v>103</v>
      </c>
      <c r="F36" s="94" t="s">
        <v>71</v>
      </c>
      <c r="G36" s="94" t="s">
        <v>71</v>
      </c>
      <c r="H36" s="94"/>
      <c r="I36" s="94" t="s">
        <v>103</v>
      </c>
      <c r="J36" s="1064">
        <f>J37</f>
        <v>11843.717000000001</v>
      </c>
      <c r="K36" s="1065"/>
      <c r="L36" s="1064">
        <f t="shared" ref="L36:R36" si="8">L37</f>
        <v>12487.644020000002</v>
      </c>
      <c r="M36" s="1064">
        <f t="shared" si="8"/>
        <v>13283.967101400003</v>
      </c>
      <c r="N36" s="1938">
        <f t="shared" si="8"/>
        <v>11843.717000000001</v>
      </c>
      <c r="O36" s="1939">
        <f t="shared" si="8"/>
        <v>11843.717000000001</v>
      </c>
      <c r="P36" s="1939">
        <f t="shared" si="8"/>
        <v>11843.717000000001</v>
      </c>
      <c r="Q36" s="1939">
        <f t="shared" si="8"/>
        <v>11843.717000000001</v>
      </c>
      <c r="R36" s="1939">
        <f t="shared" si="8"/>
        <v>11843.717000000001</v>
      </c>
      <c r="V36" s="1938">
        <f t="shared" ref="V36:W36" si="9">V37</f>
        <v>11843.717000000001</v>
      </c>
      <c r="W36" s="1938">
        <f t="shared" si="9"/>
        <v>11843.717000000001</v>
      </c>
    </row>
    <row r="37" spans="1:256" ht="42.75" hidden="1" customHeight="1" x14ac:dyDescent="0.25">
      <c r="B37" s="52" t="s">
        <v>126</v>
      </c>
      <c r="C37" s="94" t="s">
        <v>106</v>
      </c>
      <c r="D37" s="94" t="s">
        <v>69</v>
      </c>
      <c r="E37" s="94" t="s">
        <v>103</v>
      </c>
      <c r="F37" s="94">
        <v>9100000</v>
      </c>
      <c r="G37" s="94" t="s">
        <v>71</v>
      </c>
      <c r="H37" s="94"/>
      <c r="I37" s="94" t="s">
        <v>103</v>
      </c>
      <c r="J37" s="1064">
        <f>J38+J41+J43+J45+J48+J51</f>
        <v>11843.717000000001</v>
      </c>
      <c r="K37" s="1065"/>
      <c r="L37" s="1064">
        <f t="shared" ref="L37:R37" si="10">L38+L41+L43+L45+L48+L51</f>
        <v>12487.644020000002</v>
      </c>
      <c r="M37" s="1064">
        <f t="shared" si="10"/>
        <v>13283.967101400003</v>
      </c>
      <c r="N37" s="1938">
        <f t="shared" si="10"/>
        <v>11843.717000000001</v>
      </c>
      <c r="O37" s="1939">
        <f t="shared" si="10"/>
        <v>11843.717000000001</v>
      </c>
      <c r="P37" s="1939">
        <f t="shared" si="10"/>
        <v>11843.717000000001</v>
      </c>
      <c r="Q37" s="1939">
        <f t="shared" si="10"/>
        <v>11843.717000000001</v>
      </c>
      <c r="R37" s="1939">
        <f t="shared" si="10"/>
        <v>11843.717000000001</v>
      </c>
      <c r="V37" s="1938">
        <f t="shared" ref="V37:W37" si="11">V38+V41+V43+V45+V48+V51</f>
        <v>11843.717000000001</v>
      </c>
      <c r="W37" s="1938">
        <f t="shared" si="11"/>
        <v>11843.717000000001</v>
      </c>
    </row>
    <row r="38" spans="1:256" ht="21" hidden="1" customHeight="1" x14ac:dyDescent="0.25">
      <c r="B38" s="49" t="s">
        <v>153</v>
      </c>
      <c r="C38" s="88" t="s">
        <v>106</v>
      </c>
      <c r="D38" s="88" t="s">
        <v>69</v>
      </c>
      <c r="E38" s="88" t="s">
        <v>103</v>
      </c>
      <c r="F38" s="94">
        <v>9100004</v>
      </c>
      <c r="G38" s="88" t="s">
        <v>71</v>
      </c>
      <c r="H38" s="88"/>
      <c r="I38" s="88" t="s">
        <v>103</v>
      </c>
      <c r="J38" s="1066">
        <f>J39+J40</f>
        <v>9577.5059999999994</v>
      </c>
      <c r="K38" s="1063"/>
      <c r="L38" s="1066">
        <f t="shared" ref="L38:R38" si="12">L39+L40</f>
        <v>10152.156360000001</v>
      </c>
      <c r="M38" s="1066">
        <f t="shared" si="12"/>
        <v>10862.807305200002</v>
      </c>
      <c r="N38" s="1940">
        <f t="shared" si="12"/>
        <v>9577.5059999999994</v>
      </c>
      <c r="O38" s="1941">
        <f t="shared" si="12"/>
        <v>9577.5059999999994</v>
      </c>
      <c r="P38" s="1941">
        <f t="shared" si="12"/>
        <v>9577.5059999999994</v>
      </c>
      <c r="Q38" s="1941">
        <f t="shared" si="12"/>
        <v>9577.5059999999994</v>
      </c>
      <c r="R38" s="1941">
        <f t="shared" si="12"/>
        <v>9577.5059999999994</v>
      </c>
      <c r="V38" s="1940">
        <f t="shared" ref="V38:W38" si="13">V39+V40</f>
        <v>9577.5059999999994</v>
      </c>
      <c r="W38" s="1940">
        <f t="shared" si="13"/>
        <v>9577.5059999999994</v>
      </c>
    </row>
    <row r="39" spans="1:256" s="2" customFormat="1" ht="21" hidden="1" customHeight="1" x14ac:dyDescent="0.3">
      <c r="A39" s="1"/>
      <c r="B39" s="1935" t="s">
        <v>410</v>
      </c>
      <c r="C39" s="88"/>
      <c r="D39" s="88" t="s">
        <v>69</v>
      </c>
      <c r="E39" s="88" t="s">
        <v>103</v>
      </c>
      <c r="F39" s="88">
        <v>9100004</v>
      </c>
      <c r="G39" s="88">
        <v>120</v>
      </c>
      <c r="H39" s="88"/>
      <c r="I39" s="88" t="s">
        <v>103</v>
      </c>
      <c r="J39" s="1061">
        <v>7361.933</v>
      </c>
      <c r="K39" s="1061"/>
      <c r="L39" s="1061">
        <f>J39*106%</f>
        <v>7803.6489799999999</v>
      </c>
      <c r="M39" s="1061">
        <f>L39*107%</f>
        <v>8349.9044086000013</v>
      </c>
      <c r="N39" s="1940">
        <v>7361.933</v>
      </c>
      <c r="O39" s="1941">
        <v>7361.933</v>
      </c>
      <c r="P39" s="1941">
        <v>7361.933</v>
      </c>
      <c r="Q39" s="1941">
        <v>7361.933</v>
      </c>
      <c r="R39" s="1941">
        <v>7361.933</v>
      </c>
      <c r="V39" s="1940">
        <v>7361.933</v>
      </c>
      <c r="W39" s="1940">
        <v>7361.933</v>
      </c>
      <c r="Y39" s="1"/>
      <c r="Z39" s="237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</row>
    <row r="40" spans="1:256" s="2" customFormat="1" ht="21" hidden="1" customHeight="1" x14ac:dyDescent="0.3">
      <c r="A40" s="1"/>
      <c r="B40" s="1935" t="s">
        <v>16</v>
      </c>
      <c r="C40" s="88"/>
      <c r="D40" s="88" t="s">
        <v>69</v>
      </c>
      <c r="E40" s="88" t="s">
        <v>103</v>
      </c>
      <c r="F40" s="88">
        <v>9100004</v>
      </c>
      <c r="G40" s="88">
        <v>240</v>
      </c>
      <c r="H40" s="88"/>
      <c r="I40" s="88" t="s">
        <v>103</v>
      </c>
      <c r="J40" s="1061">
        <v>2215.5729999999999</v>
      </c>
      <c r="K40" s="1061"/>
      <c r="L40" s="1061">
        <f>J40*106%</f>
        <v>2348.50738</v>
      </c>
      <c r="M40" s="1061">
        <f>L40*107%</f>
        <v>2512.9028966000001</v>
      </c>
      <c r="N40" s="1940">
        <v>2215.5729999999999</v>
      </c>
      <c r="O40" s="1941">
        <v>2215.5729999999999</v>
      </c>
      <c r="P40" s="1941">
        <v>2215.5729999999999</v>
      </c>
      <c r="Q40" s="1941">
        <v>2215.5729999999999</v>
      </c>
      <c r="R40" s="1941">
        <v>2215.5729999999999</v>
      </c>
      <c r="V40" s="1940">
        <v>2215.5729999999999</v>
      </c>
      <c r="W40" s="1940">
        <v>2215.5729999999999</v>
      </c>
      <c r="Y40" s="1"/>
      <c r="Z40" s="237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</row>
    <row r="41" spans="1:256" s="2" customFormat="1" ht="26.5" hidden="1" thickBot="1" x14ac:dyDescent="0.3">
      <c r="A41" s="1"/>
      <c r="B41" s="49" t="s">
        <v>426</v>
      </c>
      <c r="C41" s="88" t="s">
        <v>106</v>
      </c>
      <c r="D41" s="88" t="s">
        <v>69</v>
      </c>
      <c r="E41" s="88" t="s">
        <v>103</v>
      </c>
      <c r="F41" s="34" t="s">
        <v>425</v>
      </c>
      <c r="G41" s="9"/>
      <c r="H41" s="9"/>
      <c r="I41" s="88" t="s">
        <v>103</v>
      </c>
      <c r="J41" s="1060">
        <f>J42</f>
        <v>1154.6110000000001</v>
      </c>
      <c r="K41" s="1060"/>
      <c r="L41" s="1060">
        <f t="shared" ref="L41:R41" si="14">L42</f>
        <v>1223.8876600000001</v>
      </c>
      <c r="M41" s="1060">
        <f t="shared" si="14"/>
        <v>1309.5597962000002</v>
      </c>
      <c r="N41" s="1936">
        <f t="shared" si="14"/>
        <v>1154.6110000000001</v>
      </c>
      <c r="O41" s="1937">
        <f t="shared" si="14"/>
        <v>1154.6110000000001</v>
      </c>
      <c r="P41" s="1937">
        <f t="shared" si="14"/>
        <v>1154.6110000000001</v>
      </c>
      <c r="Q41" s="1937">
        <f t="shared" si="14"/>
        <v>1154.6110000000001</v>
      </c>
      <c r="R41" s="1937">
        <f t="shared" si="14"/>
        <v>1154.6110000000001</v>
      </c>
      <c r="V41" s="1936">
        <f t="shared" ref="V41:W41" si="15">V42</f>
        <v>1154.6110000000001</v>
      </c>
      <c r="W41" s="1936">
        <f t="shared" si="15"/>
        <v>1154.6110000000001</v>
      </c>
      <c r="Y41" s="1"/>
      <c r="Z41" s="237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spans="1:256" s="2" customFormat="1" ht="13.5" hidden="1" thickBot="1" x14ac:dyDescent="0.35">
      <c r="A42" s="1"/>
      <c r="B42" s="1935" t="s">
        <v>410</v>
      </c>
      <c r="C42" s="88"/>
      <c r="D42" s="88" t="s">
        <v>69</v>
      </c>
      <c r="E42" s="88" t="s">
        <v>103</v>
      </c>
      <c r="F42" s="9" t="s">
        <v>425</v>
      </c>
      <c r="G42" s="88">
        <v>120</v>
      </c>
      <c r="H42" s="88"/>
      <c r="I42" s="88" t="s">
        <v>103</v>
      </c>
      <c r="J42" s="1060">
        <v>1154.6110000000001</v>
      </c>
      <c r="K42" s="1060"/>
      <c r="L42" s="1061">
        <f>J42*106%</f>
        <v>1223.8876600000001</v>
      </c>
      <c r="M42" s="1061">
        <f>L42*107%</f>
        <v>1309.5597962000002</v>
      </c>
      <c r="N42" s="1936">
        <v>1154.6110000000001</v>
      </c>
      <c r="O42" s="1937">
        <v>1154.6110000000001</v>
      </c>
      <c r="P42" s="1937">
        <v>1154.6110000000001</v>
      </c>
      <c r="Q42" s="1937">
        <v>1154.6110000000001</v>
      </c>
      <c r="R42" s="1937">
        <v>1154.6110000000001</v>
      </c>
      <c r="V42" s="1936">
        <v>1154.6110000000001</v>
      </c>
      <c r="W42" s="1936">
        <v>1154.6110000000001</v>
      </c>
      <c r="Y42" s="1"/>
      <c r="Z42" s="237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spans="1:256" s="2" customFormat="1" ht="26.5" hidden="1" thickBot="1" x14ac:dyDescent="0.3">
      <c r="A43" s="1"/>
      <c r="B43" s="90" t="s">
        <v>424</v>
      </c>
      <c r="C43" s="88"/>
      <c r="D43" s="88" t="s">
        <v>69</v>
      </c>
      <c r="E43" s="88" t="s">
        <v>103</v>
      </c>
      <c r="F43" s="34" t="s">
        <v>141</v>
      </c>
      <c r="G43" s="9"/>
      <c r="H43" s="9"/>
      <c r="I43" s="88" t="s">
        <v>103</v>
      </c>
      <c r="J43" s="1065">
        <f>J44</f>
        <v>171.8</v>
      </c>
      <c r="K43" s="1065"/>
      <c r="L43" s="1065">
        <f t="shared" ref="L43:R43" si="16">L44</f>
        <v>171.8</v>
      </c>
      <c r="M43" s="1065">
        <f t="shared" si="16"/>
        <v>171.8</v>
      </c>
      <c r="N43" s="1938">
        <f t="shared" si="16"/>
        <v>171.8</v>
      </c>
      <c r="O43" s="1939">
        <f t="shared" si="16"/>
        <v>171.8</v>
      </c>
      <c r="P43" s="1939">
        <f t="shared" si="16"/>
        <v>171.8</v>
      </c>
      <c r="Q43" s="1939">
        <f t="shared" si="16"/>
        <v>171.8</v>
      </c>
      <c r="R43" s="1939">
        <f t="shared" si="16"/>
        <v>171.8</v>
      </c>
      <c r="V43" s="1938">
        <f t="shared" ref="V43:W43" si="17">V44</f>
        <v>171.8</v>
      </c>
      <c r="W43" s="1938">
        <f t="shared" si="17"/>
        <v>171.8</v>
      </c>
      <c r="Y43" s="1"/>
      <c r="Z43" s="237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spans="1:256" s="2" customFormat="1" ht="13.5" hidden="1" thickBot="1" x14ac:dyDescent="0.35">
      <c r="A44" s="1"/>
      <c r="B44" s="1935" t="s">
        <v>142</v>
      </c>
      <c r="C44" s="88"/>
      <c r="D44" s="88" t="s">
        <v>69</v>
      </c>
      <c r="E44" s="88" t="s">
        <v>103</v>
      </c>
      <c r="F44" s="9" t="s">
        <v>141</v>
      </c>
      <c r="G44" s="9" t="s">
        <v>140</v>
      </c>
      <c r="H44" s="9"/>
      <c r="I44" s="88" t="s">
        <v>103</v>
      </c>
      <c r="J44" s="1063">
        <v>171.8</v>
      </c>
      <c r="K44" s="1063"/>
      <c r="L44" s="1063">
        <v>171.8</v>
      </c>
      <c r="M44" s="1063">
        <v>171.8</v>
      </c>
      <c r="N44" s="1940">
        <v>171.8</v>
      </c>
      <c r="O44" s="1941">
        <v>171.8</v>
      </c>
      <c r="P44" s="1941">
        <v>171.8</v>
      </c>
      <c r="Q44" s="1941">
        <v>171.8</v>
      </c>
      <c r="R44" s="1941">
        <v>171.8</v>
      </c>
      <c r="V44" s="1940">
        <v>171.8</v>
      </c>
      <c r="W44" s="1940">
        <v>171.8</v>
      </c>
      <c r="Y44" s="1"/>
      <c r="Z44" s="237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spans="1:256" s="2" customFormat="1" ht="45.75" hidden="1" customHeight="1" x14ac:dyDescent="0.25">
      <c r="A45" s="1"/>
      <c r="B45" s="218" t="s">
        <v>423</v>
      </c>
      <c r="C45" s="88"/>
      <c r="D45" s="9" t="s">
        <v>69</v>
      </c>
      <c r="E45" s="9" t="s">
        <v>103</v>
      </c>
      <c r="F45" s="34" t="s">
        <v>136</v>
      </c>
      <c r="G45" s="9"/>
      <c r="H45" s="9"/>
      <c r="I45" s="9" t="s">
        <v>103</v>
      </c>
      <c r="J45" s="1065">
        <f>J47</f>
        <v>263</v>
      </c>
      <c r="K45" s="1065"/>
      <c r="L45" s="1065">
        <f t="shared" ref="L45:R45" si="18">L47</f>
        <v>263</v>
      </c>
      <c r="M45" s="1065">
        <f t="shared" si="18"/>
        <v>263</v>
      </c>
      <c r="N45" s="1938">
        <f t="shared" si="18"/>
        <v>263</v>
      </c>
      <c r="O45" s="1939">
        <f t="shared" si="18"/>
        <v>263</v>
      </c>
      <c r="P45" s="1939">
        <f t="shared" si="18"/>
        <v>263</v>
      </c>
      <c r="Q45" s="1939">
        <f t="shared" si="18"/>
        <v>263</v>
      </c>
      <c r="R45" s="1939">
        <f t="shared" si="18"/>
        <v>263</v>
      </c>
      <c r="V45" s="1938">
        <f t="shared" ref="V45:W45" si="19">V47</f>
        <v>263</v>
      </c>
      <c r="W45" s="1938">
        <f t="shared" si="19"/>
        <v>263</v>
      </c>
      <c r="Y45" s="1"/>
      <c r="Z45" s="237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spans="1:256" s="2" customFormat="1" ht="46.5" hidden="1" customHeight="1" x14ac:dyDescent="0.25">
      <c r="A46" s="1"/>
      <c r="B46" s="42" t="s">
        <v>138</v>
      </c>
      <c r="C46" s="9"/>
      <c r="D46" s="9" t="s">
        <v>69</v>
      </c>
      <c r="E46" s="9" t="s">
        <v>103</v>
      </c>
      <c r="F46" s="9" t="s">
        <v>137</v>
      </c>
      <c r="G46" s="9"/>
      <c r="H46" s="9"/>
      <c r="I46" s="9" t="s">
        <v>103</v>
      </c>
      <c r="J46" s="1062"/>
      <c r="K46" s="1062"/>
      <c r="L46" s="1062"/>
      <c r="M46" s="1062"/>
      <c r="N46" s="1936"/>
      <c r="O46" s="1937"/>
      <c r="P46" s="1937"/>
      <c r="Q46" s="1937"/>
      <c r="R46" s="1937"/>
      <c r="V46" s="1936"/>
      <c r="W46" s="1936"/>
      <c r="Y46" s="1"/>
      <c r="Z46" s="237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spans="1:256" s="2" customFormat="1" ht="15" hidden="1" customHeight="1" x14ac:dyDescent="0.3">
      <c r="A47" s="1"/>
      <c r="B47" s="1935" t="s">
        <v>123</v>
      </c>
      <c r="C47" s="9"/>
      <c r="D47" s="9" t="s">
        <v>69</v>
      </c>
      <c r="E47" s="9" t="s">
        <v>103</v>
      </c>
      <c r="F47" s="9" t="s">
        <v>136</v>
      </c>
      <c r="G47" s="9" t="s">
        <v>120</v>
      </c>
      <c r="H47" s="9"/>
      <c r="I47" s="9" t="s">
        <v>103</v>
      </c>
      <c r="J47" s="1062">
        <v>263</v>
      </c>
      <c r="K47" s="1062"/>
      <c r="L47" s="1062">
        <v>263</v>
      </c>
      <c r="M47" s="1062">
        <v>263</v>
      </c>
      <c r="N47" s="1936">
        <v>263</v>
      </c>
      <c r="O47" s="1937">
        <v>263</v>
      </c>
      <c r="P47" s="1937">
        <v>263</v>
      </c>
      <c r="Q47" s="1937">
        <v>263</v>
      </c>
      <c r="R47" s="1937">
        <v>263</v>
      </c>
      <c r="V47" s="1936">
        <v>263</v>
      </c>
      <c r="W47" s="1936">
        <v>263</v>
      </c>
      <c r="Y47" s="1"/>
      <c r="Z47" s="237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spans="1:256" s="2" customFormat="1" ht="67.5" hidden="1" customHeight="1" x14ac:dyDescent="0.25">
      <c r="A48" s="1"/>
      <c r="B48" s="223" t="s">
        <v>422</v>
      </c>
      <c r="C48" s="9"/>
      <c r="D48" s="9" t="s">
        <v>69</v>
      </c>
      <c r="E48" s="9" t="s">
        <v>103</v>
      </c>
      <c r="F48" s="34" t="s">
        <v>132</v>
      </c>
      <c r="G48" s="9"/>
      <c r="H48" s="9"/>
      <c r="I48" s="9" t="s">
        <v>103</v>
      </c>
      <c r="J48" s="1058">
        <f>J49</f>
        <v>130.1</v>
      </c>
      <c r="K48" s="1058"/>
      <c r="L48" s="1058">
        <f t="shared" ref="L48:R48" si="20">L49</f>
        <v>130.1</v>
      </c>
      <c r="M48" s="1058">
        <f t="shared" si="20"/>
        <v>130.1</v>
      </c>
      <c r="N48" s="1933">
        <f t="shared" si="20"/>
        <v>130.1</v>
      </c>
      <c r="O48" s="1934">
        <f t="shared" si="20"/>
        <v>130.1</v>
      </c>
      <c r="P48" s="1934">
        <f t="shared" si="20"/>
        <v>130.1</v>
      </c>
      <c r="Q48" s="1934">
        <f t="shared" si="20"/>
        <v>130.1</v>
      </c>
      <c r="R48" s="1934">
        <f t="shared" si="20"/>
        <v>130.1</v>
      </c>
      <c r="V48" s="1933">
        <f t="shared" ref="V48:W48" si="21">V49</f>
        <v>130.1</v>
      </c>
      <c r="W48" s="1933">
        <f t="shared" si="21"/>
        <v>130.1</v>
      </c>
      <c r="Y48" s="1"/>
      <c r="Z48" s="237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spans="1:256" s="2" customFormat="1" ht="15" hidden="1" customHeight="1" x14ac:dyDescent="0.3">
      <c r="A49" s="1"/>
      <c r="B49" s="1935" t="s">
        <v>123</v>
      </c>
      <c r="C49" s="9"/>
      <c r="D49" s="9" t="s">
        <v>69</v>
      </c>
      <c r="E49" s="9" t="s">
        <v>103</v>
      </c>
      <c r="F49" s="9" t="s">
        <v>132</v>
      </c>
      <c r="G49" s="9" t="s">
        <v>120</v>
      </c>
      <c r="H49" s="9"/>
      <c r="I49" s="9" t="s">
        <v>103</v>
      </c>
      <c r="J49" s="1062">
        <v>130.1</v>
      </c>
      <c r="K49" s="1062"/>
      <c r="L49" s="1062">
        <v>130.1</v>
      </c>
      <c r="M49" s="1062">
        <v>130.1</v>
      </c>
      <c r="N49" s="1936">
        <v>130.1</v>
      </c>
      <c r="O49" s="1937">
        <v>130.1</v>
      </c>
      <c r="P49" s="1937">
        <v>130.1</v>
      </c>
      <c r="Q49" s="1937">
        <v>130.1</v>
      </c>
      <c r="R49" s="1937">
        <v>130.1</v>
      </c>
      <c r="V49" s="1936">
        <v>130.1</v>
      </c>
      <c r="W49" s="1936">
        <v>130.1</v>
      </c>
      <c r="Y49" s="1"/>
      <c r="Z49" s="237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</row>
    <row r="50" spans="1:256" s="2" customFormat="1" ht="60.65" hidden="1" customHeight="1" x14ac:dyDescent="0.25">
      <c r="A50" s="1"/>
      <c r="B50" s="109" t="s">
        <v>134</v>
      </c>
      <c r="C50" s="88"/>
      <c r="D50" s="88" t="s">
        <v>69</v>
      </c>
      <c r="E50" s="88" t="s">
        <v>103</v>
      </c>
      <c r="F50" s="9" t="s">
        <v>133</v>
      </c>
      <c r="G50" s="9"/>
      <c r="H50" s="9"/>
      <c r="I50" s="88" t="s">
        <v>103</v>
      </c>
      <c r="J50" s="1062"/>
      <c r="K50" s="1062"/>
      <c r="L50" s="1062"/>
      <c r="M50" s="1062"/>
      <c r="N50" s="1936"/>
      <c r="O50" s="1937"/>
      <c r="P50" s="1937"/>
      <c r="Q50" s="1937"/>
      <c r="R50" s="1937"/>
      <c r="V50" s="1936"/>
      <c r="W50" s="1936"/>
      <c r="Y50" s="1"/>
      <c r="Z50" s="237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</row>
    <row r="51" spans="1:256" s="2" customFormat="1" ht="39.5" hidden="1" thickBot="1" x14ac:dyDescent="0.3">
      <c r="A51" s="1"/>
      <c r="B51" s="222" t="s">
        <v>421</v>
      </c>
      <c r="C51" s="88"/>
      <c r="D51" s="88" t="s">
        <v>69</v>
      </c>
      <c r="E51" s="88" t="s">
        <v>103</v>
      </c>
      <c r="F51" s="34" t="s">
        <v>420</v>
      </c>
      <c r="G51" s="9"/>
      <c r="H51" s="9"/>
      <c r="I51" s="88" t="s">
        <v>103</v>
      </c>
      <c r="J51" s="1058">
        <f>J52+J53</f>
        <v>546.70000000000005</v>
      </c>
      <c r="K51" s="1058"/>
      <c r="L51" s="1058">
        <f t="shared" ref="L51:R51" si="22">L52+L53</f>
        <v>546.70000000000005</v>
      </c>
      <c r="M51" s="1058">
        <f t="shared" si="22"/>
        <v>546.70000000000005</v>
      </c>
      <c r="N51" s="1933">
        <f t="shared" si="22"/>
        <v>546.70000000000005</v>
      </c>
      <c r="O51" s="1934">
        <f t="shared" si="22"/>
        <v>546.70000000000005</v>
      </c>
      <c r="P51" s="1934">
        <f t="shared" si="22"/>
        <v>546.70000000000005</v>
      </c>
      <c r="Q51" s="1934">
        <f t="shared" si="22"/>
        <v>546.70000000000005</v>
      </c>
      <c r="R51" s="1934">
        <f t="shared" si="22"/>
        <v>546.70000000000005</v>
      </c>
      <c r="V51" s="1933">
        <f t="shared" ref="V51:W51" si="23">V52+V53</f>
        <v>546.70000000000005</v>
      </c>
      <c r="W51" s="1933">
        <f t="shared" si="23"/>
        <v>546.70000000000005</v>
      </c>
      <c r="Y51" s="1"/>
      <c r="Z51" s="237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</row>
    <row r="52" spans="1:256" s="2" customFormat="1" ht="13.5" hidden="1" thickBot="1" x14ac:dyDescent="0.35">
      <c r="A52" s="1"/>
      <c r="B52" s="744" t="s">
        <v>410</v>
      </c>
      <c r="C52" s="88"/>
      <c r="D52" s="88" t="s">
        <v>69</v>
      </c>
      <c r="E52" s="88" t="s">
        <v>103</v>
      </c>
      <c r="F52" s="9" t="s">
        <v>420</v>
      </c>
      <c r="G52" s="9" t="s">
        <v>5</v>
      </c>
      <c r="H52" s="9"/>
      <c r="I52" s="88" t="s">
        <v>103</v>
      </c>
      <c r="J52" s="1062">
        <f>546.7-45.2</f>
        <v>501.50000000000006</v>
      </c>
      <c r="K52" s="1062"/>
      <c r="L52" s="1062">
        <f t="shared" ref="L52:R52" si="24">546.7-45.2</f>
        <v>501.50000000000006</v>
      </c>
      <c r="M52" s="1062">
        <f t="shared" si="24"/>
        <v>501.50000000000006</v>
      </c>
      <c r="N52" s="1936">
        <f t="shared" si="24"/>
        <v>501.50000000000006</v>
      </c>
      <c r="O52" s="1937">
        <f t="shared" si="24"/>
        <v>501.50000000000006</v>
      </c>
      <c r="P52" s="1937">
        <f t="shared" si="24"/>
        <v>501.50000000000006</v>
      </c>
      <c r="Q52" s="1937">
        <f t="shared" si="24"/>
        <v>501.50000000000006</v>
      </c>
      <c r="R52" s="1937">
        <f t="shared" si="24"/>
        <v>501.50000000000006</v>
      </c>
      <c r="V52" s="1936">
        <f t="shared" ref="V52:W52" si="25">546.7-45.2</f>
        <v>501.50000000000006</v>
      </c>
      <c r="W52" s="1936">
        <f t="shared" si="25"/>
        <v>501.50000000000006</v>
      </c>
      <c r="Y52" s="1"/>
      <c r="Z52" s="237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</row>
    <row r="53" spans="1:256" s="2" customFormat="1" ht="13.5" hidden="1" thickBot="1" x14ac:dyDescent="0.35">
      <c r="A53" s="1"/>
      <c r="B53" s="1935" t="s">
        <v>16</v>
      </c>
      <c r="C53" s="88"/>
      <c r="D53" s="88"/>
      <c r="E53" s="88"/>
      <c r="F53" s="9"/>
      <c r="G53" s="9" t="s">
        <v>1</v>
      </c>
      <c r="H53" s="9"/>
      <c r="I53" s="88"/>
      <c r="J53" s="1062">
        <v>45.2</v>
      </c>
      <c r="K53" s="1062"/>
      <c r="L53" s="1062">
        <v>45.2</v>
      </c>
      <c r="M53" s="1062">
        <v>45.2</v>
      </c>
      <c r="N53" s="1936">
        <v>45.2</v>
      </c>
      <c r="O53" s="1937">
        <v>45.2</v>
      </c>
      <c r="P53" s="1937">
        <v>45.2</v>
      </c>
      <c r="Q53" s="1937">
        <v>45.2</v>
      </c>
      <c r="R53" s="1937">
        <v>45.2</v>
      </c>
      <c r="V53" s="1936">
        <v>45.2</v>
      </c>
      <c r="W53" s="1936">
        <v>45.2</v>
      </c>
      <c r="Y53" s="1"/>
      <c r="Z53" s="237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</row>
    <row r="54" spans="1:256" s="2" customFormat="1" ht="42" hidden="1" customHeight="1" x14ac:dyDescent="0.25">
      <c r="A54" s="1"/>
      <c r="B54" s="52" t="s">
        <v>122</v>
      </c>
      <c r="C54" s="9"/>
      <c r="D54" s="94" t="s">
        <v>69</v>
      </c>
      <c r="E54" s="34" t="s">
        <v>119</v>
      </c>
      <c r="F54" s="94" t="s">
        <v>71</v>
      </c>
      <c r="G54" s="94" t="s">
        <v>71</v>
      </c>
      <c r="H54" s="94"/>
      <c r="I54" s="34" t="s">
        <v>119</v>
      </c>
      <c r="J54" s="1065">
        <f>J55</f>
        <v>99.305000000000007</v>
      </c>
      <c r="K54" s="1065"/>
      <c r="L54" s="1065">
        <f t="shared" ref="L54:R56" si="26">L55</f>
        <v>99.305000000000007</v>
      </c>
      <c r="M54" s="1065">
        <f t="shared" si="26"/>
        <v>99.305000000000007</v>
      </c>
      <c r="N54" s="1938">
        <f t="shared" si="26"/>
        <v>99.305000000000007</v>
      </c>
      <c r="O54" s="1939">
        <f t="shared" si="26"/>
        <v>99.305000000000007</v>
      </c>
      <c r="P54" s="1939">
        <f t="shared" si="26"/>
        <v>99.305000000000007</v>
      </c>
      <c r="Q54" s="1939">
        <f t="shared" si="26"/>
        <v>99.305000000000007</v>
      </c>
      <c r="R54" s="1939">
        <f t="shared" si="26"/>
        <v>99.305000000000007</v>
      </c>
      <c r="V54" s="1938">
        <f t="shared" ref="V54:W56" si="27">V55</f>
        <v>99.305000000000007</v>
      </c>
      <c r="W54" s="1938">
        <f t="shared" si="27"/>
        <v>99.305000000000007</v>
      </c>
      <c r="Y54" s="1"/>
      <c r="Z54" s="237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</row>
    <row r="55" spans="1:256" ht="39.5" hidden="1" thickBot="1" x14ac:dyDescent="0.3">
      <c r="B55" s="52" t="s">
        <v>126</v>
      </c>
      <c r="C55" s="9"/>
      <c r="D55" s="94" t="s">
        <v>69</v>
      </c>
      <c r="E55" s="94" t="s">
        <v>119</v>
      </c>
      <c r="F55" s="34" t="s">
        <v>125</v>
      </c>
      <c r="G55" s="79"/>
      <c r="H55" s="79"/>
      <c r="I55" s="94" t="s">
        <v>119</v>
      </c>
      <c r="J55" s="1065">
        <f>J56</f>
        <v>99.305000000000007</v>
      </c>
      <c r="K55" s="1065"/>
      <c r="L55" s="1065">
        <f t="shared" si="26"/>
        <v>99.305000000000007</v>
      </c>
      <c r="M55" s="1065">
        <f t="shared" si="26"/>
        <v>99.305000000000007</v>
      </c>
      <c r="N55" s="1938">
        <f t="shared" si="26"/>
        <v>99.305000000000007</v>
      </c>
      <c r="O55" s="1939">
        <f t="shared" si="26"/>
        <v>99.305000000000007</v>
      </c>
      <c r="P55" s="1939">
        <f t="shared" si="26"/>
        <v>99.305000000000007</v>
      </c>
      <c r="Q55" s="1939">
        <f t="shared" si="26"/>
        <v>99.305000000000007</v>
      </c>
      <c r="R55" s="1939">
        <f t="shared" si="26"/>
        <v>99.305000000000007</v>
      </c>
      <c r="V55" s="1938">
        <f t="shared" si="27"/>
        <v>99.305000000000007</v>
      </c>
      <c r="W55" s="1938">
        <f t="shared" si="27"/>
        <v>99.305000000000007</v>
      </c>
    </row>
    <row r="56" spans="1:256" ht="45.75" hidden="1" customHeight="1" x14ac:dyDescent="0.25">
      <c r="B56" s="218" t="s">
        <v>131</v>
      </c>
      <c r="C56" s="9"/>
      <c r="D56" s="88" t="s">
        <v>69</v>
      </c>
      <c r="E56" s="88" t="s">
        <v>119</v>
      </c>
      <c r="F56" s="9" t="s">
        <v>121</v>
      </c>
      <c r="G56" s="9"/>
      <c r="H56" s="9"/>
      <c r="I56" s="88" t="s">
        <v>119</v>
      </c>
      <c r="J56" s="1062">
        <f>J57</f>
        <v>99.305000000000007</v>
      </c>
      <c r="K56" s="1062"/>
      <c r="L56" s="1062">
        <f t="shared" si="26"/>
        <v>99.305000000000007</v>
      </c>
      <c r="M56" s="1062">
        <f t="shared" si="26"/>
        <v>99.305000000000007</v>
      </c>
      <c r="N56" s="1936">
        <f t="shared" si="26"/>
        <v>99.305000000000007</v>
      </c>
      <c r="O56" s="1937">
        <f t="shared" si="26"/>
        <v>99.305000000000007</v>
      </c>
      <c r="P56" s="1937">
        <f t="shared" si="26"/>
        <v>99.305000000000007</v>
      </c>
      <c r="Q56" s="1937">
        <f t="shared" si="26"/>
        <v>99.305000000000007</v>
      </c>
      <c r="R56" s="1937">
        <f t="shared" si="26"/>
        <v>99.305000000000007</v>
      </c>
      <c r="V56" s="1936">
        <f t="shared" si="27"/>
        <v>99.305000000000007</v>
      </c>
      <c r="W56" s="1936">
        <f t="shared" si="27"/>
        <v>99.305000000000007</v>
      </c>
    </row>
    <row r="57" spans="1:256" ht="13.9" hidden="1" customHeight="1" x14ac:dyDescent="0.3">
      <c r="B57" s="1935" t="s">
        <v>123</v>
      </c>
      <c r="C57" s="9"/>
      <c r="D57" s="88" t="s">
        <v>69</v>
      </c>
      <c r="E57" s="88" t="s">
        <v>119</v>
      </c>
      <c r="F57" s="9" t="s">
        <v>121</v>
      </c>
      <c r="G57" s="9" t="s">
        <v>120</v>
      </c>
      <c r="H57" s="9"/>
      <c r="I57" s="88" t="s">
        <v>119</v>
      </c>
      <c r="J57" s="1062">
        <v>99.305000000000007</v>
      </c>
      <c r="K57" s="1062"/>
      <c r="L57" s="1062">
        <v>99.305000000000007</v>
      </c>
      <c r="M57" s="1062">
        <v>99.305000000000007</v>
      </c>
      <c r="N57" s="1936">
        <v>99.305000000000007</v>
      </c>
      <c r="O57" s="1937">
        <v>99.305000000000007</v>
      </c>
      <c r="P57" s="1937">
        <v>99.305000000000007</v>
      </c>
      <c r="Q57" s="1937">
        <v>99.305000000000007</v>
      </c>
      <c r="R57" s="1937">
        <v>99.305000000000007</v>
      </c>
      <c r="V57" s="1936">
        <v>99.305000000000007</v>
      </c>
      <c r="W57" s="1936">
        <v>99.305000000000007</v>
      </c>
    </row>
    <row r="58" spans="1:256" ht="14.5" hidden="1" thickBot="1" x14ac:dyDescent="0.3">
      <c r="B58" s="221" t="s">
        <v>419</v>
      </c>
      <c r="C58" s="200"/>
      <c r="D58" s="220" t="s">
        <v>69</v>
      </c>
      <c r="E58" s="202" t="s">
        <v>416</v>
      </c>
      <c r="F58" s="9"/>
      <c r="G58" s="9"/>
      <c r="H58" s="9"/>
      <c r="I58" s="202" t="s">
        <v>416</v>
      </c>
      <c r="J58" s="1062"/>
      <c r="K58" s="1062"/>
      <c r="L58" s="1062"/>
      <c r="M58" s="1062"/>
      <c r="N58" s="1936"/>
      <c r="O58" s="1937"/>
      <c r="P58" s="1937"/>
      <c r="Q58" s="1937"/>
      <c r="R58" s="1937"/>
      <c r="V58" s="1936"/>
      <c r="W58" s="1936"/>
    </row>
    <row r="59" spans="1:256" ht="39.5" hidden="1" thickBot="1" x14ac:dyDescent="0.3">
      <c r="B59" s="52" t="s">
        <v>25</v>
      </c>
      <c r="C59" s="9"/>
      <c r="D59" s="94" t="s">
        <v>69</v>
      </c>
      <c r="E59" s="34" t="s">
        <v>416</v>
      </c>
      <c r="F59" s="34" t="s">
        <v>24</v>
      </c>
      <c r="G59" s="9"/>
      <c r="H59" s="9"/>
      <c r="I59" s="34" t="s">
        <v>416</v>
      </c>
      <c r="J59" s="1062"/>
      <c r="K59" s="1062"/>
      <c r="L59" s="1062"/>
      <c r="M59" s="1062"/>
      <c r="N59" s="1936"/>
      <c r="O59" s="1937"/>
      <c r="P59" s="1937"/>
      <c r="Q59" s="1937"/>
      <c r="R59" s="1937"/>
      <c r="V59" s="1936"/>
      <c r="W59" s="1936"/>
    </row>
    <row r="60" spans="1:256" ht="14.5" hidden="1" thickBot="1" x14ac:dyDescent="0.3">
      <c r="B60" s="219" t="s">
        <v>418</v>
      </c>
      <c r="C60" s="200"/>
      <c r="D60" s="88" t="s">
        <v>69</v>
      </c>
      <c r="E60" s="9" t="s">
        <v>416</v>
      </c>
      <c r="F60" s="9" t="s">
        <v>417</v>
      </c>
      <c r="G60" s="9"/>
      <c r="H60" s="9"/>
      <c r="I60" s="9" t="s">
        <v>416</v>
      </c>
      <c r="J60" s="1062"/>
      <c r="K60" s="1062"/>
      <c r="L60" s="1062"/>
      <c r="M60" s="1062"/>
      <c r="N60" s="1936"/>
      <c r="O60" s="1937"/>
      <c r="P60" s="1937"/>
      <c r="Q60" s="1937"/>
      <c r="R60" s="1937"/>
      <c r="V60" s="1936"/>
      <c r="W60" s="1936"/>
    </row>
    <row r="61" spans="1:256" ht="13.5" hidden="1" thickBot="1" x14ac:dyDescent="0.3">
      <c r="B61" s="52" t="s">
        <v>68</v>
      </c>
      <c r="C61" s="9"/>
      <c r="D61" s="94" t="s">
        <v>69</v>
      </c>
      <c r="E61" s="34" t="s">
        <v>66</v>
      </c>
      <c r="F61" s="94" t="s">
        <v>71</v>
      </c>
      <c r="G61" s="94" t="s">
        <v>71</v>
      </c>
      <c r="H61" s="94"/>
      <c r="I61" s="34" t="s">
        <v>66</v>
      </c>
      <c r="J61" s="1064">
        <f>J62</f>
        <v>2000</v>
      </c>
      <c r="K61" s="1064"/>
      <c r="L61" s="1064">
        <f t="shared" ref="L61:R63" si="28">L62</f>
        <v>2000</v>
      </c>
      <c r="M61" s="1064">
        <f t="shared" si="28"/>
        <v>2000</v>
      </c>
      <c r="N61" s="1938">
        <f t="shared" si="28"/>
        <v>2000</v>
      </c>
      <c r="O61" s="1939">
        <f t="shared" si="28"/>
        <v>2000</v>
      </c>
      <c r="P61" s="1939">
        <f t="shared" si="28"/>
        <v>2000</v>
      </c>
      <c r="Q61" s="1939">
        <f t="shared" si="28"/>
        <v>2000</v>
      </c>
      <c r="R61" s="1939">
        <f t="shared" si="28"/>
        <v>2000</v>
      </c>
      <c r="V61" s="1938">
        <f t="shared" ref="V61:W63" si="29">V62</f>
        <v>2000</v>
      </c>
      <c r="W61" s="1938">
        <f t="shared" si="29"/>
        <v>2000</v>
      </c>
    </row>
    <row r="62" spans="1:256" s="83" customFormat="1" ht="39.5" hidden="1" thickBot="1" x14ac:dyDescent="0.35">
      <c r="B62" s="52" t="s">
        <v>25</v>
      </c>
      <c r="C62" s="9"/>
      <c r="D62" s="94" t="s">
        <v>69</v>
      </c>
      <c r="E62" s="34" t="s">
        <v>66</v>
      </c>
      <c r="F62" s="94">
        <v>9900000</v>
      </c>
      <c r="G62" s="94"/>
      <c r="H62" s="94"/>
      <c r="I62" s="34" t="s">
        <v>66</v>
      </c>
      <c r="J62" s="1061">
        <f>J63</f>
        <v>2000</v>
      </c>
      <c r="K62" s="1061"/>
      <c r="L62" s="1061">
        <f t="shared" si="28"/>
        <v>2000</v>
      </c>
      <c r="M62" s="1061">
        <f t="shared" si="28"/>
        <v>2000</v>
      </c>
      <c r="N62" s="1940">
        <f t="shared" si="28"/>
        <v>2000</v>
      </c>
      <c r="O62" s="1941">
        <f t="shared" si="28"/>
        <v>2000</v>
      </c>
      <c r="P62" s="1941">
        <f t="shared" si="28"/>
        <v>2000</v>
      </c>
      <c r="Q62" s="1941">
        <f t="shared" si="28"/>
        <v>2000</v>
      </c>
      <c r="R62" s="1941">
        <f t="shared" si="28"/>
        <v>2000</v>
      </c>
      <c r="S62" s="84"/>
      <c r="T62" s="84"/>
      <c r="U62" s="84"/>
      <c r="V62" s="1940">
        <f t="shared" si="29"/>
        <v>2000</v>
      </c>
      <c r="W62" s="1940">
        <f t="shared" si="29"/>
        <v>2000</v>
      </c>
      <c r="X62" s="84"/>
      <c r="Z62" s="2141"/>
    </row>
    <row r="63" spans="1:256" ht="26.5" hidden="1" thickBot="1" x14ac:dyDescent="0.3">
      <c r="B63" s="49" t="s">
        <v>72</v>
      </c>
      <c r="C63" s="9"/>
      <c r="D63" s="88" t="s">
        <v>69</v>
      </c>
      <c r="E63" s="9" t="s">
        <v>66</v>
      </c>
      <c r="F63" s="9" t="s">
        <v>415</v>
      </c>
      <c r="G63" s="88" t="s">
        <v>71</v>
      </c>
      <c r="H63" s="88"/>
      <c r="I63" s="9" t="s">
        <v>66</v>
      </c>
      <c r="J63" s="1061">
        <f>J64</f>
        <v>2000</v>
      </c>
      <c r="K63" s="1061"/>
      <c r="L63" s="1061">
        <f t="shared" si="28"/>
        <v>2000</v>
      </c>
      <c r="M63" s="1061">
        <f t="shared" si="28"/>
        <v>2000</v>
      </c>
      <c r="N63" s="1940">
        <f t="shared" si="28"/>
        <v>2000</v>
      </c>
      <c r="O63" s="1941">
        <f t="shared" si="28"/>
        <v>2000</v>
      </c>
      <c r="P63" s="1941">
        <f t="shared" si="28"/>
        <v>2000</v>
      </c>
      <c r="Q63" s="1941">
        <f t="shared" si="28"/>
        <v>2000</v>
      </c>
      <c r="R63" s="1941">
        <f t="shared" si="28"/>
        <v>2000</v>
      </c>
      <c r="V63" s="1940">
        <f t="shared" si="29"/>
        <v>2000</v>
      </c>
      <c r="W63" s="1940">
        <f t="shared" si="29"/>
        <v>2000</v>
      </c>
    </row>
    <row r="64" spans="1:256" ht="13.5" hidden="1" thickBot="1" x14ac:dyDescent="0.35">
      <c r="B64" s="1935" t="s">
        <v>70</v>
      </c>
      <c r="C64" s="9"/>
      <c r="D64" s="88" t="s">
        <v>69</v>
      </c>
      <c r="E64" s="9" t="s">
        <v>66</v>
      </c>
      <c r="F64" s="9" t="s">
        <v>415</v>
      </c>
      <c r="G64" s="88">
        <v>870</v>
      </c>
      <c r="H64" s="88"/>
      <c r="I64" s="9" t="s">
        <v>66</v>
      </c>
      <c r="J64" s="1061">
        <v>2000</v>
      </c>
      <c r="K64" s="1061"/>
      <c r="L64" s="1061">
        <v>2000</v>
      </c>
      <c r="M64" s="1061">
        <v>2000</v>
      </c>
      <c r="N64" s="1940">
        <v>2000</v>
      </c>
      <c r="O64" s="1941">
        <v>2000</v>
      </c>
      <c r="P64" s="1941">
        <v>2000</v>
      </c>
      <c r="Q64" s="1941">
        <v>2000</v>
      </c>
      <c r="R64" s="1941">
        <v>2000</v>
      </c>
      <c r="V64" s="1940">
        <v>2000</v>
      </c>
      <c r="W64" s="1940">
        <v>2000</v>
      </c>
    </row>
    <row r="65" spans="1:256" s="2" customFormat="1" ht="13.5" hidden="1" thickBot="1" x14ac:dyDescent="0.3">
      <c r="A65" s="1"/>
      <c r="B65" s="52" t="s">
        <v>93</v>
      </c>
      <c r="C65" s="88"/>
      <c r="D65" s="94" t="s">
        <v>69</v>
      </c>
      <c r="E65" s="34" t="s">
        <v>90</v>
      </c>
      <c r="F65" s="34"/>
      <c r="G65" s="94"/>
      <c r="H65" s="94"/>
      <c r="I65" s="34" t="s">
        <v>90</v>
      </c>
      <c r="J65" s="1058">
        <f>J66</f>
        <v>108</v>
      </c>
      <c r="K65" s="1058"/>
      <c r="L65" s="1058">
        <f t="shared" ref="L65:R66" si="30">L66</f>
        <v>108</v>
      </c>
      <c r="M65" s="1058">
        <f t="shared" si="30"/>
        <v>108</v>
      </c>
      <c r="N65" s="1933">
        <f t="shared" si="30"/>
        <v>108</v>
      </c>
      <c r="O65" s="1934">
        <f t="shared" si="30"/>
        <v>108</v>
      </c>
      <c r="P65" s="1934">
        <f t="shared" si="30"/>
        <v>108</v>
      </c>
      <c r="Q65" s="1934">
        <f t="shared" si="30"/>
        <v>108</v>
      </c>
      <c r="R65" s="1934">
        <f t="shared" si="30"/>
        <v>108</v>
      </c>
      <c r="V65" s="1933">
        <f t="shared" ref="V65:W66" si="31">V66</f>
        <v>108</v>
      </c>
      <c r="W65" s="1933">
        <f t="shared" si="31"/>
        <v>108</v>
      </c>
      <c r="Y65" s="1"/>
      <c r="Z65" s="237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 s="2" customFormat="1" ht="26.5" hidden="1" thickBot="1" x14ac:dyDescent="0.3">
      <c r="A66" s="1"/>
      <c r="B66" s="52" t="s">
        <v>102</v>
      </c>
      <c r="C66" s="34"/>
      <c r="D66" s="34" t="s">
        <v>69</v>
      </c>
      <c r="E66" s="34" t="s">
        <v>90</v>
      </c>
      <c r="F66" s="34" t="s">
        <v>414</v>
      </c>
      <c r="G66" s="34"/>
      <c r="H66" s="34"/>
      <c r="I66" s="34" t="s">
        <v>90</v>
      </c>
      <c r="J66" s="1065">
        <f>J67</f>
        <v>108</v>
      </c>
      <c r="K66" s="1065"/>
      <c r="L66" s="1065">
        <f t="shared" si="30"/>
        <v>108</v>
      </c>
      <c r="M66" s="1065">
        <f t="shared" si="30"/>
        <v>108</v>
      </c>
      <c r="N66" s="1938">
        <f t="shared" si="30"/>
        <v>108</v>
      </c>
      <c r="O66" s="1939">
        <f t="shared" si="30"/>
        <v>108</v>
      </c>
      <c r="P66" s="1939">
        <f t="shared" si="30"/>
        <v>108</v>
      </c>
      <c r="Q66" s="1939">
        <f t="shared" si="30"/>
        <v>108</v>
      </c>
      <c r="R66" s="1939">
        <f t="shared" si="30"/>
        <v>108</v>
      </c>
      <c r="V66" s="1938">
        <f t="shared" si="31"/>
        <v>108</v>
      </c>
      <c r="W66" s="1938">
        <f t="shared" si="31"/>
        <v>108</v>
      </c>
      <c r="Y66" s="1"/>
      <c r="Z66" s="237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 s="2" customFormat="1" ht="13.5" hidden="1" thickBot="1" x14ac:dyDescent="0.3">
      <c r="A67" s="1"/>
      <c r="B67" s="76" t="s">
        <v>413</v>
      </c>
      <c r="C67" s="34"/>
      <c r="D67" s="9" t="s">
        <v>69</v>
      </c>
      <c r="E67" s="9" t="s">
        <v>90</v>
      </c>
      <c r="F67" s="9" t="s">
        <v>96</v>
      </c>
      <c r="G67" s="34"/>
      <c r="H67" s="34"/>
      <c r="I67" s="9" t="s">
        <v>90</v>
      </c>
      <c r="J67" s="1063">
        <f>J68+J69</f>
        <v>108</v>
      </c>
      <c r="K67" s="1063"/>
      <c r="L67" s="1063">
        <f t="shared" ref="L67:R67" si="32">L68+L69</f>
        <v>108</v>
      </c>
      <c r="M67" s="1063">
        <f t="shared" si="32"/>
        <v>108</v>
      </c>
      <c r="N67" s="1940">
        <f t="shared" si="32"/>
        <v>108</v>
      </c>
      <c r="O67" s="1941">
        <f t="shared" si="32"/>
        <v>108</v>
      </c>
      <c r="P67" s="1941">
        <f t="shared" si="32"/>
        <v>108</v>
      </c>
      <c r="Q67" s="1941">
        <f t="shared" si="32"/>
        <v>108</v>
      </c>
      <c r="R67" s="1941">
        <f t="shared" si="32"/>
        <v>108</v>
      </c>
      <c r="V67" s="1940">
        <f t="shared" ref="V67:W67" si="33">V68+V69</f>
        <v>108</v>
      </c>
      <c r="W67" s="1940">
        <f t="shared" si="33"/>
        <v>108</v>
      </c>
      <c r="Y67" s="1"/>
      <c r="Z67" s="237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 s="2" customFormat="1" ht="13.5" hidden="1" thickBot="1" x14ac:dyDescent="0.35">
      <c r="A68" s="1"/>
      <c r="B68" s="1935" t="s">
        <v>16</v>
      </c>
      <c r="C68" s="34"/>
      <c r="D68" s="9" t="s">
        <v>69</v>
      </c>
      <c r="E68" s="9" t="s">
        <v>90</v>
      </c>
      <c r="F68" s="9" t="s">
        <v>96</v>
      </c>
      <c r="G68" s="9" t="s">
        <v>1</v>
      </c>
      <c r="H68" s="9"/>
      <c r="I68" s="9" t="s">
        <v>90</v>
      </c>
      <c r="J68" s="1063">
        <v>105</v>
      </c>
      <c r="K68" s="1063"/>
      <c r="L68" s="1063">
        <v>105</v>
      </c>
      <c r="M68" s="1063">
        <v>105</v>
      </c>
      <c r="N68" s="1940">
        <v>105</v>
      </c>
      <c r="O68" s="1941">
        <v>105</v>
      </c>
      <c r="P68" s="1941">
        <v>105</v>
      </c>
      <c r="Q68" s="1941">
        <v>105</v>
      </c>
      <c r="R68" s="1941">
        <v>105</v>
      </c>
      <c r="V68" s="1940">
        <v>105</v>
      </c>
      <c r="W68" s="1940">
        <v>105</v>
      </c>
      <c r="Y68" s="1"/>
      <c r="Z68" s="237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2" customFormat="1" ht="13.5" hidden="1" thickBot="1" x14ac:dyDescent="0.35">
      <c r="A69" s="1"/>
      <c r="B69" s="1935" t="s">
        <v>94</v>
      </c>
      <c r="C69" s="34"/>
      <c r="D69" s="9" t="s">
        <v>69</v>
      </c>
      <c r="E69" s="9" t="s">
        <v>90</v>
      </c>
      <c r="F69" s="9" t="s">
        <v>96</v>
      </c>
      <c r="G69" s="9" t="s">
        <v>91</v>
      </c>
      <c r="H69" s="9"/>
      <c r="I69" s="9" t="s">
        <v>90</v>
      </c>
      <c r="J69" s="1063">
        <v>3</v>
      </c>
      <c r="K69" s="1063"/>
      <c r="L69" s="1063">
        <v>3</v>
      </c>
      <c r="M69" s="1063">
        <v>3</v>
      </c>
      <c r="N69" s="1940">
        <v>3</v>
      </c>
      <c r="O69" s="1941">
        <v>3</v>
      </c>
      <c r="P69" s="1941">
        <v>3</v>
      </c>
      <c r="Q69" s="1941">
        <v>3</v>
      </c>
      <c r="R69" s="1941">
        <v>3</v>
      </c>
      <c r="V69" s="1940">
        <v>3</v>
      </c>
      <c r="W69" s="1940">
        <v>3</v>
      </c>
      <c r="Y69" s="1"/>
      <c r="Z69" s="237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 s="2" customFormat="1" ht="14.5" hidden="1" thickBot="1" x14ac:dyDescent="0.3">
      <c r="A70" s="1"/>
      <c r="B70" s="213" t="s">
        <v>412</v>
      </c>
      <c r="C70" s="202"/>
      <c r="D70" s="202" t="s">
        <v>409</v>
      </c>
      <c r="E70" s="202"/>
      <c r="F70" s="202"/>
      <c r="G70" s="202"/>
      <c r="H70" s="202"/>
      <c r="I70" s="202"/>
      <c r="J70" s="1067">
        <f>J71</f>
        <v>605.88300000000004</v>
      </c>
      <c r="K70" s="1067"/>
      <c r="L70" s="1067">
        <f t="shared" ref="L70:R71" si="34">L71</f>
        <v>605.88300000000004</v>
      </c>
      <c r="M70" s="1067">
        <f t="shared" si="34"/>
        <v>605.88300000000004</v>
      </c>
      <c r="N70" s="1942">
        <f t="shared" si="34"/>
        <v>605.88300000000004</v>
      </c>
      <c r="O70" s="1943">
        <f t="shared" si="34"/>
        <v>605.88300000000004</v>
      </c>
      <c r="P70" s="1943">
        <f t="shared" si="34"/>
        <v>605.88300000000004</v>
      </c>
      <c r="Q70" s="1943">
        <f t="shared" si="34"/>
        <v>605.88300000000004</v>
      </c>
      <c r="R70" s="1943">
        <f t="shared" si="34"/>
        <v>605.88300000000004</v>
      </c>
      <c r="V70" s="1942">
        <f t="shared" ref="V70:W71" si="35">V71</f>
        <v>605.88300000000004</v>
      </c>
      <c r="W70" s="1942">
        <f t="shared" si="35"/>
        <v>605.88300000000004</v>
      </c>
      <c r="Y70" s="1"/>
      <c r="Z70" s="237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2" customFormat="1" ht="13.5" hidden="1" thickBot="1" x14ac:dyDescent="0.3">
      <c r="A71" s="1"/>
      <c r="B71" s="52" t="s">
        <v>6</v>
      </c>
      <c r="C71" s="34"/>
      <c r="D71" s="34" t="s">
        <v>409</v>
      </c>
      <c r="E71" s="34" t="s">
        <v>0</v>
      </c>
      <c r="F71" s="34"/>
      <c r="G71" s="34"/>
      <c r="H71" s="34"/>
      <c r="I71" s="34" t="s">
        <v>0</v>
      </c>
      <c r="J71" s="1063">
        <f>J72</f>
        <v>605.88300000000004</v>
      </c>
      <c r="K71" s="1063"/>
      <c r="L71" s="1063">
        <f t="shared" si="34"/>
        <v>605.88300000000004</v>
      </c>
      <c r="M71" s="1063">
        <f t="shared" si="34"/>
        <v>605.88300000000004</v>
      </c>
      <c r="N71" s="1940">
        <f t="shared" si="34"/>
        <v>605.88300000000004</v>
      </c>
      <c r="O71" s="1941">
        <f t="shared" si="34"/>
        <v>605.88300000000004</v>
      </c>
      <c r="P71" s="1941">
        <f t="shared" si="34"/>
        <v>605.88300000000004</v>
      </c>
      <c r="Q71" s="1941">
        <f t="shared" si="34"/>
        <v>605.88300000000004</v>
      </c>
      <c r="R71" s="1941">
        <f t="shared" si="34"/>
        <v>605.88300000000004</v>
      </c>
      <c r="V71" s="1940">
        <f t="shared" si="35"/>
        <v>605.88300000000004</v>
      </c>
      <c r="W71" s="1940">
        <f t="shared" si="35"/>
        <v>605.88300000000004</v>
      </c>
      <c r="Y71" s="1"/>
      <c r="Z71" s="237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 s="2" customFormat="1" ht="26.5" hidden="1" thickBot="1" x14ac:dyDescent="0.3">
      <c r="A72" s="1"/>
      <c r="B72" s="218" t="s">
        <v>411</v>
      </c>
      <c r="C72" s="9"/>
      <c r="D72" s="9" t="s">
        <v>409</v>
      </c>
      <c r="E72" s="9" t="s">
        <v>0</v>
      </c>
      <c r="F72" s="10" t="s">
        <v>408</v>
      </c>
      <c r="G72" s="9"/>
      <c r="H72" s="9"/>
      <c r="I72" s="9" t="s">
        <v>0</v>
      </c>
      <c r="J72" s="1063">
        <f>J73+J74</f>
        <v>605.88300000000004</v>
      </c>
      <c r="K72" s="1063"/>
      <c r="L72" s="1063">
        <f t="shared" ref="L72:R72" si="36">L73+L74</f>
        <v>605.88300000000004</v>
      </c>
      <c r="M72" s="1063">
        <f t="shared" si="36"/>
        <v>605.88300000000004</v>
      </c>
      <c r="N72" s="1940">
        <f t="shared" si="36"/>
        <v>605.88300000000004</v>
      </c>
      <c r="O72" s="1941">
        <f t="shared" si="36"/>
        <v>605.88300000000004</v>
      </c>
      <c r="P72" s="1941">
        <f t="shared" si="36"/>
        <v>605.88300000000004</v>
      </c>
      <c r="Q72" s="1941">
        <f t="shared" si="36"/>
        <v>605.88300000000004</v>
      </c>
      <c r="R72" s="1941">
        <f t="shared" si="36"/>
        <v>605.88300000000004</v>
      </c>
      <c r="V72" s="1940">
        <f t="shared" ref="V72:W72" si="37">V73+V74</f>
        <v>605.88300000000004</v>
      </c>
      <c r="W72" s="1940">
        <f t="shared" si="37"/>
        <v>605.88300000000004</v>
      </c>
      <c r="Y72" s="1"/>
      <c r="Z72" s="237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 s="2" customFormat="1" ht="13.5" hidden="1" thickBot="1" x14ac:dyDescent="0.35">
      <c r="A73" s="1"/>
      <c r="B73" s="744" t="s">
        <v>410</v>
      </c>
      <c r="C73" s="9"/>
      <c r="D73" s="9" t="s">
        <v>409</v>
      </c>
      <c r="E73" s="9" t="s">
        <v>0</v>
      </c>
      <c r="F73" s="10" t="s">
        <v>408</v>
      </c>
      <c r="G73" s="9" t="s">
        <v>5</v>
      </c>
      <c r="H73" s="9"/>
      <c r="I73" s="9" t="s">
        <v>0</v>
      </c>
      <c r="J73" s="1063">
        <v>555.32000000000005</v>
      </c>
      <c r="K73" s="1063"/>
      <c r="L73" s="1063">
        <v>555.32000000000005</v>
      </c>
      <c r="M73" s="1063">
        <v>555.32000000000005</v>
      </c>
      <c r="N73" s="1940">
        <v>555.32000000000005</v>
      </c>
      <c r="O73" s="1941">
        <v>555.32000000000005</v>
      </c>
      <c r="P73" s="1941">
        <v>555.32000000000005</v>
      </c>
      <c r="Q73" s="1941">
        <v>555.32000000000005</v>
      </c>
      <c r="R73" s="1941">
        <v>555.32000000000005</v>
      </c>
      <c r="V73" s="1940">
        <v>555.32000000000005</v>
      </c>
      <c r="W73" s="1940">
        <v>555.32000000000005</v>
      </c>
      <c r="Y73" s="1"/>
      <c r="Z73" s="237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 s="2" customFormat="1" ht="13.5" hidden="1" thickBot="1" x14ac:dyDescent="0.35">
      <c r="A74" s="1"/>
      <c r="B74" s="1935" t="s">
        <v>16</v>
      </c>
      <c r="C74" s="9"/>
      <c r="D74" s="9" t="s">
        <v>409</v>
      </c>
      <c r="E74" s="9" t="s">
        <v>0</v>
      </c>
      <c r="F74" s="10" t="s">
        <v>408</v>
      </c>
      <c r="G74" s="9" t="s">
        <v>1</v>
      </c>
      <c r="H74" s="9"/>
      <c r="I74" s="9" t="s">
        <v>0</v>
      </c>
      <c r="J74" s="1063">
        <v>50.563000000000002</v>
      </c>
      <c r="K74" s="1063"/>
      <c r="L74" s="1063">
        <v>50.563000000000002</v>
      </c>
      <c r="M74" s="1063">
        <v>50.563000000000002</v>
      </c>
      <c r="N74" s="1940">
        <v>50.563000000000002</v>
      </c>
      <c r="O74" s="1941">
        <v>50.563000000000002</v>
      </c>
      <c r="P74" s="1941">
        <v>50.563000000000002</v>
      </c>
      <c r="Q74" s="1941">
        <v>50.563000000000002</v>
      </c>
      <c r="R74" s="1941">
        <v>50.563000000000002</v>
      </c>
      <c r="V74" s="1940">
        <v>50.563000000000002</v>
      </c>
      <c r="W74" s="1940">
        <v>50.563000000000002</v>
      </c>
      <c r="Y74" s="1"/>
      <c r="Z74" s="237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 s="2" customFormat="1" ht="32.25" hidden="1" customHeight="1" x14ac:dyDescent="0.25">
      <c r="A75" s="1"/>
      <c r="B75" s="194" t="s">
        <v>407</v>
      </c>
      <c r="C75" s="193"/>
      <c r="D75" s="193" t="s">
        <v>168</v>
      </c>
      <c r="E75" s="193"/>
      <c r="F75" s="193"/>
      <c r="G75" s="193"/>
      <c r="H75" s="193"/>
      <c r="I75" s="193"/>
      <c r="J75" s="1068">
        <f>J76</f>
        <v>1397</v>
      </c>
      <c r="K75" s="1068"/>
      <c r="L75" s="1068">
        <f t="shared" ref="L75:R76" si="38">L76</f>
        <v>1182</v>
      </c>
      <c r="M75" s="1068">
        <f t="shared" si="38"/>
        <v>1022</v>
      </c>
      <c r="N75" s="1942">
        <f t="shared" si="38"/>
        <v>1397</v>
      </c>
      <c r="O75" s="1943">
        <f t="shared" si="38"/>
        <v>1397</v>
      </c>
      <c r="P75" s="1943">
        <f t="shared" si="38"/>
        <v>1397</v>
      </c>
      <c r="Q75" s="1943">
        <f t="shared" si="38"/>
        <v>1397</v>
      </c>
      <c r="R75" s="1943">
        <f t="shared" si="38"/>
        <v>1397</v>
      </c>
      <c r="V75" s="1942">
        <f t="shared" ref="V75:W76" si="39">V76</f>
        <v>1397</v>
      </c>
      <c r="W75" s="1942">
        <f t="shared" si="39"/>
        <v>1397</v>
      </c>
      <c r="Y75" s="1"/>
      <c r="Z75" s="237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</row>
    <row r="76" spans="1:256" s="2" customFormat="1" ht="26.5" hidden="1" thickBot="1" x14ac:dyDescent="0.3">
      <c r="A76" s="1"/>
      <c r="B76" s="52" t="s">
        <v>221</v>
      </c>
      <c r="C76" s="9"/>
      <c r="D76" s="34" t="s">
        <v>168</v>
      </c>
      <c r="E76" s="34" t="s">
        <v>166</v>
      </c>
      <c r="F76" s="9"/>
      <c r="G76" s="9"/>
      <c r="H76" s="9"/>
      <c r="I76" s="34" t="s">
        <v>166</v>
      </c>
      <c r="J76" s="1061">
        <f>J77</f>
        <v>1397</v>
      </c>
      <c r="K76" s="1061"/>
      <c r="L76" s="1061">
        <f t="shared" si="38"/>
        <v>1182</v>
      </c>
      <c r="M76" s="1061">
        <f t="shared" si="38"/>
        <v>1022</v>
      </c>
      <c r="N76" s="1940">
        <f t="shared" si="38"/>
        <v>1397</v>
      </c>
      <c r="O76" s="1941">
        <f t="shared" si="38"/>
        <v>1397</v>
      </c>
      <c r="P76" s="1941">
        <f t="shared" si="38"/>
        <v>1397</v>
      </c>
      <c r="Q76" s="1941">
        <f t="shared" si="38"/>
        <v>1397</v>
      </c>
      <c r="R76" s="1941">
        <f t="shared" si="38"/>
        <v>1397</v>
      </c>
      <c r="V76" s="1940">
        <f t="shared" si="39"/>
        <v>1397</v>
      </c>
      <c r="W76" s="1940">
        <f t="shared" si="39"/>
        <v>1397</v>
      </c>
      <c r="Y76" s="1"/>
      <c r="Z76" s="237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</row>
    <row r="77" spans="1:256" s="2" customFormat="1" ht="39.65" hidden="1" customHeight="1" x14ac:dyDescent="0.25">
      <c r="A77" s="1"/>
      <c r="B77" s="52" t="s">
        <v>406</v>
      </c>
      <c r="C77" s="34"/>
      <c r="D77" s="34" t="s">
        <v>168</v>
      </c>
      <c r="E77" s="34" t="s">
        <v>166</v>
      </c>
      <c r="F77" s="34" t="s">
        <v>405</v>
      </c>
      <c r="G77" s="131"/>
      <c r="H77" s="131"/>
      <c r="I77" s="34" t="s">
        <v>166</v>
      </c>
      <c r="J77" s="51">
        <f>J78+J83</f>
        <v>1397</v>
      </c>
      <c r="K77" s="51"/>
      <c r="L77" s="51">
        <f t="shared" ref="L77:R77" si="40">L78+L83</f>
        <v>1182</v>
      </c>
      <c r="M77" s="51">
        <f t="shared" si="40"/>
        <v>1022</v>
      </c>
      <c r="N77" s="1938">
        <f t="shared" si="40"/>
        <v>1397</v>
      </c>
      <c r="O77" s="1944">
        <f t="shared" si="40"/>
        <v>1397</v>
      </c>
      <c r="P77" s="1944">
        <f t="shared" si="40"/>
        <v>1397</v>
      </c>
      <c r="Q77" s="1945">
        <f t="shared" si="40"/>
        <v>1397</v>
      </c>
      <c r="R77" s="1945">
        <f t="shared" si="40"/>
        <v>1397</v>
      </c>
      <c r="V77" s="1938">
        <f t="shared" ref="V77:W77" si="41">V78+V83</f>
        <v>1397</v>
      </c>
      <c r="W77" s="1938">
        <f t="shared" si="41"/>
        <v>1397</v>
      </c>
      <c r="Y77" s="1"/>
      <c r="Z77" s="237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</row>
    <row r="78" spans="1:256" s="2" customFormat="1" ht="91.5" hidden="1" thickBot="1" x14ac:dyDescent="0.3">
      <c r="A78" s="1"/>
      <c r="B78" s="157" t="s">
        <v>746</v>
      </c>
      <c r="C78" s="9"/>
      <c r="D78" s="9" t="s">
        <v>168</v>
      </c>
      <c r="E78" s="9" t="s">
        <v>166</v>
      </c>
      <c r="F78" s="34" t="s">
        <v>404</v>
      </c>
      <c r="G78" s="88"/>
      <c r="H78" s="88"/>
      <c r="I78" s="9" t="s">
        <v>166</v>
      </c>
      <c r="J78" s="1063">
        <f>J79+J81</f>
        <v>711</v>
      </c>
      <c r="K78" s="1063"/>
      <c r="L78" s="1063">
        <f t="shared" ref="L78:R78" si="42">L79+L81</f>
        <v>496</v>
      </c>
      <c r="M78" s="1063">
        <f t="shared" si="42"/>
        <v>336</v>
      </c>
      <c r="N78" s="1940">
        <f t="shared" si="42"/>
        <v>711</v>
      </c>
      <c r="O78" s="1941">
        <f t="shared" si="42"/>
        <v>711</v>
      </c>
      <c r="P78" s="1941">
        <f t="shared" si="42"/>
        <v>711</v>
      </c>
      <c r="Q78" s="1941">
        <f t="shared" si="42"/>
        <v>711</v>
      </c>
      <c r="R78" s="1941">
        <f t="shared" si="42"/>
        <v>711</v>
      </c>
      <c r="V78" s="1940">
        <f t="shared" ref="V78:W78" si="43">V79+V81</f>
        <v>711</v>
      </c>
      <c r="W78" s="1940">
        <f t="shared" si="43"/>
        <v>711</v>
      </c>
      <c r="Y78" s="1"/>
      <c r="Z78" s="237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</row>
    <row r="79" spans="1:256" s="2" customFormat="1" ht="78.5" hidden="1" thickBot="1" x14ac:dyDescent="0.3">
      <c r="A79" s="1"/>
      <c r="B79" s="49" t="s">
        <v>747</v>
      </c>
      <c r="C79" s="9"/>
      <c r="D79" s="9" t="s">
        <v>168</v>
      </c>
      <c r="E79" s="9" t="s">
        <v>166</v>
      </c>
      <c r="F79" s="34" t="s">
        <v>400</v>
      </c>
      <c r="G79" s="88"/>
      <c r="H79" s="88"/>
      <c r="I79" s="9" t="s">
        <v>166</v>
      </c>
      <c r="J79" s="1063">
        <f>J80</f>
        <v>426</v>
      </c>
      <c r="K79" s="1063"/>
      <c r="L79" s="1063">
        <f t="shared" ref="L79:R79" si="44">L80</f>
        <v>296</v>
      </c>
      <c r="M79" s="1063">
        <f t="shared" si="44"/>
        <v>136</v>
      </c>
      <c r="N79" s="1940">
        <f t="shared" si="44"/>
        <v>426</v>
      </c>
      <c r="O79" s="1941">
        <f t="shared" si="44"/>
        <v>426</v>
      </c>
      <c r="P79" s="1941">
        <f t="shared" si="44"/>
        <v>426</v>
      </c>
      <c r="Q79" s="1941">
        <f t="shared" si="44"/>
        <v>426</v>
      </c>
      <c r="R79" s="1941">
        <f t="shared" si="44"/>
        <v>426</v>
      </c>
      <c r="V79" s="1940">
        <f t="shared" ref="V79:W79" si="45">V80</f>
        <v>426</v>
      </c>
      <c r="W79" s="1940">
        <f t="shared" si="45"/>
        <v>426</v>
      </c>
      <c r="Y79" s="1"/>
      <c r="Z79" s="237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</row>
    <row r="80" spans="1:256" s="2" customFormat="1" ht="13.5" hidden="1" thickBot="1" x14ac:dyDescent="0.35">
      <c r="A80" s="1"/>
      <c r="B80" s="1935" t="s">
        <v>16</v>
      </c>
      <c r="C80" s="9"/>
      <c r="D80" s="9" t="s">
        <v>168</v>
      </c>
      <c r="E80" s="9" t="s">
        <v>166</v>
      </c>
      <c r="F80" s="9" t="s">
        <v>400</v>
      </c>
      <c r="G80" s="88">
        <v>240</v>
      </c>
      <c r="H80" s="88"/>
      <c r="I80" s="9" t="s">
        <v>166</v>
      </c>
      <c r="J80" s="1063">
        <v>426</v>
      </c>
      <c r="K80" s="1063"/>
      <c r="L80" s="1063">
        <v>296</v>
      </c>
      <c r="M80" s="1063">
        <v>136</v>
      </c>
      <c r="N80" s="1940">
        <v>426</v>
      </c>
      <c r="O80" s="1941">
        <v>426</v>
      </c>
      <c r="P80" s="1941">
        <v>426</v>
      </c>
      <c r="Q80" s="1941">
        <v>426</v>
      </c>
      <c r="R80" s="1941">
        <v>426</v>
      </c>
      <c r="V80" s="1940">
        <v>426</v>
      </c>
      <c r="W80" s="1940">
        <v>426</v>
      </c>
      <c r="Y80" s="1"/>
      <c r="Z80" s="237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</row>
    <row r="81" spans="2:26" ht="65.5" hidden="1" thickBot="1" x14ac:dyDescent="0.3">
      <c r="B81" s="49" t="s">
        <v>748</v>
      </c>
      <c r="C81" s="9"/>
      <c r="D81" s="9" t="s">
        <v>168</v>
      </c>
      <c r="E81" s="9" t="s">
        <v>166</v>
      </c>
      <c r="F81" s="34" t="s">
        <v>401</v>
      </c>
      <c r="G81" s="88"/>
      <c r="H81" s="88"/>
      <c r="I81" s="9" t="s">
        <v>166</v>
      </c>
      <c r="J81" s="1063">
        <f>J82</f>
        <v>285</v>
      </c>
      <c r="K81" s="1063"/>
      <c r="L81" s="1063">
        <f t="shared" ref="L81:R81" si="46">L82</f>
        <v>200</v>
      </c>
      <c r="M81" s="1063">
        <f t="shared" si="46"/>
        <v>200</v>
      </c>
      <c r="N81" s="1940">
        <f t="shared" si="46"/>
        <v>285</v>
      </c>
      <c r="O81" s="1941">
        <f t="shared" si="46"/>
        <v>285</v>
      </c>
      <c r="P81" s="1941">
        <f t="shared" si="46"/>
        <v>285</v>
      </c>
      <c r="Q81" s="1941">
        <f t="shared" si="46"/>
        <v>285</v>
      </c>
      <c r="R81" s="1941">
        <f t="shared" si="46"/>
        <v>285</v>
      </c>
      <c r="V81" s="1940">
        <f t="shared" ref="V81:W81" si="47">V82</f>
        <v>285</v>
      </c>
      <c r="W81" s="1940">
        <f t="shared" si="47"/>
        <v>285</v>
      </c>
    </row>
    <row r="82" spans="2:26" ht="13.5" hidden="1" thickBot="1" x14ac:dyDescent="0.35">
      <c r="B82" s="1935" t="s">
        <v>16</v>
      </c>
      <c r="C82" s="9"/>
      <c r="D82" s="9" t="s">
        <v>168</v>
      </c>
      <c r="E82" s="9" t="s">
        <v>166</v>
      </c>
      <c r="F82" s="9" t="s">
        <v>400</v>
      </c>
      <c r="G82" s="88">
        <v>240</v>
      </c>
      <c r="H82" s="88"/>
      <c r="I82" s="9" t="s">
        <v>166</v>
      </c>
      <c r="J82" s="1063">
        <v>285</v>
      </c>
      <c r="K82" s="1063"/>
      <c r="L82" s="1063">
        <v>200</v>
      </c>
      <c r="M82" s="1063">
        <v>200</v>
      </c>
      <c r="N82" s="1940">
        <v>285</v>
      </c>
      <c r="O82" s="1941">
        <v>285</v>
      </c>
      <c r="P82" s="1941">
        <v>285</v>
      </c>
      <c r="Q82" s="1941">
        <v>285</v>
      </c>
      <c r="R82" s="1941">
        <v>285</v>
      </c>
      <c r="V82" s="1940">
        <v>285</v>
      </c>
      <c r="W82" s="1940">
        <v>285</v>
      </c>
    </row>
    <row r="83" spans="2:26" ht="78.5" hidden="1" thickBot="1" x14ac:dyDescent="0.3">
      <c r="B83" s="157" t="s">
        <v>749</v>
      </c>
      <c r="C83" s="34"/>
      <c r="D83" s="9" t="s">
        <v>168</v>
      </c>
      <c r="E83" s="9" t="s">
        <v>166</v>
      </c>
      <c r="F83" s="34" t="s">
        <v>399</v>
      </c>
      <c r="G83" s="34"/>
      <c r="H83" s="34"/>
      <c r="I83" s="9" t="s">
        <v>166</v>
      </c>
      <c r="J83" s="1065">
        <f>J84</f>
        <v>686</v>
      </c>
      <c r="K83" s="1065"/>
      <c r="L83" s="1065">
        <f t="shared" ref="L83:R83" si="48">L84</f>
        <v>686</v>
      </c>
      <c r="M83" s="1065">
        <f t="shared" si="48"/>
        <v>686</v>
      </c>
      <c r="N83" s="1938">
        <f t="shared" si="48"/>
        <v>686</v>
      </c>
      <c r="O83" s="1939">
        <f t="shared" si="48"/>
        <v>686</v>
      </c>
      <c r="P83" s="1939">
        <f t="shared" si="48"/>
        <v>686</v>
      </c>
      <c r="Q83" s="1939">
        <f t="shared" si="48"/>
        <v>686</v>
      </c>
      <c r="R83" s="1939">
        <f t="shared" si="48"/>
        <v>686</v>
      </c>
      <c r="V83" s="1938">
        <f t="shared" ref="V83:W83" si="49">V84</f>
        <v>686</v>
      </c>
      <c r="W83" s="1938">
        <f t="shared" si="49"/>
        <v>686</v>
      </c>
    </row>
    <row r="84" spans="2:26" ht="104.5" hidden="1" thickBot="1" x14ac:dyDescent="0.3">
      <c r="B84" s="49" t="s">
        <v>750</v>
      </c>
      <c r="C84" s="34"/>
      <c r="D84" s="9" t="s">
        <v>168</v>
      </c>
      <c r="E84" s="9" t="s">
        <v>166</v>
      </c>
      <c r="F84" s="9" t="s">
        <v>397</v>
      </c>
      <c r="G84" s="34"/>
      <c r="H84" s="34"/>
      <c r="I84" s="9" t="s">
        <v>166</v>
      </c>
      <c r="J84" s="1063">
        <f>J86</f>
        <v>686</v>
      </c>
      <c r="K84" s="1063"/>
      <c r="L84" s="1063">
        <f t="shared" ref="L84:R84" si="50">L86</f>
        <v>686</v>
      </c>
      <c r="M84" s="1063">
        <f t="shared" si="50"/>
        <v>686</v>
      </c>
      <c r="N84" s="1940">
        <f t="shared" si="50"/>
        <v>686</v>
      </c>
      <c r="O84" s="1941">
        <f t="shared" si="50"/>
        <v>686</v>
      </c>
      <c r="P84" s="1941">
        <f t="shared" si="50"/>
        <v>686</v>
      </c>
      <c r="Q84" s="1941">
        <f t="shared" si="50"/>
        <v>686</v>
      </c>
      <c r="R84" s="1941">
        <f t="shared" si="50"/>
        <v>686</v>
      </c>
      <c r="V84" s="1940">
        <f t="shared" ref="V84:W84" si="51">V86</f>
        <v>686</v>
      </c>
      <c r="W84" s="1940">
        <f t="shared" si="51"/>
        <v>686</v>
      </c>
    </row>
    <row r="85" spans="2:26" ht="40.5" hidden="1" customHeight="1" x14ac:dyDescent="0.25">
      <c r="B85" s="42" t="s">
        <v>223</v>
      </c>
      <c r="C85" s="160"/>
      <c r="D85" s="31" t="s">
        <v>168</v>
      </c>
      <c r="E85" s="31" t="s">
        <v>166</v>
      </c>
      <c r="F85" s="31" t="s">
        <v>222</v>
      </c>
      <c r="G85" s="161"/>
      <c r="H85" s="161"/>
      <c r="I85" s="31" t="s">
        <v>166</v>
      </c>
      <c r="J85" s="1069"/>
      <c r="K85" s="1069"/>
      <c r="L85" s="1069"/>
      <c r="M85" s="1069"/>
      <c r="N85" s="1946"/>
      <c r="O85" s="1947"/>
      <c r="P85" s="1947"/>
      <c r="Q85" s="1947"/>
      <c r="R85" s="1947"/>
      <c r="V85" s="1946"/>
      <c r="W85" s="1946"/>
    </row>
    <row r="86" spans="2:26" ht="17.5" hidden="1" customHeight="1" x14ac:dyDescent="0.3">
      <c r="B86" s="1935" t="s">
        <v>16</v>
      </c>
      <c r="C86" s="160"/>
      <c r="D86" s="9" t="s">
        <v>168</v>
      </c>
      <c r="E86" s="9" t="s">
        <v>166</v>
      </c>
      <c r="F86" s="9" t="s">
        <v>397</v>
      </c>
      <c r="G86" s="33" t="s">
        <v>1</v>
      </c>
      <c r="H86" s="33"/>
      <c r="I86" s="9" t="s">
        <v>166</v>
      </c>
      <c r="J86" s="1063">
        <v>686</v>
      </c>
      <c r="K86" s="1069"/>
      <c r="L86" s="1063">
        <v>686</v>
      </c>
      <c r="M86" s="1063">
        <v>686</v>
      </c>
      <c r="N86" s="1940">
        <v>686</v>
      </c>
      <c r="O86" s="1941">
        <v>686</v>
      </c>
      <c r="P86" s="1941">
        <v>686</v>
      </c>
      <c r="Q86" s="1941">
        <v>686</v>
      </c>
      <c r="R86" s="1941">
        <v>686</v>
      </c>
      <c r="V86" s="1940">
        <v>686</v>
      </c>
      <c r="W86" s="1940">
        <v>686</v>
      </c>
    </row>
    <row r="87" spans="2:26" ht="44.25" hidden="1" customHeight="1" x14ac:dyDescent="0.25">
      <c r="B87" s="52" t="s">
        <v>171</v>
      </c>
      <c r="C87" s="9"/>
      <c r="D87" s="34" t="s">
        <v>168</v>
      </c>
      <c r="E87" s="34" t="s">
        <v>166</v>
      </c>
      <c r="F87" s="34" t="s">
        <v>170</v>
      </c>
      <c r="G87" s="131"/>
      <c r="H87" s="131"/>
      <c r="I87" s="34" t="s">
        <v>166</v>
      </c>
      <c r="J87" s="131"/>
      <c r="K87" s="131"/>
      <c r="L87" s="1"/>
      <c r="M87" s="24"/>
      <c r="N87" s="1938"/>
      <c r="O87" s="1944"/>
      <c r="P87" s="1944"/>
      <c r="Q87" s="1945"/>
      <c r="R87" s="1945"/>
      <c r="V87" s="1938"/>
      <c r="W87" s="1938"/>
    </row>
    <row r="88" spans="2:26" ht="39.5" hidden="1" thickBot="1" x14ac:dyDescent="0.3">
      <c r="B88" s="49" t="s">
        <v>169</v>
      </c>
      <c r="C88" s="9"/>
      <c r="D88" s="9" t="s">
        <v>168</v>
      </c>
      <c r="E88" s="9" t="s">
        <v>166</v>
      </c>
      <c r="F88" s="9" t="s">
        <v>167</v>
      </c>
      <c r="G88" s="88"/>
      <c r="H88" s="88"/>
      <c r="I88" s="9" t="s">
        <v>166</v>
      </c>
      <c r="J88" s="1063"/>
      <c r="K88" s="1063"/>
      <c r="L88" s="1063"/>
      <c r="M88" s="1063"/>
      <c r="N88" s="1940"/>
      <c r="O88" s="1941"/>
      <c r="P88" s="1941"/>
      <c r="Q88" s="1941"/>
      <c r="R88" s="1941"/>
      <c r="V88" s="1940"/>
      <c r="W88" s="1940"/>
    </row>
    <row r="89" spans="2:26" s="83" customFormat="1" ht="14.5" hidden="1" thickBot="1" x14ac:dyDescent="0.35">
      <c r="B89" s="194" t="s">
        <v>396</v>
      </c>
      <c r="C89" s="193"/>
      <c r="D89" s="193" t="s">
        <v>52</v>
      </c>
      <c r="E89" s="193" t="s">
        <v>106</v>
      </c>
      <c r="F89" s="193" t="s">
        <v>106</v>
      </c>
      <c r="G89" s="193" t="s">
        <v>106</v>
      </c>
      <c r="H89" s="193"/>
      <c r="I89" s="193" t="s">
        <v>106</v>
      </c>
      <c r="J89" s="1070">
        <f>J90+J99</f>
        <v>18097.09</v>
      </c>
      <c r="K89" s="1071"/>
      <c r="L89" s="1070">
        <f t="shared" ref="L89:R89" si="52">L90+L99</f>
        <v>11814.485000000001</v>
      </c>
      <c r="M89" s="1070">
        <f t="shared" si="52"/>
        <v>14413.347</v>
      </c>
      <c r="N89" s="1948">
        <f t="shared" si="52"/>
        <v>18097.09</v>
      </c>
      <c r="O89" s="1949">
        <f t="shared" si="52"/>
        <v>18097.09</v>
      </c>
      <c r="P89" s="1949">
        <f t="shared" si="52"/>
        <v>18097.09</v>
      </c>
      <c r="Q89" s="1949">
        <f t="shared" si="52"/>
        <v>18097.09</v>
      </c>
      <c r="R89" s="1949">
        <f t="shared" si="52"/>
        <v>18097.09</v>
      </c>
      <c r="S89" s="84"/>
      <c r="T89" s="84"/>
      <c r="U89" s="84"/>
      <c r="V89" s="1948">
        <f t="shared" ref="V89:W89" si="53">V90+V99</f>
        <v>18097.09</v>
      </c>
      <c r="W89" s="1948">
        <f t="shared" si="53"/>
        <v>18097.09</v>
      </c>
      <c r="X89" s="84"/>
      <c r="Z89" s="2141"/>
    </row>
    <row r="90" spans="2:26" s="83" customFormat="1" ht="13.5" hidden="1" thickBot="1" x14ac:dyDescent="0.35">
      <c r="B90" s="126" t="s">
        <v>60</v>
      </c>
      <c r="C90" s="89"/>
      <c r="D90" s="89" t="s">
        <v>52</v>
      </c>
      <c r="E90" s="89" t="s">
        <v>58</v>
      </c>
      <c r="F90" s="89"/>
      <c r="G90" s="89"/>
      <c r="H90" s="89"/>
      <c r="I90" s="89" t="s">
        <v>58</v>
      </c>
      <c r="J90" s="1064">
        <f>J91</f>
        <v>17447.29</v>
      </c>
      <c r="K90" s="1063"/>
      <c r="L90" s="1064">
        <f t="shared" ref="L90:R90" si="54">L91</f>
        <v>11444.685000000001</v>
      </c>
      <c r="M90" s="1064">
        <f t="shared" si="54"/>
        <v>14038.547</v>
      </c>
      <c r="N90" s="1938">
        <f t="shared" si="54"/>
        <v>17447.29</v>
      </c>
      <c r="O90" s="1939">
        <f t="shared" si="54"/>
        <v>17447.29</v>
      </c>
      <c r="P90" s="1939">
        <f t="shared" si="54"/>
        <v>17447.29</v>
      </c>
      <c r="Q90" s="1939">
        <f t="shared" si="54"/>
        <v>17447.29</v>
      </c>
      <c r="R90" s="1939">
        <f t="shared" si="54"/>
        <v>17447.29</v>
      </c>
      <c r="S90" s="84"/>
      <c r="T90" s="84"/>
      <c r="U90" s="84"/>
      <c r="V90" s="1938">
        <f t="shared" ref="V90:W90" si="55">V91</f>
        <v>17447.29</v>
      </c>
      <c r="W90" s="1938">
        <f t="shared" si="55"/>
        <v>17447.29</v>
      </c>
      <c r="X90" s="84"/>
      <c r="Z90" s="2141"/>
    </row>
    <row r="91" spans="2:26" s="83" customFormat="1" ht="38.25" hidden="1" customHeight="1" x14ac:dyDescent="0.3">
      <c r="B91" s="52" t="s">
        <v>395</v>
      </c>
      <c r="C91" s="89"/>
      <c r="D91" s="89" t="s">
        <v>52</v>
      </c>
      <c r="E91" s="89" t="s">
        <v>58</v>
      </c>
      <c r="F91" s="89" t="s">
        <v>394</v>
      </c>
      <c r="G91" s="131"/>
      <c r="H91" s="131"/>
      <c r="I91" s="89" t="s">
        <v>58</v>
      </c>
      <c r="J91" s="51">
        <f>J92+J96</f>
        <v>17447.29</v>
      </c>
      <c r="K91" s="158"/>
      <c r="L91" s="51">
        <f t="shared" ref="L91:R91" si="56">L92+L96</f>
        <v>11444.685000000001</v>
      </c>
      <c r="M91" s="51">
        <f t="shared" si="56"/>
        <v>14038.547</v>
      </c>
      <c r="N91" s="1938">
        <f t="shared" si="56"/>
        <v>17447.29</v>
      </c>
      <c r="O91" s="1944">
        <f t="shared" si="56"/>
        <v>17447.29</v>
      </c>
      <c r="P91" s="1944">
        <f t="shared" si="56"/>
        <v>17447.29</v>
      </c>
      <c r="Q91" s="1945">
        <f t="shared" si="56"/>
        <v>17447.29</v>
      </c>
      <c r="R91" s="1945">
        <f t="shared" si="56"/>
        <v>17447.29</v>
      </c>
      <c r="S91" s="84"/>
      <c r="T91" s="84"/>
      <c r="U91" s="84"/>
      <c r="V91" s="1938">
        <f t="shared" ref="V91:W91" si="57">V92+V96</f>
        <v>17447.29</v>
      </c>
      <c r="W91" s="1938">
        <f t="shared" si="57"/>
        <v>17447.29</v>
      </c>
      <c r="X91" s="84"/>
      <c r="Z91" s="2141"/>
    </row>
    <row r="92" spans="2:26" s="83" customFormat="1" ht="65.5" hidden="1" thickBot="1" x14ac:dyDescent="0.35">
      <c r="B92" s="157" t="s">
        <v>751</v>
      </c>
      <c r="C92" s="33"/>
      <c r="D92" s="33" t="s">
        <v>52</v>
      </c>
      <c r="E92" s="33" t="s">
        <v>58</v>
      </c>
      <c r="F92" s="89" t="s">
        <v>392</v>
      </c>
      <c r="G92" s="89"/>
      <c r="H92" s="89"/>
      <c r="I92" s="33" t="s">
        <v>58</v>
      </c>
      <c r="J92" s="1064">
        <f>J93</f>
        <v>16806.29</v>
      </c>
      <c r="K92" s="1065"/>
      <c r="L92" s="1065">
        <f t="shared" ref="L92:R93" si="58">L93</f>
        <v>10777.685000000001</v>
      </c>
      <c r="M92" s="1064">
        <f t="shared" si="58"/>
        <v>13305.547</v>
      </c>
      <c r="N92" s="1938">
        <f t="shared" si="58"/>
        <v>16806.29</v>
      </c>
      <c r="O92" s="1939">
        <f t="shared" si="58"/>
        <v>16806.29</v>
      </c>
      <c r="P92" s="1939">
        <f t="shared" si="58"/>
        <v>16806.29</v>
      </c>
      <c r="Q92" s="1939">
        <f t="shared" si="58"/>
        <v>16806.29</v>
      </c>
      <c r="R92" s="1939">
        <f t="shared" si="58"/>
        <v>16806.29</v>
      </c>
      <c r="S92" s="84"/>
      <c r="T92" s="84"/>
      <c r="U92" s="84"/>
      <c r="V92" s="1938">
        <f t="shared" ref="V92:W93" si="59">V93</f>
        <v>16806.29</v>
      </c>
      <c r="W92" s="1938">
        <f t="shared" si="59"/>
        <v>16806.29</v>
      </c>
      <c r="X92" s="84"/>
      <c r="Z92" s="2141"/>
    </row>
    <row r="93" spans="2:26" s="83" customFormat="1" ht="78.5" hidden="1" thickBot="1" x14ac:dyDescent="0.35">
      <c r="B93" s="90" t="s">
        <v>752</v>
      </c>
      <c r="C93" s="33"/>
      <c r="D93" s="33" t="s">
        <v>52</v>
      </c>
      <c r="E93" s="33" t="s">
        <v>58</v>
      </c>
      <c r="F93" s="33" t="s">
        <v>390</v>
      </c>
      <c r="G93" s="33"/>
      <c r="H93" s="33"/>
      <c r="I93" s="33" t="s">
        <v>58</v>
      </c>
      <c r="J93" s="1061">
        <f>J94</f>
        <v>16806.29</v>
      </c>
      <c r="K93" s="1063"/>
      <c r="L93" s="1061">
        <f t="shared" si="58"/>
        <v>10777.685000000001</v>
      </c>
      <c r="M93" s="1061">
        <f t="shared" si="58"/>
        <v>13305.547</v>
      </c>
      <c r="N93" s="1940">
        <f t="shared" si="58"/>
        <v>16806.29</v>
      </c>
      <c r="O93" s="1941">
        <f t="shared" si="58"/>
        <v>16806.29</v>
      </c>
      <c r="P93" s="1941">
        <f t="shared" si="58"/>
        <v>16806.29</v>
      </c>
      <c r="Q93" s="1941">
        <f t="shared" si="58"/>
        <v>16806.29</v>
      </c>
      <c r="R93" s="1941">
        <f t="shared" si="58"/>
        <v>16806.29</v>
      </c>
      <c r="S93" s="84"/>
      <c r="T93" s="84"/>
      <c r="U93" s="84"/>
      <c r="V93" s="1940">
        <f t="shared" si="59"/>
        <v>16806.29</v>
      </c>
      <c r="W93" s="1940">
        <f t="shared" si="59"/>
        <v>16806.29</v>
      </c>
      <c r="X93" s="84"/>
      <c r="Z93" s="2141"/>
    </row>
    <row r="94" spans="2:26" s="83" customFormat="1" ht="13.5" hidden="1" thickBot="1" x14ac:dyDescent="0.35">
      <c r="B94" s="1935" t="s">
        <v>16</v>
      </c>
      <c r="C94" s="33"/>
      <c r="D94" s="33" t="s">
        <v>52</v>
      </c>
      <c r="E94" s="33" t="s">
        <v>58</v>
      </c>
      <c r="F94" s="33" t="s">
        <v>390</v>
      </c>
      <c r="G94" s="33" t="s">
        <v>1</v>
      </c>
      <c r="H94" s="33"/>
      <c r="I94" s="33" t="s">
        <v>58</v>
      </c>
      <c r="J94" s="1061">
        <f>7156.753+13430-3780.463</f>
        <v>16806.29</v>
      </c>
      <c r="K94" s="1063"/>
      <c r="L94" s="1061">
        <f>22480.2-11702.515</f>
        <v>10777.685000000001</v>
      </c>
      <c r="M94" s="1061">
        <v>13305.547</v>
      </c>
      <c r="N94" s="1940">
        <f>7156.753+13430-3780.463</f>
        <v>16806.29</v>
      </c>
      <c r="O94" s="1941">
        <f>7156.753+13430-3780.463</f>
        <v>16806.29</v>
      </c>
      <c r="P94" s="1941">
        <f>7156.753+13430-3780.463</f>
        <v>16806.29</v>
      </c>
      <c r="Q94" s="1941">
        <f>7156.753+13430-3780.463</f>
        <v>16806.29</v>
      </c>
      <c r="R94" s="1941">
        <f>7156.753+13430-3780.463</f>
        <v>16806.29</v>
      </c>
      <c r="S94" s="84"/>
      <c r="T94" s="84"/>
      <c r="U94" s="84"/>
      <c r="V94" s="1940">
        <f>7156.753+13430-3780.463</f>
        <v>16806.29</v>
      </c>
      <c r="W94" s="1940">
        <f>7156.753+13430-3780.463</f>
        <v>16806.29</v>
      </c>
      <c r="X94" s="84"/>
      <c r="Z94" s="2141"/>
    </row>
    <row r="95" spans="2:26" s="83" customFormat="1" ht="52.5" hidden="1" thickBot="1" x14ac:dyDescent="0.35">
      <c r="B95" s="90" t="s">
        <v>211</v>
      </c>
      <c r="C95" s="89"/>
      <c r="D95" s="33" t="s">
        <v>52</v>
      </c>
      <c r="E95" s="33" t="s">
        <v>58</v>
      </c>
      <c r="F95" s="33" t="s">
        <v>210</v>
      </c>
      <c r="G95" s="89"/>
      <c r="H95" s="89"/>
      <c r="I95" s="33" t="s">
        <v>58</v>
      </c>
      <c r="J95" s="1063"/>
      <c r="K95" s="1063"/>
      <c r="L95" s="1063"/>
      <c r="M95" s="1063"/>
      <c r="N95" s="1940"/>
      <c r="O95" s="1941"/>
      <c r="P95" s="1941"/>
      <c r="Q95" s="1941"/>
      <c r="R95" s="1941"/>
      <c r="S95" s="84"/>
      <c r="T95" s="84"/>
      <c r="U95" s="84"/>
      <c r="V95" s="1940"/>
      <c r="W95" s="1940"/>
      <c r="X95" s="84"/>
      <c r="Z95" s="2141"/>
    </row>
    <row r="96" spans="2:26" s="83" customFormat="1" ht="52.5" hidden="1" thickBot="1" x14ac:dyDescent="0.35">
      <c r="B96" s="157" t="s">
        <v>753</v>
      </c>
      <c r="C96" s="89"/>
      <c r="D96" s="33" t="s">
        <v>52</v>
      </c>
      <c r="E96" s="33" t="s">
        <v>58</v>
      </c>
      <c r="F96" s="89" t="s">
        <v>388</v>
      </c>
      <c r="G96" s="88"/>
      <c r="H96" s="88"/>
      <c r="I96" s="33" t="s">
        <v>58</v>
      </c>
      <c r="J96" s="1065">
        <f>J97</f>
        <v>641</v>
      </c>
      <c r="K96" s="1065"/>
      <c r="L96" s="1065">
        <f t="shared" ref="L96:R97" si="60">L97</f>
        <v>667</v>
      </c>
      <c r="M96" s="1065">
        <f t="shared" si="60"/>
        <v>733</v>
      </c>
      <c r="N96" s="1938">
        <f t="shared" si="60"/>
        <v>641</v>
      </c>
      <c r="O96" s="1939">
        <f t="shared" si="60"/>
        <v>641</v>
      </c>
      <c r="P96" s="1939">
        <f t="shared" si="60"/>
        <v>641</v>
      </c>
      <c r="Q96" s="1939">
        <f t="shared" si="60"/>
        <v>641</v>
      </c>
      <c r="R96" s="1939">
        <f t="shared" si="60"/>
        <v>641</v>
      </c>
      <c r="S96" s="84"/>
      <c r="T96" s="84"/>
      <c r="U96" s="84"/>
      <c r="V96" s="1938">
        <f t="shared" ref="V96:W97" si="61">V97</f>
        <v>641</v>
      </c>
      <c r="W96" s="1938">
        <f t="shared" si="61"/>
        <v>641</v>
      </c>
      <c r="X96" s="84"/>
      <c r="Z96" s="2141"/>
    </row>
    <row r="97" spans="2:26" s="83" customFormat="1" ht="65.5" hidden="1" thickBot="1" x14ac:dyDescent="0.35">
      <c r="B97" s="49" t="s">
        <v>754</v>
      </c>
      <c r="C97" s="89"/>
      <c r="D97" s="33" t="s">
        <v>52</v>
      </c>
      <c r="E97" s="33" t="s">
        <v>58</v>
      </c>
      <c r="F97" s="33" t="s">
        <v>386</v>
      </c>
      <c r="G97" s="88"/>
      <c r="H97" s="88"/>
      <c r="I97" s="33" t="s">
        <v>58</v>
      </c>
      <c r="J97" s="1063">
        <f>J98</f>
        <v>641</v>
      </c>
      <c r="K97" s="1063"/>
      <c r="L97" s="1063">
        <f t="shared" si="60"/>
        <v>667</v>
      </c>
      <c r="M97" s="1063">
        <f t="shared" si="60"/>
        <v>733</v>
      </c>
      <c r="N97" s="1940">
        <f t="shared" si="60"/>
        <v>641</v>
      </c>
      <c r="O97" s="1941">
        <f t="shared" si="60"/>
        <v>641</v>
      </c>
      <c r="P97" s="1941">
        <f t="shared" si="60"/>
        <v>641</v>
      </c>
      <c r="Q97" s="1941">
        <f t="shared" si="60"/>
        <v>641</v>
      </c>
      <c r="R97" s="1941">
        <f t="shared" si="60"/>
        <v>641</v>
      </c>
      <c r="S97" s="84"/>
      <c r="T97" s="84"/>
      <c r="U97" s="84"/>
      <c r="V97" s="1940">
        <f t="shared" si="61"/>
        <v>641</v>
      </c>
      <c r="W97" s="1940">
        <f t="shared" si="61"/>
        <v>641</v>
      </c>
      <c r="X97" s="84"/>
      <c r="Z97" s="2141"/>
    </row>
    <row r="98" spans="2:26" s="83" customFormat="1" ht="13.5" hidden="1" thickBot="1" x14ac:dyDescent="0.35">
      <c r="B98" s="1935" t="s">
        <v>16</v>
      </c>
      <c r="C98" s="89"/>
      <c r="D98" s="33" t="s">
        <v>52</v>
      </c>
      <c r="E98" s="33" t="s">
        <v>58</v>
      </c>
      <c r="F98" s="33" t="s">
        <v>386</v>
      </c>
      <c r="G98" s="88">
        <v>240</v>
      </c>
      <c r="H98" s="88"/>
      <c r="I98" s="33" t="s">
        <v>58</v>
      </c>
      <c r="J98" s="1063">
        <v>641</v>
      </c>
      <c r="K98" s="1063"/>
      <c r="L98" s="1063">
        <v>667</v>
      </c>
      <c r="M98" s="1063">
        <v>733</v>
      </c>
      <c r="N98" s="1940">
        <v>641</v>
      </c>
      <c r="O98" s="1941">
        <v>641</v>
      </c>
      <c r="P98" s="1941">
        <v>641</v>
      </c>
      <c r="Q98" s="1941">
        <v>641</v>
      </c>
      <c r="R98" s="1941">
        <v>641</v>
      </c>
      <c r="S98" s="84"/>
      <c r="T98" s="84"/>
      <c r="U98" s="84"/>
      <c r="V98" s="1940">
        <v>641</v>
      </c>
      <c r="W98" s="1940">
        <v>641</v>
      </c>
      <c r="X98" s="84"/>
      <c r="Z98" s="2141"/>
    </row>
    <row r="99" spans="2:26" s="83" customFormat="1" ht="13.5" hidden="1" thickBot="1" x14ac:dyDescent="0.35">
      <c r="B99" s="215" t="s">
        <v>51</v>
      </c>
      <c r="C99" s="89"/>
      <c r="D99" s="34" t="s">
        <v>52</v>
      </c>
      <c r="E99" s="34" t="s">
        <v>49</v>
      </c>
      <c r="F99" s="33"/>
      <c r="G99" s="88"/>
      <c r="H99" s="88"/>
      <c r="I99" s="34" t="s">
        <v>49</v>
      </c>
      <c r="J99" s="1072">
        <f>J100+J104</f>
        <v>649.79999999999995</v>
      </c>
      <c r="K99" s="1072"/>
      <c r="L99" s="1072">
        <f t="shared" ref="L99:R99" si="62">L100+L104</f>
        <v>369.8</v>
      </c>
      <c r="M99" s="1072">
        <f t="shared" si="62"/>
        <v>374.8</v>
      </c>
      <c r="N99" s="1938">
        <f t="shared" si="62"/>
        <v>649.79999999999995</v>
      </c>
      <c r="O99" s="1939">
        <f t="shared" si="62"/>
        <v>649.79999999999995</v>
      </c>
      <c r="P99" s="1939">
        <f t="shared" si="62"/>
        <v>649.79999999999995</v>
      </c>
      <c r="Q99" s="1939">
        <f t="shared" si="62"/>
        <v>649.79999999999995</v>
      </c>
      <c r="R99" s="1939">
        <f t="shared" si="62"/>
        <v>649.79999999999995</v>
      </c>
      <c r="S99" s="84"/>
      <c r="T99" s="84"/>
      <c r="U99" s="84"/>
      <c r="V99" s="1938">
        <f t="shared" ref="V99:W99" si="63">V100+V104</f>
        <v>649.79999999999995</v>
      </c>
      <c r="W99" s="1938">
        <f t="shared" si="63"/>
        <v>649.79999999999995</v>
      </c>
      <c r="X99" s="84"/>
      <c r="Z99" s="2141"/>
    </row>
    <row r="100" spans="2:26" s="83" customFormat="1" ht="51.75" hidden="1" customHeight="1" x14ac:dyDescent="0.3">
      <c r="B100" s="52" t="s">
        <v>385</v>
      </c>
      <c r="C100" s="9"/>
      <c r="D100" s="34" t="s">
        <v>52</v>
      </c>
      <c r="E100" s="34" t="s">
        <v>49</v>
      </c>
      <c r="F100" s="34" t="s">
        <v>384</v>
      </c>
      <c r="G100" s="131"/>
      <c r="H100" s="131"/>
      <c r="I100" s="34" t="s">
        <v>49</v>
      </c>
      <c r="J100" s="51">
        <f>J102</f>
        <v>300</v>
      </c>
      <c r="K100" s="51"/>
      <c r="L100" s="51">
        <f t="shared" ref="L100:R100" si="64">L102</f>
        <v>305</v>
      </c>
      <c r="M100" s="51">
        <f t="shared" si="64"/>
        <v>310</v>
      </c>
      <c r="N100" s="1938">
        <f t="shared" si="64"/>
        <v>300</v>
      </c>
      <c r="O100" s="1944">
        <f t="shared" si="64"/>
        <v>300</v>
      </c>
      <c r="P100" s="1944">
        <f t="shared" si="64"/>
        <v>300</v>
      </c>
      <c r="Q100" s="1945">
        <f t="shared" si="64"/>
        <v>300</v>
      </c>
      <c r="R100" s="1945">
        <f t="shared" si="64"/>
        <v>300</v>
      </c>
      <c r="S100" s="84"/>
      <c r="T100" s="84"/>
      <c r="U100" s="84"/>
      <c r="V100" s="1938">
        <f t="shared" ref="V100:W100" si="65">V102</f>
        <v>300</v>
      </c>
      <c r="W100" s="1938">
        <f t="shared" si="65"/>
        <v>300</v>
      </c>
      <c r="X100" s="84"/>
      <c r="Z100" s="2141"/>
    </row>
    <row r="101" spans="2:26" s="83" customFormat="1" ht="78" hidden="1" customHeight="1" x14ac:dyDescent="0.3">
      <c r="B101" s="170" t="s">
        <v>755</v>
      </c>
      <c r="D101" s="33" t="s">
        <v>52</v>
      </c>
      <c r="E101" s="33" t="s">
        <v>49</v>
      </c>
      <c r="F101" s="33" t="s">
        <v>290</v>
      </c>
      <c r="G101" s="9"/>
      <c r="H101" s="9"/>
      <c r="I101" s="33" t="s">
        <v>49</v>
      </c>
      <c r="J101" s="1065"/>
      <c r="K101" s="1065"/>
      <c r="L101" s="1065"/>
      <c r="M101" s="1065"/>
      <c r="N101" s="1938"/>
      <c r="O101" s="1939"/>
      <c r="P101" s="1939"/>
      <c r="Q101" s="1939"/>
      <c r="R101" s="1939"/>
      <c r="S101" s="84"/>
      <c r="T101" s="84"/>
      <c r="U101" s="84"/>
      <c r="V101" s="1938"/>
      <c r="W101" s="1938"/>
      <c r="X101" s="84"/>
      <c r="Z101" s="2141"/>
    </row>
    <row r="102" spans="2:26" s="83" customFormat="1" ht="98.5" hidden="1" thickBot="1" x14ac:dyDescent="0.35">
      <c r="B102" s="214" t="s">
        <v>756</v>
      </c>
      <c r="C102" s="9"/>
      <c r="D102" s="33" t="s">
        <v>52</v>
      </c>
      <c r="E102" s="33" t="s">
        <v>49</v>
      </c>
      <c r="F102" s="33" t="s">
        <v>382</v>
      </c>
      <c r="G102" s="9"/>
      <c r="H102" s="9"/>
      <c r="I102" s="33" t="s">
        <v>49</v>
      </c>
      <c r="J102" s="1065">
        <f>J103</f>
        <v>300</v>
      </c>
      <c r="K102" s="1065"/>
      <c r="L102" s="1065">
        <f t="shared" ref="L102:R102" si="66">L103</f>
        <v>305</v>
      </c>
      <c r="M102" s="1065">
        <f t="shared" si="66"/>
        <v>310</v>
      </c>
      <c r="N102" s="1938">
        <f t="shared" si="66"/>
        <v>300</v>
      </c>
      <c r="O102" s="1939">
        <f t="shared" si="66"/>
        <v>300</v>
      </c>
      <c r="P102" s="1939">
        <f t="shared" si="66"/>
        <v>300</v>
      </c>
      <c r="Q102" s="1939">
        <f t="shared" si="66"/>
        <v>300</v>
      </c>
      <c r="R102" s="1939">
        <f t="shared" si="66"/>
        <v>300</v>
      </c>
      <c r="S102" s="84"/>
      <c r="T102" s="84"/>
      <c r="U102" s="84"/>
      <c r="V102" s="1938">
        <f t="shared" ref="V102:W102" si="67">V103</f>
        <v>300</v>
      </c>
      <c r="W102" s="1938">
        <f t="shared" si="67"/>
        <v>300</v>
      </c>
      <c r="X102" s="84"/>
      <c r="Z102" s="2141"/>
    </row>
    <row r="103" spans="2:26" s="83" customFormat="1" ht="13.5" hidden="1" thickBot="1" x14ac:dyDescent="0.35">
      <c r="B103" s="1935" t="s">
        <v>16</v>
      </c>
      <c r="C103" s="9"/>
      <c r="D103" s="33" t="s">
        <v>52</v>
      </c>
      <c r="E103" s="33" t="s">
        <v>49</v>
      </c>
      <c r="F103" s="33" t="s">
        <v>382</v>
      </c>
      <c r="G103" s="9" t="s">
        <v>1</v>
      </c>
      <c r="H103" s="9"/>
      <c r="I103" s="33" t="s">
        <v>49</v>
      </c>
      <c r="J103" s="1063">
        <v>300</v>
      </c>
      <c r="K103" s="1065"/>
      <c r="L103" s="1063">
        <v>305</v>
      </c>
      <c r="M103" s="1063">
        <v>310</v>
      </c>
      <c r="N103" s="1940">
        <v>300</v>
      </c>
      <c r="O103" s="1941">
        <v>300</v>
      </c>
      <c r="P103" s="1941">
        <v>300</v>
      </c>
      <c r="Q103" s="1941">
        <v>300</v>
      </c>
      <c r="R103" s="1941">
        <v>300</v>
      </c>
      <c r="S103" s="84"/>
      <c r="T103" s="84"/>
      <c r="U103" s="84"/>
      <c r="V103" s="1940">
        <v>300</v>
      </c>
      <c r="W103" s="1940">
        <v>300</v>
      </c>
      <c r="X103" s="84"/>
      <c r="Z103" s="2141"/>
    </row>
    <row r="104" spans="2:26" s="83" customFormat="1" ht="39.5" hidden="1" thickBot="1" x14ac:dyDescent="0.35">
      <c r="B104" s="52" t="s">
        <v>25</v>
      </c>
      <c r="C104" s="9"/>
      <c r="D104" s="34" t="s">
        <v>52</v>
      </c>
      <c r="E104" s="34" t="s">
        <v>49</v>
      </c>
      <c r="F104" s="34" t="s">
        <v>24</v>
      </c>
      <c r="G104" s="34"/>
      <c r="H104" s="34"/>
      <c r="I104" s="34" t="s">
        <v>49</v>
      </c>
      <c r="J104" s="1065">
        <f>J105+J107+J109</f>
        <v>349.8</v>
      </c>
      <c r="K104" s="1065"/>
      <c r="L104" s="1065">
        <f t="shared" ref="L104:R104" si="68">L105+L107+L109</f>
        <v>64.8</v>
      </c>
      <c r="M104" s="1065">
        <f t="shared" si="68"/>
        <v>64.8</v>
      </c>
      <c r="N104" s="1938">
        <f t="shared" si="68"/>
        <v>349.8</v>
      </c>
      <c r="O104" s="1939">
        <f t="shared" si="68"/>
        <v>349.8</v>
      </c>
      <c r="P104" s="1939">
        <f t="shared" si="68"/>
        <v>349.8</v>
      </c>
      <c r="Q104" s="1939">
        <f t="shared" si="68"/>
        <v>349.8</v>
      </c>
      <c r="R104" s="1939">
        <f t="shared" si="68"/>
        <v>349.8</v>
      </c>
      <c r="S104" s="84"/>
      <c r="T104" s="84"/>
      <c r="U104" s="84"/>
      <c r="V104" s="1938">
        <f t="shared" ref="V104:W104" si="69">V105+V107+V109</f>
        <v>349.8</v>
      </c>
      <c r="W104" s="1938">
        <f t="shared" si="69"/>
        <v>349.8</v>
      </c>
      <c r="X104" s="84"/>
      <c r="Z104" s="2141"/>
    </row>
    <row r="105" spans="2:26" s="83" customFormat="1" ht="13.5" hidden="1" thickBot="1" x14ac:dyDescent="0.35">
      <c r="B105" s="49" t="s">
        <v>57</v>
      </c>
      <c r="C105" s="9"/>
      <c r="D105" s="9" t="s">
        <v>52</v>
      </c>
      <c r="E105" s="9" t="s">
        <v>49</v>
      </c>
      <c r="F105" s="34" t="s">
        <v>56</v>
      </c>
      <c r="G105" s="34"/>
      <c r="H105" s="34"/>
      <c r="I105" s="9" t="s">
        <v>49</v>
      </c>
      <c r="J105" s="1065">
        <f>J106</f>
        <v>195</v>
      </c>
      <c r="K105" s="1065"/>
      <c r="L105" s="1065">
        <f t="shared" ref="L105:R105" si="70">L106</f>
        <v>0</v>
      </c>
      <c r="M105" s="1065">
        <f t="shared" si="70"/>
        <v>0</v>
      </c>
      <c r="N105" s="1938">
        <f t="shared" si="70"/>
        <v>195</v>
      </c>
      <c r="O105" s="1939">
        <f t="shared" si="70"/>
        <v>195</v>
      </c>
      <c r="P105" s="1939">
        <f t="shared" si="70"/>
        <v>195</v>
      </c>
      <c r="Q105" s="1939">
        <f t="shared" si="70"/>
        <v>195</v>
      </c>
      <c r="R105" s="1939">
        <f t="shared" si="70"/>
        <v>195</v>
      </c>
      <c r="S105" s="84"/>
      <c r="T105" s="84"/>
      <c r="U105" s="84"/>
      <c r="V105" s="1938">
        <f t="shared" ref="V105:W105" si="71">V106</f>
        <v>195</v>
      </c>
      <c r="W105" s="1938">
        <f t="shared" si="71"/>
        <v>195</v>
      </c>
      <c r="X105" s="84"/>
      <c r="Z105" s="2141"/>
    </row>
    <row r="106" spans="2:26" s="83" customFormat="1" ht="13.5" hidden="1" thickBot="1" x14ac:dyDescent="0.35">
      <c r="B106" s="1935" t="s">
        <v>16</v>
      </c>
      <c r="C106" s="9"/>
      <c r="D106" s="9" t="s">
        <v>52</v>
      </c>
      <c r="E106" s="9" t="s">
        <v>49</v>
      </c>
      <c r="F106" s="9" t="s">
        <v>56</v>
      </c>
      <c r="G106" s="9" t="s">
        <v>1</v>
      </c>
      <c r="H106" s="9"/>
      <c r="I106" s="9" t="s">
        <v>49</v>
      </c>
      <c r="J106" s="1063">
        <v>195</v>
      </c>
      <c r="K106" s="1063"/>
      <c r="L106" s="1063"/>
      <c r="M106" s="1063"/>
      <c r="N106" s="1940">
        <v>195</v>
      </c>
      <c r="O106" s="1941">
        <v>195</v>
      </c>
      <c r="P106" s="1941">
        <v>195</v>
      </c>
      <c r="Q106" s="1941">
        <v>195</v>
      </c>
      <c r="R106" s="1941">
        <v>195</v>
      </c>
      <c r="S106" s="84"/>
      <c r="T106" s="84"/>
      <c r="U106" s="84"/>
      <c r="V106" s="1940">
        <v>195</v>
      </c>
      <c r="W106" s="1940">
        <v>195</v>
      </c>
      <c r="X106" s="84"/>
      <c r="Z106" s="2141"/>
    </row>
    <row r="107" spans="2:26" s="83" customFormat="1" ht="13.5" hidden="1" thickBot="1" x14ac:dyDescent="0.35">
      <c r="B107" s="49" t="s">
        <v>55</v>
      </c>
      <c r="C107" s="9"/>
      <c r="D107" s="9" t="s">
        <v>52</v>
      </c>
      <c r="E107" s="9" t="s">
        <v>49</v>
      </c>
      <c r="F107" s="34" t="s">
        <v>381</v>
      </c>
      <c r="G107" s="9"/>
      <c r="H107" s="9"/>
      <c r="I107" s="9" t="s">
        <v>49</v>
      </c>
      <c r="J107" s="1065">
        <f>J108</f>
        <v>64.8</v>
      </c>
      <c r="K107" s="1065"/>
      <c r="L107" s="1065">
        <f t="shared" ref="L107:R107" si="72">L108</f>
        <v>64.8</v>
      </c>
      <c r="M107" s="1065">
        <f t="shared" si="72"/>
        <v>64.8</v>
      </c>
      <c r="N107" s="1938">
        <f t="shared" si="72"/>
        <v>64.8</v>
      </c>
      <c r="O107" s="1939">
        <f t="shared" si="72"/>
        <v>64.8</v>
      </c>
      <c r="P107" s="1939">
        <f t="shared" si="72"/>
        <v>64.8</v>
      </c>
      <c r="Q107" s="1939">
        <f t="shared" si="72"/>
        <v>64.8</v>
      </c>
      <c r="R107" s="1939">
        <f t="shared" si="72"/>
        <v>64.8</v>
      </c>
      <c r="S107" s="84"/>
      <c r="T107" s="84"/>
      <c r="U107" s="84"/>
      <c r="V107" s="1938">
        <f t="shared" ref="V107:W107" si="73">V108</f>
        <v>64.8</v>
      </c>
      <c r="W107" s="1938">
        <f t="shared" si="73"/>
        <v>64.8</v>
      </c>
      <c r="X107" s="84"/>
      <c r="Z107" s="2141"/>
    </row>
    <row r="108" spans="2:26" s="83" customFormat="1" ht="13.5" hidden="1" thickBot="1" x14ac:dyDescent="0.35">
      <c r="B108" s="1935" t="s">
        <v>16</v>
      </c>
      <c r="C108" s="9"/>
      <c r="D108" s="9" t="s">
        <v>52</v>
      </c>
      <c r="E108" s="9" t="s">
        <v>49</v>
      </c>
      <c r="F108" s="9" t="s">
        <v>381</v>
      </c>
      <c r="G108" s="9" t="s">
        <v>1</v>
      </c>
      <c r="H108" s="9"/>
      <c r="I108" s="9" t="s">
        <v>49</v>
      </c>
      <c r="J108" s="1063">
        <v>64.8</v>
      </c>
      <c r="K108" s="1063"/>
      <c r="L108" s="1063">
        <v>64.8</v>
      </c>
      <c r="M108" s="1063">
        <v>64.8</v>
      </c>
      <c r="N108" s="1940">
        <v>64.8</v>
      </c>
      <c r="O108" s="1941">
        <v>64.8</v>
      </c>
      <c r="P108" s="1941">
        <v>64.8</v>
      </c>
      <c r="Q108" s="1941">
        <v>64.8</v>
      </c>
      <c r="R108" s="1941">
        <v>64.8</v>
      </c>
      <c r="S108" s="84"/>
      <c r="T108" s="84"/>
      <c r="U108" s="84"/>
      <c r="V108" s="1940">
        <v>64.8</v>
      </c>
      <c r="W108" s="1940">
        <v>64.8</v>
      </c>
      <c r="X108" s="84"/>
      <c r="Z108" s="2141"/>
    </row>
    <row r="109" spans="2:26" s="83" customFormat="1" ht="13.5" hidden="1" thickBot="1" x14ac:dyDescent="0.35">
      <c r="B109" s="49" t="s">
        <v>380</v>
      </c>
      <c r="C109" s="9"/>
      <c r="D109" s="9" t="s">
        <v>52</v>
      </c>
      <c r="E109" s="9" t="s">
        <v>49</v>
      </c>
      <c r="F109" s="34" t="s">
        <v>379</v>
      </c>
      <c r="G109" s="9"/>
      <c r="H109" s="9"/>
      <c r="I109" s="9" t="s">
        <v>49</v>
      </c>
      <c r="J109" s="1065">
        <f>J110</f>
        <v>90</v>
      </c>
      <c r="K109" s="1065"/>
      <c r="L109" s="1065">
        <f t="shared" ref="L109:R109" si="74">L110</f>
        <v>0</v>
      </c>
      <c r="M109" s="1065">
        <f t="shared" si="74"/>
        <v>0</v>
      </c>
      <c r="N109" s="1938">
        <f t="shared" si="74"/>
        <v>90</v>
      </c>
      <c r="O109" s="1939">
        <f t="shared" si="74"/>
        <v>90</v>
      </c>
      <c r="P109" s="1939">
        <f t="shared" si="74"/>
        <v>90</v>
      </c>
      <c r="Q109" s="1939">
        <f t="shared" si="74"/>
        <v>90</v>
      </c>
      <c r="R109" s="1939">
        <f t="shared" si="74"/>
        <v>90</v>
      </c>
      <c r="S109" s="84"/>
      <c r="T109" s="84"/>
      <c r="U109" s="84"/>
      <c r="V109" s="1938">
        <f t="shared" ref="V109:W109" si="75">V110</f>
        <v>90</v>
      </c>
      <c r="W109" s="1938">
        <f t="shared" si="75"/>
        <v>90</v>
      </c>
      <c r="X109" s="84"/>
      <c r="Z109" s="2141"/>
    </row>
    <row r="110" spans="2:26" s="83" customFormat="1" ht="13.5" hidden="1" thickBot="1" x14ac:dyDescent="0.35">
      <c r="B110" s="1935" t="s">
        <v>16</v>
      </c>
      <c r="C110" s="9"/>
      <c r="D110" s="9" t="s">
        <v>52</v>
      </c>
      <c r="E110" s="9" t="s">
        <v>49</v>
      </c>
      <c r="F110" s="9" t="s">
        <v>379</v>
      </c>
      <c r="G110" s="9" t="s">
        <v>1</v>
      </c>
      <c r="H110" s="9"/>
      <c r="I110" s="9" t="s">
        <v>49</v>
      </c>
      <c r="J110" s="1063">
        <v>90</v>
      </c>
      <c r="K110" s="1065"/>
      <c r="L110" s="1065"/>
      <c r="M110" s="1065"/>
      <c r="N110" s="1940">
        <v>90</v>
      </c>
      <c r="O110" s="1941">
        <v>90</v>
      </c>
      <c r="P110" s="1941">
        <v>90</v>
      </c>
      <c r="Q110" s="1941">
        <v>90</v>
      </c>
      <c r="R110" s="1941">
        <v>90</v>
      </c>
      <c r="S110" s="84"/>
      <c r="T110" s="84"/>
      <c r="U110" s="84"/>
      <c r="V110" s="1940">
        <v>90</v>
      </c>
      <c r="W110" s="1940">
        <v>90</v>
      </c>
      <c r="X110" s="84"/>
      <c r="Z110" s="2141"/>
    </row>
    <row r="111" spans="2:26" s="83" customFormat="1" ht="14.5" hidden="1" thickBot="1" x14ac:dyDescent="0.35">
      <c r="B111" s="213" t="s">
        <v>378</v>
      </c>
      <c r="C111" s="202"/>
      <c r="D111" s="202" t="s">
        <v>15</v>
      </c>
      <c r="E111" s="200"/>
      <c r="F111" s="200"/>
      <c r="G111" s="200"/>
      <c r="H111" s="200"/>
      <c r="I111" s="200"/>
      <c r="J111" s="1073">
        <f>J112+J123+J136+J145</f>
        <v>22021.318999999996</v>
      </c>
      <c r="K111" s="1067"/>
      <c r="L111" s="1073">
        <f t="shared" ref="L111:R111" si="76">L112+L123+L136+L145</f>
        <v>27710.55</v>
      </c>
      <c r="M111" s="1073">
        <f t="shared" si="76"/>
        <v>26064.505000000001</v>
      </c>
      <c r="N111" s="1942">
        <f t="shared" si="76"/>
        <v>22021.318999999996</v>
      </c>
      <c r="O111" s="1943">
        <f t="shared" si="76"/>
        <v>22021.318999999996</v>
      </c>
      <c r="P111" s="1943">
        <f t="shared" si="76"/>
        <v>22021.318999999996</v>
      </c>
      <c r="Q111" s="1943">
        <f t="shared" si="76"/>
        <v>22021.318999999996</v>
      </c>
      <c r="R111" s="1943">
        <f t="shared" si="76"/>
        <v>22021.318999999996</v>
      </c>
      <c r="S111" s="84"/>
      <c r="T111" s="84"/>
      <c r="U111" s="84"/>
      <c r="V111" s="1942">
        <f t="shared" ref="V111:W111" si="77">V112+V123+V136+V145</f>
        <v>22021.318999999996</v>
      </c>
      <c r="W111" s="1942">
        <f t="shared" si="77"/>
        <v>22021.318999999996</v>
      </c>
      <c r="X111" s="84"/>
      <c r="Z111" s="2141"/>
    </row>
    <row r="112" spans="2:26" ht="13.5" hidden="1" thickBot="1" x14ac:dyDescent="0.3">
      <c r="B112" s="52" t="s">
        <v>11</v>
      </c>
      <c r="C112" s="34"/>
      <c r="D112" s="34" t="s">
        <v>15</v>
      </c>
      <c r="E112" s="34" t="s">
        <v>9</v>
      </c>
      <c r="F112" s="9"/>
      <c r="G112" s="9"/>
      <c r="H112" s="9"/>
      <c r="I112" s="34" t="s">
        <v>9</v>
      </c>
      <c r="J112" s="1061">
        <f>J113+J118</f>
        <v>9048</v>
      </c>
      <c r="K112" s="1061"/>
      <c r="L112" s="1061">
        <f t="shared" ref="L112:R112" si="78">L113+L118</f>
        <v>10000</v>
      </c>
      <c r="M112" s="1061">
        <f t="shared" si="78"/>
        <v>10000</v>
      </c>
      <c r="N112" s="1940">
        <f t="shared" si="78"/>
        <v>9048</v>
      </c>
      <c r="O112" s="1941">
        <f t="shared" si="78"/>
        <v>9048</v>
      </c>
      <c r="P112" s="1941">
        <f t="shared" si="78"/>
        <v>9048</v>
      </c>
      <c r="Q112" s="1941">
        <f t="shared" si="78"/>
        <v>9048</v>
      </c>
      <c r="R112" s="1941">
        <f t="shared" si="78"/>
        <v>9048</v>
      </c>
      <c r="V112" s="1940">
        <f t="shared" ref="V112:W112" si="79">V113+V118</f>
        <v>9048</v>
      </c>
      <c r="W112" s="1940">
        <f t="shared" si="79"/>
        <v>9048</v>
      </c>
    </row>
    <row r="113" spans="1:256" s="2" customFormat="1" ht="53.5" hidden="1" customHeight="1" x14ac:dyDescent="0.25">
      <c r="A113" s="1"/>
      <c r="B113" s="196" t="s">
        <v>285</v>
      </c>
      <c r="C113" s="34"/>
      <c r="D113" s="94" t="s">
        <v>15</v>
      </c>
      <c r="E113" s="34" t="s">
        <v>9</v>
      </c>
      <c r="F113" s="34" t="s">
        <v>284</v>
      </c>
      <c r="G113" s="131"/>
      <c r="H113" s="131"/>
      <c r="I113" s="34" t="s">
        <v>9</v>
      </c>
      <c r="J113" s="131"/>
      <c r="K113" s="131"/>
      <c r="L113" s="1"/>
      <c r="M113" s="13"/>
      <c r="N113" s="1938"/>
      <c r="O113" s="1944"/>
      <c r="P113" s="1944"/>
      <c r="Q113" s="1945"/>
      <c r="R113" s="1945"/>
      <c r="V113" s="1938"/>
      <c r="W113" s="1938"/>
      <c r="Y113" s="1"/>
      <c r="Z113" s="237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 s="2" customFormat="1" ht="52.5" hidden="1" thickBot="1" x14ac:dyDescent="0.35">
      <c r="A114" s="1"/>
      <c r="B114" s="211" t="s">
        <v>757</v>
      </c>
      <c r="C114" s="9"/>
      <c r="D114" s="88" t="s">
        <v>15</v>
      </c>
      <c r="E114" s="9" t="s">
        <v>9</v>
      </c>
      <c r="F114" s="9" t="s">
        <v>282</v>
      </c>
      <c r="G114" s="9"/>
      <c r="H114" s="9"/>
      <c r="I114" s="9" t="s">
        <v>9</v>
      </c>
      <c r="J114" s="1058"/>
      <c r="K114" s="1058"/>
      <c r="L114" s="1058"/>
      <c r="M114" s="1058"/>
      <c r="N114" s="1933"/>
      <c r="O114" s="1934"/>
      <c r="P114" s="1934"/>
      <c r="Q114" s="1934"/>
      <c r="R114" s="1934"/>
      <c r="V114" s="1933"/>
      <c r="W114" s="1933"/>
      <c r="Y114" s="1"/>
      <c r="Z114" s="237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 s="2" customFormat="1" ht="81.650000000000006" hidden="1" customHeight="1" x14ac:dyDescent="0.3">
      <c r="A115" s="1"/>
      <c r="B115" s="210" t="s">
        <v>758</v>
      </c>
      <c r="C115" s="9"/>
      <c r="D115" s="88" t="s">
        <v>15</v>
      </c>
      <c r="E115" s="9" t="s">
        <v>9</v>
      </c>
      <c r="F115" s="9" t="s">
        <v>280</v>
      </c>
      <c r="G115" s="9"/>
      <c r="H115" s="9"/>
      <c r="I115" s="9" t="s">
        <v>9</v>
      </c>
      <c r="J115" s="1058"/>
      <c r="K115" s="1058"/>
      <c r="L115" s="1058"/>
      <c r="M115" s="1058"/>
      <c r="N115" s="1933"/>
      <c r="O115" s="1934"/>
      <c r="P115" s="1934"/>
      <c r="Q115" s="1934"/>
      <c r="R115" s="1934"/>
      <c r="V115" s="1933"/>
      <c r="W115" s="1933"/>
      <c r="Y115" s="1"/>
      <c r="Z115" s="237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 s="2" customFormat="1" ht="81" hidden="1" customHeight="1" x14ac:dyDescent="0.3">
      <c r="A116" s="1"/>
      <c r="B116" s="211" t="s">
        <v>759</v>
      </c>
      <c r="C116" s="9"/>
      <c r="D116" s="88" t="s">
        <v>15</v>
      </c>
      <c r="E116" s="9" t="s">
        <v>9</v>
      </c>
      <c r="F116" s="9" t="s">
        <v>278</v>
      </c>
      <c r="G116" s="9"/>
      <c r="H116" s="9"/>
      <c r="I116" s="9" t="s">
        <v>9</v>
      </c>
      <c r="J116" s="1065"/>
      <c r="K116" s="1065"/>
      <c r="L116" s="1065"/>
      <c r="M116" s="1065"/>
      <c r="N116" s="1938"/>
      <c r="O116" s="1939"/>
      <c r="P116" s="1939"/>
      <c r="Q116" s="1939"/>
      <c r="R116" s="1939"/>
      <c r="V116" s="1938"/>
      <c r="W116" s="1938"/>
      <c r="Y116" s="1"/>
      <c r="Z116" s="237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 s="2" customFormat="1" ht="52.5" hidden="1" thickBot="1" x14ac:dyDescent="0.35">
      <c r="A117" s="1"/>
      <c r="B117" s="210" t="s">
        <v>760</v>
      </c>
      <c r="C117" s="9"/>
      <c r="D117" s="88" t="s">
        <v>15</v>
      </c>
      <c r="E117" s="9" t="s">
        <v>9</v>
      </c>
      <c r="F117" s="9" t="s">
        <v>276</v>
      </c>
      <c r="G117" s="9"/>
      <c r="H117" s="9"/>
      <c r="I117" s="9" t="s">
        <v>9</v>
      </c>
      <c r="J117" s="1065"/>
      <c r="K117" s="1065"/>
      <c r="L117" s="1065"/>
      <c r="M117" s="1065"/>
      <c r="N117" s="1938"/>
      <c r="O117" s="1939"/>
      <c r="P117" s="1939"/>
      <c r="Q117" s="1939"/>
      <c r="R117" s="1939"/>
      <c r="V117" s="1938"/>
      <c r="W117" s="1938"/>
      <c r="Y117" s="1"/>
      <c r="Z117" s="237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s="2" customFormat="1" ht="39.65" hidden="1" customHeight="1" x14ac:dyDescent="0.25">
      <c r="A118" s="1"/>
      <c r="B118" s="52" t="s">
        <v>25</v>
      </c>
      <c r="C118" s="9"/>
      <c r="D118" s="34" t="s">
        <v>15</v>
      </c>
      <c r="E118" s="34" t="s">
        <v>9</v>
      </c>
      <c r="F118" s="34" t="s">
        <v>24</v>
      </c>
      <c r="G118" s="48"/>
      <c r="H118" s="48"/>
      <c r="I118" s="34" t="s">
        <v>9</v>
      </c>
      <c r="J118" s="47">
        <f>J119+J121</f>
        <v>9048</v>
      </c>
      <c r="K118" s="209"/>
      <c r="L118" s="47">
        <f t="shared" ref="L118:R118" si="80">L119+L121</f>
        <v>10000</v>
      </c>
      <c r="M118" s="47">
        <f t="shared" si="80"/>
        <v>10000</v>
      </c>
      <c r="N118" s="1940">
        <f t="shared" si="80"/>
        <v>9048</v>
      </c>
      <c r="O118" s="1950">
        <f t="shared" si="80"/>
        <v>9048</v>
      </c>
      <c r="P118" s="1950">
        <f t="shared" si="80"/>
        <v>9048</v>
      </c>
      <c r="Q118" s="1951">
        <f t="shared" si="80"/>
        <v>9048</v>
      </c>
      <c r="R118" s="1951">
        <f t="shared" si="80"/>
        <v>9048</v>
      </c>
      <c r="V118" s="1940">
        <f t="shared" ref="V118:W118" si="81">V119+V121</f>
        <v>9048</v>
      </c>
      <c r="W118" s="1940">
        <f t="shared" si="81"/>
        <v>9048</v>
      </c>
      <c r="Y118" s="1"/>
      <c r="Z118" s="237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 s="2" customFormat="1" ht="13.5" hidden="1" thickBot="1" x14ac:dyDescent="0.3">
      <c r="A119" s="1"/>
      <c r="B119" s="58" t="s">
        <v>377</v>
      </c>
      <c r="C119" s="9"/>
      <c r="D119" s="9" t="s">
        <v>15</v>
      </c>
      <c r="E119" s="9" t="s">
        <v>9</v>
      </c>
      <c r="F119" s="9" t="s">
        <v>376</v>
      </c>
      <c r="G119" s="48"/>
      <c r="H119" s="48"/>
      <c r="I119" s="9" t="s">
        <v>9</v>
      </c>
      <c r="J119" s="47">
        <f>J120</f>
        <v>420</v>
      </c>
      <c r="K119" s="209"/>
      <c r="L119" s="47">
        <f t="shared" ref="L119:R119" si="82">L120</f>
        <v>0</v>
      </c>
      <c r="M119" s="47">
        <f t="shared" si="82"/>
        <v>0</v>
      </c>
      <c r="N119" s="1940">
        <f t="shared" si="82"/>
        <v>420</v>
      </c>
      <c r="O119" s="1950">
        <f t="shared" si="82"/>
        <v>420</v>
      </c>
      <c r="P119" s="1950">
        <f t="shared" si="82"/>
        <v>420</v>
      </c>
      <c r="Q119" s="1951">
        <f t="shared" si="82"/>
        <v>420</v>
      </c>
      <c r="R119" s="1951">
        <f t="shared" si="82"/>
        <v>420</v>
      </c>
      <c r="V119" s="1940">
        <f t="shared" ref="V119:W119" si="83">V120</f>
        <v>420</v>
      </c>
      <c r="W119" s="1940">
        <f t="shared" si="83"/>
        <v>420</v>
      </c>
      <c r="Y119" s="1"/>
      <c r="Z119" s="237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 s="2" customFormat="1" ht="13.5" hidden="1" thickBot="1" x14ac:dyDescent="0.35">
      <c r="A120" s="1"/>
      <c r="B120" s="1935" t="s">
        <v>16</v>
      </c>
      <c r="C120" s="9"/>
      <c r="D120" s="9" t="s">
        <v>15</v>
      </c>
      <c r="E120" s="9" t="s">
        <v>9</v>
      </c>
      <c r="F120" s="9" t="s">
        <v>376</v>
      </c>
      <c r="G120" s="9" t="s">
        <v>1</v>
      </c>
      <c r="H120" s="9"/>
      <c r="I120" s="9" t="s">
        <v>9</v>
      </c>
      <c r="J120" s="57">
        <v>420</v>
      </c>
      <c r="K120" s="61"/>
      <c r="L120" s="60"/>
      <c r="M120" s="59"/>
      <c r="N120" s="1952">
        <v>420</v>
      </c>
      <c r="O120" s="1953">
        <v>420</v>
      </c>
      <c r="P120" s="1953">
        <v>420</v>
      </c>
      <c r="Q120" s="1953">
        <v>420</v>
      </c>
      <c r="R120" s="1953">
        <v>420</v>
      </c>
      <c r="V120" s="1952">
        <v>420</v>
      </c>
      <c r="W120" s="1952">
        <v>420</v>
      </c>
      <c r="Y120" s="1"/>
      <c r="Z120" s="237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 s="2" customFormat="1" ht="18.75" hidden="1" customHeight="1" x14ac:dyDescent="0.25">
      <c r="A121" s="1"/>
      <c r="B121" s="58" t="s">
        <v>375</v>
      </c>
      <c r="C121" s="9"/>
      <c r="D121" s="9" t="s">
        <v>15</v>
      </c>
      <c r="E121" s="9" t="s">
        <v>9</v>
      </c>
      <c r="F121" s="9" t="s">
        <v>373</v>
      </c>
      <c r="G121" s="48"/>
      <c r="H121" s="48"/>
      <c r="I121" s="9" t="s">
        <v>9</v>
      </c>
      <c r="J121" s="57">
        <f>J122</f>
        <v>8628</v>
      </c>
      <c r="K121" s="47"/>
      <c r="L121" s="57">
        <f t="shared" ref="L121:R121" si="84">L122</f>
        <v>10000</v>
      </c>
      <c r="M121" s="57">
        <f t="shared" si="84"/>
        <v>10000</v>
      </c>
      <c r="N121" s="1952">
        <f t="shared" si="84"/>
        <v>8628</v>
      </c>
      <c r="O121" s="1953">
        <f t="shared" si="84"/>
        <v>8628</v>
      </c>
      <c r="P121" s="1953">
        <f t="shared" si="84"/>
        <v>8628</v>
      </c>
      <c r="Q121" s="1953">
        <f t="shared" si="84"/>
        <v>8628</v>
      </c>
      <c r="R121" s="1953">
        <f t="shared" si="84"/>
        <v>8628</v>
      </c>
      <c r="V121" s="1952">
        <f t="shared" ref="V121:W121" si="85">V122</f>
        <v>8628</v>
      </c>
      <c r="W121" s="1952">
        <f t="shared" si="85"/>
        <v>8628</v>
      </c>
      <c r="Y121" s="1"/>
      <c r="Z121" s="237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 s="2" customFormat="1" ht="25.9" hidden="1" customHeight="1" x14ac:dyDescent="0.3">
      <c r="A122" s="1"/>
      <c r="B122" s="1954" t="s">
        <v>374</v>
      </c>
      <c r="C122" s="9"/>
      <c r="D122" s="9" t="s">
        <v>15</v>
      </c>
      <c r="E122" s="9" t="s">
        <v>9</v>
      </c>
      <c r="F122" s="9" t="s">
        <v>373</v>
      </c>
      <c r="G122" s="9" t="s">
        <v>372</v>
      </c>
      <c r="H122" s="9"/>
      <c r="I122" s="9" t="s">
        <v>9</v>
      </c>
      <c r="J122" s="1074">
        <v>8628</v>
      </c>
      <c r="K122" s="207"/>
      <c r="L122" s="54">
        <v>10000</v>
      </c>
      <c r="M122" s="206">
        <v>10000</v>
      </c>
      <c r="N122" s="1955">
        <v>8628</v>
      </c>
      <c r="O122" s="1956">
        <v>8628</v>
      </c>
      <c r="P122" s="1956">
        <v>8628</v>
      </c>
      <c r="Q122" s="1956">
        <v>8628</v>
      </c>
      <c r="R122" s="1956">
        <v>8628</v>
      </c>
      <c r="V122" s="1955">
        <v>8628</v>
      </c>
      <c r="W122" s="1955">
        <v>8628</v>
      </c>
      <c r="Y122" s="1"/>
      <c r="Z122" s="237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s="2" customFormat="1" ht="13.5" hidden="1" thickBot="1" x14ac:dyDescent="0.3">
      <c r="A123" s="1"/>
      <c r="B123" s="52" t="s">
        <v>39</v>
      </c>
      <c r="C123" s="34"/>
      <c r="D123" s="34" t="s">
        <v>15</v>
      </c>
      <c r="E123" s="34" t="s">
        <v>13</v>
      </c>
      <c r="F123" s="9"/>
      <c r="G123" s="9"/>
      <c r="H123" s="9"/>
      <c r="I123" s="34" t="s">
        <v>13</v>
      </c>
      <c r="J123" s="1064">
        <f>J124+J131</f>
        <v>1214.55</v>
      </c>
      <c r="K123" s="1065"/>
      <c r="L123" s="1075">
        <f t="shared" ref="L123:R123" si="86">L124+L131</f>
        <v>4085</v>
      </c>
      <c r="M123" s="1065">
        <f t="shared" si="86"/>
        <v>85</v>
      </c>
      <c r="N123" s="1938">
        <f t="shared" si="86"/>
        <v>1214.55</v>
      </c>
      <c r="O123" s="1939">
        <f t="shared" si="86"/>
        <v>1214.55</v>
      </c>
      <c r="P123" s="1939">
        <f t="shared" si="86"/>
        <v>1214.55</v>
      </c>
      <c r="Q123" s="1939">
        <f t="shared" si="86"/>
        <v>1214.55</v>
      </c>
      <c r="R123" s="1939">
        <f t="shared" si="86"/>
        <v>1214.55</v>
      </c>
      <c r="V123" s="1938">
        <f t="shared" ref="V123:W123" si="87">V124+V131</f>
        <v>1214.55</v>
      </c>
      <c r="W123" s="1938">
        <f t="shared" si="87"/>
        <v>1214.55</v>
      </c>
      <c r="Y123" s="1"/>
      <c r="Z123" s="237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 s="2" customFormat="1" ht="58.15" hidden="1" customHeight="1" x14ac:dyDescent="0.25">
      <c r="A124" s="1"/>
      <c r="B124" s="132" t="s">
        <v>371</v>
      </c>
      <c r="C124" s="34"/>
      <c r="D124" s="94" t="s">
        <v>15</v>
      </c>
      <c r="E124" s="34" t="s">
        <v>13</v>
      </c>
      <c r="F124" s="34" t="s">
        <v>370</v>
      </c>
      <c r="G124" s="131"/>
      <c r="H124" s="131"/>
      <c r="I124" s="34" t="s">
        <v>13</v>
      </c>
      <c r="J124" s="205">
        <f>J125</f>
        <v>1129.55</v>
      </c>
      <c r="K124" s="51"/>
      <c r="L124" s="205">
        <f t="shared" ref="L124:R125" si="88">L125</f>
        <v>4000</v>
      </c>
      <c r="M124" s="205">
        <f t="shared" si="88"/>
        <v>0</v>
      </c>
      <c r="N124" s="1957">
        <f t="shared" si="88"/>
        <v>1129.55</v>
      </c>
      <c r="O124" s="1958">
        <f t="shared" si="88"/>
        <v>1129.55</v>
      </c>
      <c r="P124" s="1958">
        <f t="shared" si="88"/>
        <v>1129.55</v>
      </c>
      <c r="Q124" s="1959">
        <f t="shared" si="88"/>
        <v>1129.55</v>
      </c>
      <c r="R124" s="1959">
        <f t="shared" si="88"/>
        <v>1129.55</v>
      </c>
      <c r="V124" s="1957">
        <f t="shared" ref="V124:W125" si="89">V125</f>
        <v>1129.55</v>
      </c>
      <c r="W124" s="1957">
        <f t="shared" si="89"/>
        <v>1129.55</v>
      </c>
      <c r="Y124" s="1"/>
      <c r="Z124" s="237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 s="2" customFormat="1" ht="78.5" hidden="1" thickBot="1" x14ac:dyDescent="0.3">
      <c r="A125" s="1"/>
      <c r="B125" s="58" t="s">
        <v>761</v>
      </c>
      <c r="C125" s="9"/>
      <c r="D125" s="88" t="s">
        <v>15</v>
      </c>
      <c r="E125" s="9" t="s">
        <v>13</v>
      </c>
      <c r="F125" s="9" t="s">
        <v>367</v>
      </c>
      <c r="G125" s="9"/>
      <c r="H125" s="9"/>
      <c r="I125" s="9" t="s">
        <v>13</v>
      </c>
      <c r="J125" s="1075">
        <f>J126</f>
        <v>1129.55</v>
      </c>
      <c r="K125" s="1075"/>
      <c r="L125" s="1075">
        <f t="shared" si="88"/>
        <v>4000</v>
      </c>
      <c r="M125" s="1065">
        <f t="shared" si="88"/>
        <v>0</v>
      </c>
      <c r="N125" s="1938">
        <f t="shared" si="88"/>
        <v>1129.55</v>
      </c>
      <c r="O125" s="1939">
        <f t="shared" si="88"/>
        <v>1129.55</v>
      </c>
      <c r="P125" s="1939">
        <f t="shared" si="88"/>
        <v>1129.55</v>
      </c>
      <c r="Q125" s="1939">
        <f t="shared" si="88"/>
        <v>1129.55</v>
      </c>
      <c r="R125" s="1939">
        <f t="shared" si="88"/>
        <v>1129.55</v>
      </c>
      <c r="V125" s="1938">
        <f t="shared" si="89"/>
        <v>1129.55</v>
      </c>
      <c r="W125" s="1938">
        <f t="shared" si="89"/>
        <v>1129.55</v>
      </c>
      <c r="Y125" s="1"/>
      <c r="Z125" s="237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 s="2" customFormat="1" ht="26.5" hidden="1" thickBot="1" x14ac:dyDescent="0.3">
      <c r="A126" s="1"/>
      <c r="B126" s="58" t="s">
        <v>368</v>
      </c>
      <c r="C126" s="9"/>
      <c r="D126" s="88" t="s">
        <v>15</v>
      </c>
      <c r="E126" s="9" t="s">
        <v>13</v>
      </c>
      <c r="F126" s="9" t="s">
        <v>367</v>
      </c>
      <c r="G126" s="9" t="s">
        <v>366</v>
      </c>
      <c r="H126" s="9"/>
      <c r="I126" s="9" t="s">
        <v>13</v>
      </c>
      <c r="J126" s="1066">
        <v>1129.55</v>
      </c>
      <c r="K126" s="1075"/>
      <c r="L126" s="1066">
        <v>4000</v>
      </c>
      <c r="M126" s="1065"/>
      <c r="N126" s="1940">
        <v>1129.55</v>
      </c>
      <c r="O126" s="1941">
        <v>1129.55</v>
      </c>
      <c r="P126" s="1941">
        <v>1129.55</v>
      </c>
      <c r="Q126" s="1941">
        <v>1129.55</v>
      </c>
      <c r="R126" s="1941">
        <v>1129.55</v>
      </c>
      <c r="V126" s="1940">
        <v>1129.55</v>
      </c>
      <c r="W126" s="1940">
        <v>1129.55</v>
      </c>
      <c r="Y126" s="1"/>
      <c r="Z126" s="237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 s="2" customFormat="1" ht="52.5" hidden="1" thickBot="1" x14ac:dyDescent="0.3">
      <c r="A127" s="1"/>
      <c r="B127" s="58" t="s">
        <v>192</v>
      </c>
      <c r="C127" s="9"/>
      <c r="D127" s="88" t="s">
        <v>15</v>
      </c>
      <c r="E127" s="9" t="s">
        <v>13</v>
      </c>
      <c r="F127" s="9" t="s">
        <v>365</v>
      </c>
      <c r="G127" s="9"/>
      <c r="H127" s="9"/>
      <c r="I127" s="9" t="s">
        <v>13</v>
      </c>
      <c r="J127" s="1065"/>
      <c r="K127" s="1065"/>
      <c r="L127" s="1065"/>
      <c r="M127" s="1065"/>
      <c r="N127" s="1938"/>
      <c r="O127" s="1939"/>
      <c r="P127" s="1939"/>
      <c r="Q127" s="1939"/>
      <c r="R127" s="1939"/>
      <c r="V127" s="1938"/>
      <c r="W127" s="1938"/>
      <c r="Y127" s="1"/>
      <c r="Z127" s="237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 s="2" customFormat="1" ht="42.75" hidden="1" customHeight="1" x14ac:dyDescent="0.25">
      <c r="A128" s="1"/>
      <c r="B128" s="132" t="s">
        <v>165</v>
      </c>
      <c r="C128" s="34"/>
      <c r="D128" s="94" t="s">
        <v>15</v>
      </c>
      <c r="E128" s="34" t="s">
        <v>13</v>
      </c>
      <c r="F128" s="34" t="s">
        <v>164</v>
      </c>
      <c r="G128" s="131"/>
      <c r="H128" s="131"/>
      <c r="I128" s="34" t="s">
        <v>13</v>
      </c>
      <c r="J128" s="131"/>
      <c r="K128" s="130"/>
      <c r="L128" s="1"/>
      <c r="M128" s="13"/>
      <c r="N128" s="1938"/>
      <c r="O128" s="1944"/>
      <c r="P128" s="1944"/>
      <c r="Q128" s="1945"/>
      <c r="R128" s="1945"/>
      <c r="V128" s="1938"/>
      <c r="W128" s="1938"/>
      <c r="Y128" s="1"/>
      <c r="Z128" s="237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 s="2" customFormat="1" ht="72.75" hidden="1" customHeight="1" x14ac:dyDescent="0.25">
      <c r="A129" s="1"/>
      <c r="B129" s="49" t="s">
        <v>163</v>
      </c>
      <c r="C129" s="9"/>
      <c r="D129" s="88" t="s">
        <v>15</v>
      </c>
      <c r="E129" s="9" t="s">
        <v>13</v>
      </c>
      <c r="F129" s="9" t="s">
        <v>162</v>
      </c>
      <c r="G129" s="9"/>
      <c r="H129" s="9"/>
      <c r="I129" s="9" t="s">
        <v>13</v>
      </c>
      <c r="J129" s="1065"/>
      <c r="K129" s="1065"/>
      <c r="L129" s="1065"/>
      <c r="M129" s="1065"/>
      <c r="N129" s="1938"/>
      <c r="O129" s="1939"/>
      <c r="P129" s="1939"/>
      <c r="Q129" s="1939"/>
      <c r="R129" s="1939"/>
      <c r="V129" s="1938"/>
      <c r="W129" s="1938"/>
      <c r="Y129" s="1"/>
      <c r="Z129" s="237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 s="2" customFormat="1" ht="57" hidden="1" customHeight="1" x14ac:dyDescent="0.25">
      <c r="A130" s="1"/>
      <c r="B130" s="58" t="s">
        <v>161</v>
      </c>
      <c r="C130" s="34"/>
      <c r="D130" s="88" t="s">
        <v>15</v>
      </c>
      <c r="E130" s="9" t="s">
        <v>13</v>
      </c>
      <c r="F130" s="9" t="s">
        <v>160</v>
      </c>
      <c r="G130" s="9"/>
      <c r="H130" s="9"/>
      <c r="I130" s="9" t="s">
        <v>13</v>
      </c>
      <c r="J130" s="1065"/>
      <c r="K130" s="1065"/>
      <c r="L130" s="1065"/>
      <c r="M130" s="1065"/>
      <c r="N130" s="1938"/>
      <c r="O130" s="1939"/>
      <c r="P130" s="1939"/>
      <c r="Q130" s="1939"/>
      <c r="R130" s="1939"/>
      <c r="V130" s="1938"/>
      <c r="W130" s="1938"/>
      <c r="Y130" s="1"/>
      <c r="Z130" s="237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s="2" customFormat="1" ht="39.65" hidden="1" customHeight="1" x14ac:dyDescent="0.25">
      <c r="A131" s="1"/>
      <c r="B131" s="52" t="s">
        <v>25</v>
      </c>
      <c r="C131" s="9"/>
      <c r="D131" s="34" t="s">
        <v>15</v>
      </c>
      <c r="E131" s="34" t="s">
        <v>13</v>
      </c>
      <c r="F131" s="34" t="s">
        <v>24</v>
      </c>
      <c r="G131" s="48"/>
      <c r="H131" s="48"/>
      <c r="I131" s="34" t="s">
        <v>13</v>
      </c>
      <c r="J131" s="51">
        <f>J132</f>
        <v>85</v>
      </c>
      <c r="K131" s="51"/>
      <c r="L131" s="51">
        <f t="shared" ref="L131:R131" si="90">L132</f>
        <v>85</v>
      </c>
      <c r="M131" s="51">
        <f t="shared" si="90"/>
        <v>85</v>
      </c>
      <c r="N131" s="1938">
        <f t="shared" si="90"/>
        <v>85</v>
      </c>
      <c r="O131" s="1944">
        <f t="shared" si="90"/>
        <v>85</v>
      </c>
      <c r="P131" s="1944">
        <f t="shared" si="90"/>
        <v>85</v>
      </c>
      <c r="Q131" s="1945">
        <f t="shared" si="90"/>
        <v>85</v>
      </c>
      <c r="R131" s="1945">
        <f t="shared" si="90"/>
        <v>85</v>
      </c>
      <c r="V131" s="1938">
        <f t="shared" ref="V131:W131" si="91">V132</f>
        <v>85</v>
      </c>
      <c r="W131" s="1938">
        <f t="shared" si="91"/>
        <v>85</v>
      </c>
      <c r="Y131" s="1"/>
      <c r="Z131" s="237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 s="2" customFormat="1" ht="43.5" hidden="1" customHeight="1" x14ac:dyDescent="0.25">
      <c r="A132" s="1"/>
      <c r="B132" s="49" t="s">
        <v>23</v>
      </c>
      <c r="C132" s="9"/>
      <c r="D132" s="9" t="s">
        <v>15</v>
      </c>
      <c r="E132" s="9" t="s">
        <v>13</v>
      </c>
      <c r="F132" s="9" t="s">
        <v>14</v>
      </c>
      <c r="G132" s="48"/>
      <c r="H132" s="48"/>
      <c r="I132" s="9" t="s">
        <v>13</v>
      </c>
      <c r="J132" s="47">
        <f>J135</f>
        <v>85</v>
      </c>
      <c r="K132" s="47"/>
      <c r="L132" s="47">
        <f t="shared" ref="L132:R132" si="92">L135</f>
        <v>85</v>
      </c>
      <c r="M132" s="47">
        <f t="shared" si="92"/>
        <v>85</v>
      </c>
      <c r="N132" s="1940">
        <f t="shared" si="92"/>
        <v>85</v>
      </c>
      <c r="O132" s="1950">
        <f t="shared" si="92"/>
        <v>85</v>
      </c>
      <c r="P132" s="1950">
        <f t="shared" si="92"/>
        <v>85</v>
      </c>
      <c r="Q132" s="1951">
        <f t="shared" si="92"/>
        <v>85</v>
      </c>
      <c r="R132" s="1951">
        <f t="shared" si="92"/>
        <v>85</v>
      </c>
      <c r="V132" s="1940">
        <f t="shared" ref="V132:W132" si="93">V135</f>
        <v>85</v>
      </c>
      <c r="W132" s="1940">
        <f t="shared" si="93"/>
        <v>85</v>
      </c>
      <c r="Y132" s="1"/>
      <c r="Z132" s="237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 s="2" customFormat="1" ht="60.75" hidden="1" customHeight="1" x14ac:dyDescent="0.25">
      <c r="A133" s="1"/>
      <c r="B133" s="42" t="s">
        <v>22</v>
      </c>
      <c r="C133" s="31"/>
      <c r="D133" s="31" t="s">
        <v>15</v>
      </c>
      <c r="E133" s="31" t="s">
        <v>13</v>
      </c>
      <c r="F133" s="31" t="s">
        <v>21</v>
      </c>
      <c r="G133" s="3379" t="s">
        <v>20</v>
      </c>
      <c r="H133" s="3380"/>
      <c r="I133" s="3380"/>
      <c r="J133" s="3381"/>
      <c r="K133" s="41"/>
      <c r="L133" s="1"/>
      <c r="M133" s="1"/>
      <c r="N133" s="1905"/>
      <c r="O133" s="1921"/>
      <c r="P133" s="1921"/>
      <c r="Q133" s="1922"/>
      <c r="R133" s="1922"/>
      <c r="V133" s="1905"/>
      <c r="W133" s="1905"/>
      <c r="Y133" s="1"/>
      <c r="Z133" s="237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 s="2" customFormat="1" ht="48" hidden="1" customHeight="1" x14ac:dyDescent="0.25">
      <c r="A134" s="1"/>
      <c r="B134" s="42" t="s">
        <v>19</v>
      </c>
      <c r="C134" s="31"/>
      <c r="D134" s="31" t="s">
        <v>15</v>
      </c>
      <c r="E134" s="31" t="s">
        <v>13</v>
      </c>
      <c r="F134" s="31" t="s">
        <v>18</v>
      </c>
      <c r="G134" s="3373" t="s">
        <v>17</v>
      </c>
      <c r="H134" s="3374"/>
      <c r="I134" s="3374"/>
      <c r="J134" s="3375"/>
      <c r="K134" s="41"/>
      <c r="L134" s="1"/>
      <c r="M134" s="1"/>
      <c r="N134" s="1905"/>
      <c r="O134" s="1921"/>
      <c r="P134" s="1921"/>
      <c r="Q134" s="1922"/>
      <c r="R134" s="1922"/>
      <c r="V134" s="1905"/>
      <c r="W134" s="1905"/>
      <c r="Y134" s="1"/>
      <c r="Z134" s="237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 s="2" customFormat="1" ht="16.899999999999999" hidden="1" customHeight="1" x14ac:dyDescent="0.3">
      <c r="A135" s="1"/>
      <c r="B135" s="1935" t="s">
        <v>16</v>
      </c>
      <c r="C135" s="31"/>
      <c r="D135" s="9" t="s">
        <v>15</v>
      </c>
      <c r="E135" s="9" t="s">
        <v>13</v>
      </c>
      <c r="F135" s="9" t="s">
        <v>14</v>
      </c>
      <c r="G135" s="33" t="s">
        <v>1</v>
      </c>
      <c r="H135" s="33"/>
      <c r="I135" s="9" t="s">
        <v>13</v>
      </c>
      <c r="J135" s="28">
        <v>85</v>
      </c>
      <c r="K135" s="30"/>
      <c r="L135" s="29">
        <v>85</v>
      </c>
      <c r="M135" s="28">
        <v>85</v>
      </c>
      <c r="N135" s="1960">
        <v>85</v>
      </c>
      <c r="O135" s="1961">
        <v>85</v>
      </c>
      <c r="P135" s="1961">
        <v>85</v>
      </c>
      <c r="Q135" s="1961">
        <v>85</v>
      </c>
      <c r="R135" s="1961">
        <v>85</v>
      </c>
      <c r="V135" s="1960">
        <v>85</v>
      </c>
      <c r="W135" s="1960">
        <v>85</v>
      </c>
      <c r="Y135" s="1"/>
      <c r="Z135" s="237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 s="2" customFormat="1" ht="20.25" hidden="1" customHeight="1" x14ac:dyDescent="0.25">
      <c r="A136" s="1"/>
      <c r="B136" s="52" t="s">
        <v>34</v>
      </c>
      <c r="C136" s="9"/>
      <c r="D136" s="34" t="s">
        <v>15</v>
      </c>
      <c r="E136" s="34" t="s">
        <v>32</v>
      </c>
      <c r="F136" s="9"/>
      <c r="G136" s="9"/>
      <c r="H136" s="9"/>
      <c r="I136" s="34" t="s">
        <v>32</v>
      </c>
      <c r="J136" s="1076">
        <f>J137+J140</f>
        <v>11758.768999999998</v>
      </c>
      <c r="K136" s="1065"/>
      <c r="L136" s="1076">
        <f t="shared" ref="L136:R136" si="94">L137+L140</f>
        <v>13625.55</v>
      </c>
      <c r="M136" s="1076">
        <f t="shared" si="94"/>
        <v>15979.505000000001</v>
      </c>
      <c r="N136" s="1938">
        <f t="shared" si="94"/>
        <v>11758.768999999998</v>
      </c>
      <c r="O136" s="1962">
        <f t="shared" si="94"/>
        <v>11758.768999999998</v>
      </c>
      <c r="P136" s="1962">
        <f t="shared" si="94"/>
        <v>11758.768999999998</v>
      </c>
      <c r="Q136" s="1939">
        <f t="shared" si="94"/>
        <v>11758.768999999998</v>
      </c>
      <c r="R136" s="1939">
        <f t="shared" si="94"/>
        <v>11758.768999999998</v>
      </c>
      <c r="V136" s="1938">
        <f t="shared" ref="V136:W136" si="95">V137+V140</f>
        <v>11758.768999999998</v>
      </c>
      <c r="W136" s="1938">
        <f t="shared" si="95"/>
        <v>11758.768999999998</v>
      </c>
      <c r="Y136" s="1"/>
      <c r="Z136" s="237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 s="2" customFormat="1" ht="55.15" hidden="1" customHeight="1" x14ac:dyDescent="0.25">
      <c r="A137" s="1"/>
      <c r="B137" s="134" t="s">
        <v>364</v>
      </c>
      <c r="C137" s="34"/>
      <c r="D137" s="94" t="s">
        <v>15</v>
      </c>
      <c r="E137" s="34" t="s">
        <v>32</v>
      </c>
      <c r="F137" s="34" t="s">
        <v>363</v>
      </c>
      <c r="G137" s="131"/>
      <c r="H137" s="131"/>
      <c r="I137" s="34" t="s">
        <v>32</v>
      </c>
      <c r="J137" s="51">
        <f>J138</f>
        <v>2275.0059999999999</v>
      </c>
      <c r="K137" s="51"/>
      <c r="L137" s="51">
        <f t="shared" ref="L137:R138" si="96">L138</f>
        <v>6008.35</v>
      </c>
      <c r="M137" s="51">
        <f t="shared" si="96"/>
        <v>8515.7049999999999</v>
      </c>
      <c r="N137" s="1938">
        <f t="shared" si="96"/>
        <v>2275.0059999999999</v>
      </c>
      <c r="O137" s="1944">
        <f t="shared" si="96"/>
        <v>2275.0059999999999</v>
      </c>
      <c r="P137" s="1944">
        <f t="shared" si="96"/>
        <v>2275.0059999999999</v>
      </c>
      <c r="Q137" s="1945">
        <f t="shared" si="96"/>
        <v>2275.0059999999999</v>
      </c>
      <c r="R137" s="1945">
        <f t="shared" si="96"/>
        <v>2275.0059999999999</v>
      </c>
      <c r="V137" s="1938">
        <f t="shared" ref="V137:W138" si="97">V138</f>
        <v>2275.0059999999999</v>
      </c>
      <c r="W137" s="1938">
        <f t="shared" si="97"/>
        <v>2275.0059999999999</v>
      </c>
      <c r="Y137" s="1"/>
      <c r="Z137" s="237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 s="2" customFormat="1" ht="70.150000000000006" hidden="1" customHeight="1" x14ac:dyDescent="0.25">
      <c r="A138" s="1"/>
      <c r="B138" s="58" t="s">
        <v>762</v>
      </c>
      <c r="C138" s="9"/>
      <c r="D138" s="88" t="s">
        <v>15</v>
      </c>
      <c r="E138" s="9" t="s">
        <v>32</v>
      </c>
      <c r="F138" s="9" t="s">
        <v>361</v>
      </c>
      <c r="G138" s="9"/>
      <c r="H138" s="9"/>
      <c r="I138" s="9" t="s">
        <v>32</v>
      </c>
      <c r="J138" s="1064">
        <f>J139</f>
        <v>2275.0059999999999</v>
      </c>
      <c r="K138" s="1065"/>
      <c r="L138" s="1064">
        <f t="shared" si="96"/>
        <v>6008.35</v>
      </c>
      <c r="M138" s="1064">
        <f t="shared" si="96"/>
        <v>8515.7049999999999</v>
      </c>
      <c r="N138" s="1938">
        <f t="shared" si="96"/>
        <v>2275.0059999999999</v>
      </c>
      <c r="O138" s="1939">
        <f t="shared" si="96"/>
        <v>2275.0059999999999</v>
      </c>
      <c r="P138" s="1939">
        <f t="shared" si="96"/>
        <v>2275.0059999999999</v>
      </c>
      <c r="Q138" s="1939">
        <f t="shared" si="96"/>
        <v>2275.0059999999999</v>
      </c>
      <c r="R138" s="1939">
        <f t="shared" si="96"/>
        <v>2275.0059999999999</v>
      </c>
      <c r="V138" s="1938">
        <f t="shared" si="97"/>
        <v>2275.0059999999999</v>
      </c>
      <c r="W138" s="1938">
        <f t="shared" si="97"/>
        <v>2275.0059999999999</v>
      </c>
      <c r="Y138" s="1"/>
      <c r="Z138" s="237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 s="2" customFormat="1" ht="12.65" hidden="1" customHeight="1" x14ac:dyDescent="0.3">
      <c r="A139" s="1"/>
      <c r="B139" s="1935" t="s">
        <v>16</v>
      </c>
      <c r="C139" s="9"/>
      <c r="D139" s="88" t="s">
        <v>15</v>
      </c>
      <c r="E139" s="9" t="s">
        <v>32</v>
      </c>
      <c r="F139" s="9" t="s">
        <v>361</v>
      </c>
      <c r="G139" s="9" t="s">
        <v>1</v>
      </c>
      <c r="H139" s="9"/>
      <c r="I139" s="9" t="s">
        <v>32</v>
      </c>
      <c r="J139" s="1064">
        <v>2275.0059999999999</v>
      </c>
      <c r="K139" s="1065"/>
      <c r="L139" s="1064">
        <v>6008.35</v>
      </c>
      <c r="M139" s="1064">
        <v>8515.7049999999999</v>
      </c>
      <c r="N139" s="1938">
        <v>2275.0059999999999</v>
      </c>
      <c r="O139" s="1939">
        <v>2275.0059999999999</v>
      </c>
      <c r="P139" s="1939">
        <v>2275.0059999999999</v>
      </c>
      <c r="Q139" s="1939">
        <v>2275.0059999999999</v>
      </c>
      <c r="R139" s="1939">
        <v>2275.0059999999999</v>
      </c>
      <c r="V139" s="1938">
        <v>2275.0059999999999</v>
      </c>
      <c r="W139" s="1938">
        <v>2275.0059999999999</v>
      </c>
      <c r="Y139" s="1"/>
      <c r="Z139" s="237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 s="2" customFormat="1" ht="56.5" hidden="1" customHeight="1" x14ac:dyDescent="0.25">
      <c r="A140" s="1"/>
      <c r="B140" s="132" t="s">
        <v>360</v>
      </c>
      <c r="C140" s="9"/>
      <c r="D140" s="34" t="s">
        <v>15</v>
      </c>
      <c r="E140" s="34" t="s">
        <v>32</v>
      </c>
      <c r="F140" s="34" t="s">
        <v>359</v>
      </c>
      <c r="G140" s="131"/>
      <c r="H140" s="131"/>
      <c r="I140" s="34" t="s">
        <v>32</v>
      </c>
      <c r="J140" s="51">
        <f>J141+J143</f>
        <v>9483.762999999999</v>
      </c>
      <c r="K140" s="131"/>
      <c r="L140" s="51">
        <f t="shared" ref="L140:R140" si="98">L141+L143</f>
        <v>7617.2</v>
      </c>
      <c r="M140" s="1076">
        <f t="shared" si="98"/>
        <v>7463.8</v>
      </c>
      <c r="N140" s="1938">
        <f t="shared" si="98"/>
        <v>9483.762999999999</v>
      </c>
      <c r="O140" s="1944">
        <f t="shared" si="98"/>
        <v>9483.762999999999</v>
      </c>
      <c r="P140" s="1944">
        <f t="shared" si="98"/>
        <v>9483.762999999999</v>
      </c>
      <c r="Q140" s="1945">
        <f t="shared" si="98"/>
        <v>9483.762999999999</v>
      </c>
      <c r="R140" s="1945">
        <f t="shared" si="98"/>
        <v>9483.762999999999</v>
      </c>
      <c r="V140" s="1938">
        <f t="shared" ref="V140:W140" si="99">V141+V143</f>
        <v>9483.762999999999</v>
      </c>
      <c r="W140" s="1938">
        <f t="shared" si="99"/>
        <v>9483.762999999999</v>
      </c>
      <c r="Y140" s="1"/>
      <c r="Z140" s="237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 s="2" customFormat="1" ht="78.5" hidden="1" thickBot="1" x14ac:dyDescent="0.3">
      <c r="A141" s="1"/>
      <c r="B141" s="49" t="s">
        <v>763</v>
      </c>
      <c r="C141" s="9"/>
      <c r="D141" s="34" t="s">
        <v>15</v>
      </c>
      <c r="E141" s="34" t="s">
        <v>32</v>
      </c>
      <c r="F141" s="9" t="s">
        <v>357</v>
      </c>
      <c r="G141" s="9"/>
      <c r="H141" s="9"/>
      <c r="I141" s="34" t="s">
        <v>32</v>
      </c>
      <c r="J141" s="1064">
        <f>J142</f>
        <v>5353.7750000000005</v>
      </c>
      <c r="K141" s="1065"/>
      <c r="L141" s="1065">
        <f t="shared" ref="L141:R141" si="100">L142</f>
        <v>5406.2</v>
      </c>
      <c r="M141" s="1065">
        <f t="shared" si="100"/>
        <v>5230.3</v>
      </c>
      <c r="N141" s="1938">
        <f t="shared" si="100"/>
        <v>5353.7750000000005</v>
      </c>
      <c r="O141" s="1939">
        <f t="shared" si="100"/>
        <v>5353.7750000000005</v>
      </c>
      <c r="P141" s="1939">
        <f t="shared" si="100"/>
        <v>5353.7750000000005</v>
      </c>
      <c r="Q141" s="1939">
        <f t="shared" si="100"/>
        <v>5353.7750000000005</v>
      </c>
      <c r="R141" s="1939">
        <f t="shared" si="100"/>
        <v>5353.7750000000005</v>
      </c>
      <c r="V141" s="1938">
        <f t="shared" ref="V141:W141" si="101">V142</f>
        <v>5353.7750000000005</v>
      </c>
      <c r="W141" s="1938">
        <f t="shared" si="101"/>
        <v>5353.7750000000005</v>
      </c>
      <c r="Y141" s="1"/>
      <c r="Z141" s="237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 s="2" customFormat="1" ht="13.5" hidden="1" thickBot="1" x14ac:dyDescent="0.35">
      <c r="A142" s="1"/>
      <c r="B142" s="1935" t="s">
        <v>16</v>
      </c>
      <c r="C142" s="9"/>
      <c r="D142" s="9" t="s">
        <v>15</v>
      </c>
      <c r="E142" s="9" t="s">
        <v>32</v>
      </c>
      <c r="F142" s="9" t="s">
        <v>357</v>
      </c>
      <c r="G142" s="9" t="s">
        <v>1</v>
      </c>
      <c r="H142" s="9"/>
      <c r="I142" s="9" t="s">
        <v>32</v>
      </c>
      <c r="J142" s="1061">
        <f>5356.1-4835.3+2500.3+2332.675</f>
        <v>5353.7750000000005</v>
      </c>
      <c r="K142" s="1065"/>
      <c r="L142" s="1061">
        <v>5406.2</v>
      </c>
      <c r="M142" s="1061">
        <v>5230.3</v>
      </c>
      <c r="N142" s="1940">
        <f>5356.1-4835.3+2500.3+2332.675</f>
        <v>5353.7750000000005</v>
      </c>
      <c r="O142" s="1941">
        <f>5356.1-4835.3+2500.3+2332.675</f>
        <v>5353.7750000000005</v>
      </c>
      <c r="P142" s="1941">
        <f>5356.1-4835.3+2500.3+2332.675</f>
        <v>5353.7750000000005</v>
      </c>
      <c r="Q142" s="1941">
        <f>5356.1-4835.3+2500.3+2332.675</f>
        <v>5353.7750000000005</v>
      </c>
      <c r="R142" s="1941">
        <f>5356.1-4835.3+2500.3+2332.675</f>
        <v>5353.7750000000005</v>
      </c>
      <c r="V142" s="1940">
        <f>5356.1-4835.3+2500.3+2332.675</f>
        <v>5353.7750000000005</v>
      </c>
      <c r="W142" s="1940">
        <f>5356.1-4835.3+2500.3+2332.675</f>
        <v>5353.7750000000005</v>
      </c>
      <c r="Y142" s="1"/>
      <c r="Z142" s="237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 s="2" customFormat="1" ht="79.150000000000006" hidden="1" customHeight="1" x14ac:dyDescent="0.25">
      <c r="A143" s="1"/>
      <c r="B143" s="49" t="s">
        <v>764</v>
      </c>
      <c r="C143" s="9"/>
      <c r="D143" s="34" t="s">
        <v>15</v>
      </c>
      <c r="E143" s="34" t="s">
        <v>32</v>
      </c>
      <c r="F143" s="9" t="s">
        <v>355</v>
      </c>
      <c r="G143" s="9"/>
      <c r="H143" s="9"/>
      <c r="I143" s="34" t="s">
        <v>32</v>
      </c>
      <c r="J143" s="1064">
        <f>J144</f>
        <v>4129.9879999999994</v>
      </c>
      <c r="K143" s="1064"/>
      <c r="L143" s="1064">
        <f t="shared" ref="L143:R143" si="102">L144</f>
        <v>2211</v>
      </c>
      <c r="M143" s="1064">
        <f t="shared" si="102"/>
        <v>2233.5</v>
      </c>
      <c r="N143" s="1938">
        <f t="shared" si="102"/>
        <v>4129.9879999999994</v>
      </c>
      <c r="O143" s="1939">
        <f t="shared" si="102"/>
        <v>4129.9879999999994</v>
      </c>
      <c r="P143" s="1939">
        <f t="shared" si="102"/>
        <v>4129.9879999999994</v>
      </c>
      <c r="Q143" s="1939">
        <f t="shared" si="102"/>
        <v>4129.9879999999994</v>
      </c>
      <c r="R143" s="1939">
        <f t="shared" si="102"/>
        <v>4129.9879999999994</v>
      </c>
      <c r="V143" s="1938">
        <f t="shared" ref="V143:W143" si="103">V144</f>
        <v>4129.9879999999994</v>
      </c>
      <c r="W143" s="1938">
        <f t="shared" si="103"/>
        <v>4129.9879999999994</v>
      </c>
      <c r="Y143" s="1"/>
      <c r="Z143" s="237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 s="2" customFormat="1" ht="18.649999999999999" hidden="1" customHeight="1" x14ac:dyDescent="0.3">
      <c r="A144" s="1"/>
      <c r="B144" s="1935" t="s">
        <v>16</v>
      </c>
      <c r="C144" s="9"/>
      <c r="D144" s="9" t="s">
        <v>15</v>
      </c>
      <c r="E144" s="9" t="s">
        <v>32</v>
      </c>
      <c r="F144" s="9" t="s">
        <v>355</v>
      </c>
      <c r="G144" s="9" t="s">
        <v>1</v>
      </c>
      <c r="H144" s="9"/>
      <c r="I144" s="9" t="s">
        <v>32</v>
      </c>
      <c r="J144" s="1064">
        <f>2142.2+1447.788+540</f>
        <v>4129.9879999999994</v>
      </c>
      <c r="K144" s="1064"/>
      <c r="L144" s="1064">
        <v>2211</v>
      </c>
      <c r="M144" s="1064">
        <v>2233.5</v>
      </c>
      <c r="N144" s="1938">
        <f>2142.2+1447.788+540</f>
        <v>4129.9879999999994</v>
      </c>
      <c r="O144" s="1939">
        <f>2142.2+1447.788+540</f>
        <v>4129.9879999999994</v>
      </c>
      <c r="P144" s="1939">
        <f>2142.2+1447.788+540</f>
        <v>4129.9879999999994</v>
      </c>
      <c r="Q144" s="1939">
        <f>2142.2+1447.788+540</f>
        <v>4129.9879999999994</v>
      </c>
      <c r="R144" s="1939">
        <f>2142.2+1447.788+540</f>
        <v>4129.9879999999994</v>
      </c>
      <c r="V144" s="1938">
        <f>2142.2+1447.788+540</f>
        <v>4129.9879999999994</v>
      </c>
      <c r="W144" s="1938">
        <f>2142.2+1447.788+540</f>
        <v>4129.9879999999994</v>
      </c>
      <c r="Y144" s="1"/>
      <c r="Z144" s="237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 s="2" customFormat="1" ht="19.5" hidden="1" customHeight="1" x14ac:dyDescent="0.25">
      <c r="A145" s="1"/>
      <c r="B145" s="52" t="s">
        <v>354</v>
      </c>
      <c r="C145" s="9"/>
      <c r="D145" s="34" t="s">
        <v>15</v>
      </c>
      <c r="E145" s="34" t="s">
        <v>349</v>
      </c>
      <c r="F145" s="9"/>
      <c r="G145" s="9"/>
      <c r="H145" s="9"/>
      <c r="I145" s="34" t="s">
        <v>349</v>
      </c>
      <c r="J145" s="1065">
        <f>J146</f>
        <v>0</v>
      </c>
      <c r="K145" s="1065"/>
      <c r="L145" s="1065">
        <f t="shared" ref="L145:R148" si="104">L146</f>
        <v>0</v>
      </c>
      <c r="M145" s="1065">
        <f t="shared" si="104"/>
        <v>0</v>
      </c>
      <c r="N145" s="1938">
        <f t="shared" si="104"/>
        <v>0</v>
      </c>
      <c r="O145" s="1939">
        <f t="shared" si="104"/>
        <v>0</v>
      </c>
      <c r="P145" s="1939">
        <f t="shared" si="104"/>
        <v>0</v>
      </c>
      <c r="Q145" s="1939">
        <f t="shared" si="104"/>
        <v>0</v>
      </c>
      <c r="R145" s="1939">
        <f t="shared" si="104"/>
        <v>0</v>
      </c>
      <c r="V145" s="1938">
        <f t="shared" ref="V145:W148" si="105">V146</f>
        <v>0</v>
      </c>
      <c r="W145" s="1938">
        <f t="shared" si="105"/>
        <v>0</v>
      </c>
      <c r="Y145" s="1"/>
      <c r="Z145" s="237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 s="2" customFormat="1" ht="39.5" hidden="1" thickBot="1" x14ac:dyDescent="0.3">
      <c r="A146" s="1"/>
      <c r="B146" s="52" t="s">
        <v>25</v>
      </c>
      <c r="C146" s="9"/>
      <c r="D146" s="34" t="s">
        <v>15</v>
      </c>
      <c r="E146" s="34" t="s">
        <v>349</v>
      </c>
      <c r="F146" s="9"/>
      <c r="G146" s="9"/>
      <c r="H146" s="9"/>
      <c r="I146" s="34" t="s">
        <v>349</v>
      </c>
      <c r="J146" s="1065">
        <f>J147</f>
        <v>0</v>
      </c>
      <c r="K146" s="1065"/>
      <c r="L146" s="1065">
        <f t="shared" si="104"/>
        <v>0</v>
      </c>
      <c r="M146" s="1065">
        <f t="shared" si="104"/>
        <v>0</v>
      </c>
      <c r="N146" s="1938">
        <f t="shared" si="104"/>
        <v>0</v>
      </c>
      <c r="O146" s="1939">
        <f t="shared" si="104"/>
        <v>0</v>
      </c>
      <c r="P146" s="1939">
        <f t="shared" si="104"/>
        <v>0</v>
      </c>
      <c r="Q146" s="1939">
        <f t="shared" si="104"/>
        <v>0</v>
      </c>
      <c r="R146" s="1939">
        <f t="shared" si="104"/>
        <v>0</v>
      </c>
      <c r="V146" s="1938">
        <f t="shared" si="105"/>
        <v>0</v>
      </c>
      <c r="W146" s="1938">
        <f t="shared" si="105"/>
        <v>0</v>
      </c>
      <c r="Y146" s="1"/>
      <c r="Z146" s="237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 s="2" customFormat="1" ht="30.75" hidden="1" customHeight="1" x14ac:dyDescent="0.25">
      <c r="A147" s="1"/>
      <c r="B147" s="52" t="s">
        <v>353</v>
      </c>
      <c r="C147" s="9"/>
      <c r="D147" s="34" t="s">
        <v>15</v>
      </c>
      <c r="E147" s="34" t="s">
        <v>349</v>
      </c>
      <c r="F147" s="9" t="s">
        <v>352</v>
      </c>
      <c r="G147" s="48"/>
      <c r="H147" s="48"/>
      <c r="I147" s="34" t="s">
        <v>349</v>
      </c>
      <c r="J147" s="1077">
        <f>J148</f>
        <v>0</v>
      </c>
      <c r="K147" s="1077"/>
      <c r="L147" s="1077">
        <f t="shared" si="104"/>
        <v>0</v>
      </c>
      <c r="M147" s="1077">
        <f t="shared" si="104"/>
        <v>0</v>
      </c>
      <c r="N147" s="1940">
        <f t="shared" si="104"/>
        <v>0</v>
      </c>
      <c r="O147" s="1963">
        <f t="shared" si="104"/>
        <v>0</v>
      </c>
      <c r="P147" s="1963">
        <f t="shared" si="104"/>
        <v>0</v>
      </c>
      <c r="Q147" s="1941">
        <f t="shared" si="104"/>
        <v>0</v>
      </c>
      <c r="R147" s="1941">
        <f t="shared" si="104"/>
        <v>0</v>
      </c>
      <c r="V147" s="1940">
        <f t="shared" si="105"/>
        <v>0</v>
      </c>
      <c r="W147" s="1940">
        <f t="shared" si="105"/>
        <v>0</v>
      </c>
      <c r="Y147" s="1"/>
      <c r="Z147" s="237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 s="2" customFormat="1" ht="13.5" hidden="1" thickBot="1" x14ac:dyDescent="0.3">
      <c r="A148" s="1"/>
      <c r="B148" s="76" t="s">
        <v>351</v>
      </c>
      <c r="C148" s="9"/>
      <c r="D148" s="34" t="s">
        <v>15</v>
      </c>
      <c r="E148" s="34" t="s">
        <v>349</v>
      </c>
      <c r="F148" s="9" t="s">
        <v>350</v>
      </c>
      <c r="G148" s="48"/>
      <c r="H148" s="48"/>
      <c r="I148" s="34" t="s">
        <v>349</v>
      </c>
      <c r="J148" s="1077">
        <f>J149</f>
        <v>0</v>
      </c>
      <c r="K148" s="1077"/>
      <c r="L148" s="1077">
        <f t="shared" si="104"/>
        <v>0</v>
      </c>
      <c r="M148" s="1077">
        <f t="shared" si="104"/>
        <v>0</v>
      </c>
      <c r="N148" s="1940">
        <f t="shared" si="104"/>
        <v>0</v>
      </c>
      <c r="O148" s="1963">
        <f t="shared" si="104"/>
        <v>0</v>
      </c>
      <c r="P148" s="1963">
        <f t="shared" si="104"/>
        <v>0</v>
      </c>
      <c r="Q148" s="1941">
        <f t="shared" si="104"/>
        <v>0</v>
      </c>
      <c r="R148" s="1941">
        <f t="shared" si="104"/>
        <v>0</v>
      </c>
      <c r="V148" s="1940">
        <f t="shared" si="105"/>
        <v>0</v>
      </c>
      <c r="W148" s="1940">
        <f t="shared" si="105"/>
        <v>0</v>
      </c>
      <c r="Y148" s="1"/>
      <c r="Z148" s="237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 s="2" customFormat="1" ht="13.5" hidden="1" thickBot="1" x14ac:dyDescent="0.3">
      <c r="A149" s="1"/>
      <c r="B149" s="76"/>
      <c r="C149" s="9"/>
      <c r="D149" s="34" t="s">
        <v>15</v>
      </c>
      <c r="E149" s="34" t="s">
        <v>349</v>
      </c>
      <c r="F149" s="9" t="s">
        <v>350</v>
      </c>
      <c r="G149" s="48"/>
      <c r="H149" s="48"/>
      <c r="I149" s="34" t="s">
        <v>349</v>
      </c>
      <c r="J149" s="1077"/>
      <c r="K149" s="1077"/>
      <c r="L149" s="1077"/>
      <c r="M149" s="1077"/>
      <c r="N149" s="1940"/>
      <c r="O149" s="1963"/>
      <c r="P149" s="1963"/>
      <c r="Q149" s="1941"/>
      <c r="R149" s="1941"/>
      <c r="V149" s="1940"/>
      <c r="W149" s="1940"/>
      <c r="Y149" s="1"/>
      <c r="Z149" s="237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 s="2" customFormat="1" ht="14.5" hidden="1" thickBot="1" x14ac:dyDescent="0.3">
      <c r="A150" s="1"/>
      <c r="B150" s="203" t="s">
        <v>348</v>
      </c>
      <c r="C150" s="202"/>
      <c r="D150" s="202" t="s">
        <v>265</v>
      </c>
      <c r="E150" s="199"/>
      <c r="F150" s="201"/>
      <c r="G150" s="200"/>
      <c r="H150" s="484"/>
      <c r="I150" s="199"/>
      <c r="J150" s="1057">
        <f>J151</f>
        <v>160</v>
      </c>
      <c r="K150" s="1057"/>
      <c r="L150" s="1057">
        <f t="shared" ref="L150:R152" si="106">L151</f>
        <v>172</v>
      </c>
      <c r="M150" s="1057">
        <f t="shared" si="106"/>
        <v>184</v>
      </c>
      <c r="N150" s="1931">
        <f t="shared" si="106"/>
        <v>160</v>
      </c>
      <c r="O150" s="1932">
        <f t="shared" si="106"/>
        <v>160</v>
      </c>
      <c r="P150" s="1932">
        <f t="shared" si="106"/>
        <v>160</v>
      </c>
      <c r="Q150" s="1932">
        <f t="shared" si="106"/>
        <v>160</v>
      </c>
      <c r="R150" s="1932">
        <f t="shared" si="106"/>
        <v>160</v>
      </c>
      <c r="V150" s="1931">
        <f t="shared" ref="V150:W152" si="107">V151</f>
        <v>160</v>
      </c>
      <c r="W150" s="1931">
        <f t="shared" si="107"/>
        <v>160</v>
      </c>
      <c r="Y150" s="1"/>
      <c r="Z150" s="237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 s="2" customFormat="1" ht="13.5" hidden="1" thickBot="1" x14ac:dyDescent="0.3">
      <c r="A151" s="1"/>
      <c r="B151" s="52" t="s">
        <v>264</v>
      </c>
      <c r="C151" s="34"/>
      <c r="D151" s="34" t="s">
        <v>265</v>
      </c>
      <c r="E151" s="34" t="s">
        <v>262</v>
      </c>
      <c r="F151" s="1"/>
      <c r="G151" s="9"/>
      <c r="H151" s="9"/>
      <c r="I151" s="34" t="s">
        <v>262</v>
      </c>
      <c r="J151" s="1062">
        <f>J152</f>
        <v>160</v>
      </c>
      <c r="K151" s="1062"/>
      <c r="L151" s="1062">
        <f t="shared" si="106"/>
        <v>172</v>
      </c>
      <c r="M151" s="1062">
        <f t="shared" si="106"/>
        <v>184</v>
      </c>
      <c r="N151" s="1936">
        <f t="shared" si="106"/>
        <v>160</v>
      </c>
      <c r="O151" s="1937">
        <f t="shared" si="106"/>
        <v>160</v>
      </c>
      <c r="P151" s="1937">
        <f t="shared" si="106"/>
        <v>160</v>
      </c>
      <c r="Q151" s="1937">
        <f t="shared" si="106"/>
        <v>160</v>
      </c>
      <c r="R151" s="1937">
        <f t="shared" si="106"/>
        <v>160</v>
      </c>
      <c r="V151" s="1936">
        <f t="shared" si="107"/>
        <v>160</v>
      </c>
      <c r="W151" s="1936">
        <f t="shared" si="107"/>
        <v>160</v>
      </c>
      <c r="Y151" s="1"/>
      <c r="Z151" s="237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 s="2" customFormat="1" ht="53.25" hidden="1" customHeight="1" x14ac:dyDescent="0.25">
      <c r="A152" s="1"/>
      <c r="B152" s="52" t="s">
        <v>253</v>
      </c>
      <c r="C152" s="34"/>
      <c r="D152" s="34" t="s">
        <v>265</v>
      </c>
      <c r="E152" s="34" t="s">
        <v>262</v>
      </c>
      <c r="F152" s="34" t="s">
        <v>252</v>
      </c>
      <c r="G152" s="131"/>
      <c r="H152" s="131"/>
      <c r="I152" s="34" t="s">
        <v>262</v>
      </c>
      <c r="J152" s="51">
        <f>J153</f>
        <v>160</v>
      </c>
      <c r="K152" s="51"/>
      <c r="L152" s="51">
        <f t="shared" si="106"/>
        <v>172</v>
      </c>
      <c r="M152" s="51">
        <f t="shared" si="106"/>
        <v>184</v>
      </c>
      <c r="N152" s="1938">
        <f t="shared" si="106"/>
        <v>160</v>
      </c>
      <c r="O152" s="1944">
        <f t="shared" si="106"/>
        <v>160</v>
      </c>
      <c r="P152" s="1944">
        <f t="shared" si="106"/>
        <v>160</v>
      </c>
      <c r="Q152" s="1945">
        <f t="shared" si="106"/>
        <v>160</v>
      </c>
      <c r="R152" s="1945">
        <f t="shared" si="106"/>
        <v>160</v>
      </c>
      <c r="V152" s="1938">
        <f t="shared" si="107"/>
        <v>160</v>
      </c>
      <c r="W152" s="1938">
        <f t="shared" si="107"/>
        <v>160</v>
      </c>
      <c r="Y152" s="1"/>
      <c r="Z152" s="237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 s="2" customFormat="1" ht="65.5" hidden="1" thickBot="1" x14ac:dyDescent="0.3">
      <c r="A153" s="1"/>
      <c r="B153" s="157" t="s">
        <v>765</v>
      </c>
      <c r="C153" s="34"/>
      <c r="D153" s="34" t="s">
        <v>265</v>
      </c>
      <c r="E153" s="34" t="s">
        <v>262</v>
      </c>
      <c r="F153" s="34" t="s">
        <v>346</v>
      </c>
      <c r="G153" s="9"/>
      <c r="H153" s="9"/>
      <c r="I153" s="34" t="s">
        <v>262</v>
      </c>
      <c r="J153" s="1062">
        <f>J156</f>
        <v>160</v>
      </c>
      <c r="K153" s="1062"/>
      <c r="L153" s="1062">
        <f t="shared" ref="L153:R153" si="108">L156</f>
        <v>172</v>
      </c>
      <c r="M153" s="1062">
        <f t="shared" si="108"/>
        <v>184</v>
      </c>
      <c r="N153" s="1936">
        <f t="shared" si="108"/>
        <v>160</v>
      </c>
      <c r="O153" s="1937">
        <f t="shared" si="108"/>
        <v>160</v>
      </c>
      <c r="P153" s="1937">
        <f t="shared" si="108"/>
        <v>160</v>
      </c>
      <c r="Q153" s="1937">
        <f t="shared" si="108"/>
        <v>160</v>
      </c>
      <c r="R153" s="1937">
        <f t="shared" si="108"/>
        <v>160</v>
      </c>
      <c r="V153" s="1936">
        <f t="shared" ref="V153:W153" si="109">V156</f>
        <v>160</v>
      </c>
      <c r="W153" s="1936">
        <f t="shared" si="109"/>
        <v>160</v>
      </c>
      <c r="Y153" s="1"/>
      <c r="Z153" s="237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 s="2" customFormat="1" ht="75" hidden="1" customHeight="1" x14ac:dyDescent="0.25">
      <c r="A154" s="1"/>
      <c r="B154" s="90" t="s">
        <v>270</v>
      </c>
      <c r="C154" s="34"/>
      <c r="D154" s="34" t="s">
        <v>265</v>
      </c>
      <c r="E154" s="34" t="s">
        <v>262</v>
      </c>
      <c r="F154" s="9" t="s">
        <v>269</v>
      </c>
      <c r="G154" s="9"/>
      <c r="H154" s="9"/>
      <c r="I154" s="34" t="s">
        <v>262</v>
      </c>
      <c r="J154" s="1062"/>
      <c r="K154" s="1062"/>
      <c r="L154" s="1062"/>
      <c r="M154" s="1062"/>
      <c r="N154" s="1936"/>
      <c r="O154" s="1937"/>
      <c r="P154" s="1937"/>
      <c r="Q154" s="1937"/>
      <c r="R154" s="1937"/>
      <c r="V154" s="1936"/>
      <c r="W154" s="1936"/>
      <c r="Y154" s="1"/>
      <c r="Z154" s="237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 s="2" customFormat="1" ht="16.149999999999999" hidden="1" customHeight="1" x14ac:dyDescent="0.3">
      <c r="A155" s="1"/>
      <c r="B155" s="1935" t="s">
        <v>16</v>
      </c>
      <c r="C155" s="34"/>
      <c r="D155" s="34" t="s">
        <v>265</v>
      </c>
      <c r="E155" s="34" t="s">
        <v>262</v>
      </c>
      <c r="F155" s="9" t="s">
        <v>269</v>
      </c>
      <c r="G155" s="9" t="s">
        <v>1</v>
      </c>
      <c r="H155" s="9"/>
      <c r="I155" s="34" t="s">
        <v>262</v>
      </c>
      <c r="J155" s="1062"/>
      <c r="K155" s="1062"/>
      <c r="L155" s="1062"/>
      <c r="M155" s="1062"/>
      <c r="N155" s="1936"/>
      <c r="O155" s="1937"/>
      <c r="P155" s="1937"/>
      <c r="Q155" s="1937"/>
      <c r="R155" s="1937"/>
      <c r="V155" s="1936"/>
      <c r="W155" s="1936"/>
      <c r="Y155" s="1"/>
      <c r="Z155" s="237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</row>
    <row r="156" spans="1:256" s="2" customFormat="1" ht="77.25" hidden="1" customHeight="1" x14ac:dyDescent="0.25">
      <c r="A156" s="1"/>
      <c r="B156" s="49" t="s">
        <v>766</v>
      </c>
      <c r="C156" s="34"/>
      <c r="D156" s="34" t="s">
        <v>265</v>
      </c>
      <c r="E156" s="34" t="s">
        <v>262</v>
      </c>
      <c r="F156" s="9" t="s">
        <v>344</v>
      </c>
      <c r="G156" s="9"/>
      <c r="H156" s="9"/>
      <c r="I156" s="34" t="s">
        <v>262</v>
      </c>
      <c r="J156" s="1062">
        <f>J157</f>
        <v>160</v>
      </c>
      <c r="K156" s="1062"/>
      <c r="L156" s="1062">
        <f t="shared" ref="L156:R156" si="110">L157</f>
        <v>172</v>
      </c>
      <c r="M156" s="1062">
        <f t="shared" si="110"/>
        <v>184</v>
      </c>
      <c r="N156" s="1936">
        <f t="shared" si="110"/>
        <v>160</v>
      </c>
      <c r="O156" s="1937">
        <f t="shared" si="110"/>
        <v>160</v>
      </c>
      <c r="P156" s="1937">
        <f t="shared" si="110"/>
        <v>160</v>
      </c>
      <c r="Q156" s="1937">
        <f t="shared" si="110"/>
        <v>160</v>
      </c>
      <c r="R156" s="1937">
        <f t="shared" si="110"/>
        <v>160</v>
      </c>
      <c r="V156" s="1936">
        <f t="shared" ref="V156:W156" si="111">V157</f>
        <v>160</v>
      </c>
      <c r="W156" s="1936">
        <f t="shared" si="111"/>
        <v>160</v>
      </c>
      <c r="Y156" s="1"/>
      <c r="Z156" s="237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</row>
    <row r="157" spans="1:256" s="2" customFormat="1" ht="16.899999999999999" hidden="1" customHeight="1" x14ac:dyDescent="0.3">
      <c r="A157" s="1"/>
      <c r="B157" s="1935" t="s">
        <v>16</v>
      </c>
      <c r="C157" s="34"/>
      <c r="D157" s="34" t="s">
        <v>265</v>
      </c>
      <c r="E157" s="34" t="s">
        <v>262</v>
      </c>
      <c r="F157" s="9" t="s">
        <v>344</v>
      </c>
      <c r="G157" s="9" t="s">
        <v>1</v>
      </c>
      <c r="H157" s="9"/>
      <c r="I157" s="34" t="s">
        <v>262</v>
      </c>
      <c r="J157" s="1062">
        <v>160</v>
      </c>
      <c r="K157" s="1062"/>
      <c r="L157" s="1062">
        <v>172</v>
      </c>
      <c r="M157" s="1062">
        <v>184</v>
      </c>
      <c r="N157" s="1936">
        <v>160</v>
      </c>
      <c r="O157" s="1937">
        <v>160</v>
      </c>
      <c r="P157" s="1937">
        <v>160</v>
      </c>
      <c r="Q157" s="1937">
        <v>160</v>
      </c>
      <c r="R157" s="1937">
        <v>160</v>
      </c>
      <c r="V157" s="1936">
        <v>160</v>
      </c>
      <c r="W157" s="1936">
        <v>160</v>
      </c>
      <c r="Y157" s="1"/>
      <c r="Z157" s="237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</row>
    <row r="158" spans="1:256" s="2" customFormat="1" ht="14.5" hidden="1" thickBot="1" x14ac:dyDescent="0.3">
      <c r="A158" s="1"/>
      <c r="B158" s="194" t="s">
        <v>343</v>
      </c>
      <c r="C158" s="193"/>
      <c r="D158" s="193" t="s">
        <v>246</v>
      </c>
      <c r="E158" s="193"/>
      <c r="F158" s="193"/>
      <c r="G158" s="193"/>
      <c r="H158" s="193"/>
      <c r="I158" s="193"/>
      <c r="J158" s="1057">
        <f>J159+J166</f>
        <v>7152.5</v>
      </c>
      <c r="K158" s="1057"/>
      <c r="L158" s="1057">
        <f t="shared" ref="L158:R158" si="112">L159+L166</f>
        <v>7583.5</v>
      </c>
      <c r="M158" s="1057">
        <f t="shared" si="112"/>
        <v>8198.5</v>
      </c>
      <c r="N158" s="1931">
        <f t="shared" si="112"/>
        <v>7152.5</v>
      </c>
      <c r="O158" s="1932">
        <f t="shared" si="112"/>
        <v>7152.5</v>
      </c>
      <c r="P158" s="1932">
        <f t="shared" si="112"/>
        <v>7152.5</v>
      </c>
      <c r="Q158" s="1932">
        <f t="shared" si="112"/>
        <v>7152.5</v>
      </c>
      <c r="R158" s="1932">
        <f t="shared" si="112"/>
        <v>7152.5</v>
      </c>
      <c r="V158" s="1931">
        <f t="shared" ref="V158:W158" si="113">V159+V166</f>
        <v>7152.5</v>
      </c>
      <c r="W158" s="1931">
        <f t="shared" si="113"/>
        <v>7152.5</v>
      </c>
      <c r="Y158" s="1"/>
      <c r="Z158" s="237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</row>
    <row r="159" spans="1:256" s="2" customFormat="1" ht="13.5" hidden="1" thickBot="1" x14ac:dyDescent="0.3">
      <c r="A159" s="1"/>
      <c r="B159" s="52" t="s">
        <v>87</v>
      </c>
      <c r="C159" s="34"/>
      <c r="D159" s="34" t="s">
        <v>246</v>
      </c>
      <c r="E159" s="34" t="s">
        <v>85</v>
      </c>
      <c r="F159" s="34"/>
      <c r="G159" s="34"/>
      <c r="H159" s="34"/>
      <c r="I159" s="34" t="s">
        <v>85</v>
      </c>
      <c r="J159" s="1058">
        <f>J160</f>
        <v>5947</v>
      </c>
      <c r="K159" s="1058"/>
      <c r="L159" s="1058">
        <f t="shared" ref="L159:R161" si="114">L160</f>
        <v>6305</v>
      </c>
      <c r="M159" s="1058">
        <f t="shared" si="114"/>
        <v>6960</v>
      </c>
      <c r="N159" s="1933">
        <f t="shared" si="114"/>
        <v>5947</v>
      </c>
      <c r="O159" s="1934">
        <f t="shared" si="114"/>
        <v>5947</v>
      </c>
      <c r="P159" s="1934">
        <f t="shared" si="114"/>
        <v>5947</v>
      </c>
      <c r="Q159" s="1934">
        <f t="shared" si="114"/>
        <v>5947</v>
      </c>
      <c r="R159" s="1934">
        <f t="shared" si="114"/>
        <v>5947</v>
      </c>
      <c r="V159" s="1933">
        <f t="shared" ref="V159:W161" si="115">V160</f>
        <v>5947</v>
      </c>
      <c r="W159" s="1933">
        <f t="shared" si="115"/>
        <v>5947</v>
      </c>
      <c r="Y159" s="1"/>
      <c r="Z159" s="237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</row>
    <row r="160" spans="1:256" s="2" customFormat="1" ht="55.5" hidden="1" customHeight="1" x14ac:dyDescent="0.25">
      <c r="A160" s="1"/>
      <c r="B160" s="52" t="s">
        <v>253</v>
      </c>
      <c r="C160" s="34"/>
      <c r="D160" s="34" t="s">
        <v>246</v>
      </c>
      <c r="E160" s="34" t="s">
        <v>85</v>
      </c>
      <c r="F160" s="34" t="s">
        <v>252</v>
      </c>
      <c r="G160" s="131"/>
      <c r="H160" s="131"/>
      <c r="I160" s="34" t="s">
        <v>85</v>
      </c>
      <c r="J160" s="51">
        <f>J161</f>
        <v>5947</v>
      </c>
      <c r="K160" s="51"/>
      <c r="L160" s="51">
        <f t="shared" si="114"/>
        <v>6305</v>
      </c>
      <c r="M160" s="51">
        <f t="shared" si="114"/>
        <v>6960</v>
      </c>
      <c r="N160" s="1938">
        <f t="shared" si="114"/>
        <v>5947</v>
      </c>
      <c r="O160" s="1944">
        <f t="shared" si="114"/>
        <v>5947</v>
      </c>
      <c r="P160" s="1944">
        <f t="shared" si="114"/>
        <v>5947</v>
      </c>
      <c r="Q160" s="1945">
        <f t="shared" si="114"/>
        <v>5947</v>
      </c>
      <c r="R160" s="1945">
        <f t="shared" si="114"/>
        <v>5947</v>
      </c>
      <c r="V160" s="1938">
        <f t="shared" si="115"/>
        <v>5947</v>
      </c>
      <c r="W160" s="1938">
        <f t="shared" si="115"/>
        <v>5947</v>
      </c>
      <c r="Y160" s="1"/>
      <c r="Z160" s="237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</row>
    <row r="161" spans="2:26" ht="83.5" hidden="1" customHeight="1" x14ac:dyDescent="0.25">
      <c r="B161" s="157" t="s">
        <v>767</v>
      </c>
      <c r="C161" s="9"/>
      <c r="D161" s="9" t="s">
        <v>246</v>
      </c>
      <c r="E161" s="9" t="s">
        <v>85</v>
      </c>
      <c r="F161" s="9" t="s">
        <v>341</v>
      </c>
      <c r="G161" s="9"/>
      <c r="H161" s="9"/>
      <c r="I161" s="9" t="s">
        <v>85</v>
      </c>
      <c r="J161" s="1060">
        <f>J162</f>
        <v>5947</v>
      </c>
      <c r="K161" s="1060"/>
      <c r="L161" s="1060">
        <f t="shared" si="114"/>
        <v>6305</v>
      </c>
      <c r="M161" s="1060">
        <f t="shared" si="114"/>
        <v>6960</v>
      </c>
      <c r="N161" s="1936">
        <f t="shared" si="114"/>
        <v>5947</v>
      </c>
      <c r="O161" s="1937">
        <f t="shared" si="114"/>
        <v>5947</v>
      </c>
      <c r="P161" s="1937">
        <f t="shared" si="114"/>
        <v>5947</v>
      </c>
      <c r="Q161" s="1937">
        <f t="shared" si="114"/>
        <v>5947</v>
      </c>
      <c r="R161" s="1937">
        <f t="shared" si="114"/>
        <v>5947</v>
      </c>
      <c r="V161" s="1936">
        <f t="shared" si="115"/>
        <v>5947</v>
      </c>
      <c r="W161" s="1936">
        <f t="shared" si="115"/>
        <v>5947</v>
      </c>
    </row>
    <row r="162" spans="2:26" ht="78.5" hidden="1" thickBot="1" x14ac:dyDescent="0.3">
      <c r="B162" s="49" t="s">
        <v>768</v>
      </c>
      <c r="C162" s="9"/>
      <c r="D162" s="9" t="s">
        <v>246</v>
      </c>
      <c r="E162" s="9" t="s">
        <v>85</v>
      </c>
      <c r="F162" s="9" t="s">
        <v>339</v>
      </c>
      <c r="G162" s="9"/>
      <c r="H162" s="9"/>
      <c r="I162" s="9" t="s">
        <v>85</v>
      </c>
      <c r="J162" s="1060">
        <f>J163+J164+J165</f>
        <v>5947</v>
      </c>
      <c r="K162" s="1060"/>
      <c r="L162" s="1060">
        <f t="shared" ref="L162:R162" si="116">L163+L164+L165</f>
        <v>6305</v>
      </c>
      <c r="M162" s="1060">
        <f t="shared" si="116"/>
        <v>6960</v>
      </c>
      <c r="N162" s="1936">
        <f t="shared" si="116"/>
        <v>5947</v>
      </c>
      <c r="O162" s="1937">
        <f t="shared" si="116"/>
        <v>5947</v>
      </c>
      <c r="P162" s="1937">
        <f t="shared" si="116"/>
        <v>5947</v>
      </c>
      <c r="Q162" s="1937">
        <f t="shared" si="116"/>
        <v>5947</v>
      </c>
      <c r="R162" s="1937">
        <f t="shared" si="116"/>
        <v>5947</v>
      </c>
      <c r="V162" s="1936">
        <f t="shared" ref="V162:W162" si="117">V163+V164+V165</f>
        <v>5947</v>
      </c>
      <c r="W162" s="1936">
        <f t="shared" si="117"/>
        <v>5947</v>
      </c>
    </row>
    <row r="163" spans="2:26" ht="13.5" hidden="1" thickBot="1" x14ac:dyDescent="0.35">
      <c r="B163" s="1935" t="s">
        <v>256</v>
      </c>
      <c r="C163" s="9"/>
      <c r="D163" s="9" t="s">
        <v>246</v>
      </c>
      <c r="E163" s="9" t="s">
        <v>85</v>
      </c>
      <c r="F163" s="9" t="s">
        <v>339</v>
      </c>
      <c r="G163" s="9" t="s">
        <v>255</v>
      </c>
      <c r="H163" s="9"/>
      <c r="I163" s="9" t="s">
        <v>85</v>
      </c>
      <c r="J163" s="1078">
        <v>4171.2870000000003</v>
      </c>
      <c r="K163" s="1078"/>
      <c r="L163" s="1060">
        <v>5305.1139999999996</v>
      </c>
      <c r="M163" s="1060">
        <v>6631.482</v>
      </c>
      <c r="N163" s="1936">
        <v>4171.2870000000003</v>
      </c>
      <c r="O163" s="1937">
        <v>4171.2870000000003</v>
      </c>
      <c r="P163" s="1937">
        <v>4171.2870000000003</v>
      </c>
      <c r="Q163" s="1937">
        <v>4171.2870000000003</v>
      </c>
      <c r="R163" s="1937">
        <v>4171.2870000000003</v>
      </c>
      <c r="V163" s="1936">
        <v>4171.2870000000003</v>
      </c>
      <c r="W163" s="1936">
        <v>4171.2870000000003</v>
      </c>
    </row>
    <row r="164" spans="2:26" ht="13.5" hidden="1" thickBot="1" x14ac:dyDescent="0.35">
      <c r="B164" s="1935" t="s">
        <v>16</v>
      </c>
      <c r="C164" s="9"/>
      <c r="D164" s="9" t="s">
        <v>246</v>
      </c>
      <c r="E164" s="9" t="s">
        <v>85</v>
      </c>
      <c r="F164" s="9" t="s">
        <v>339</v>
      </c>
      <c r="G164" s="9" t="s">
        <v>1</v>
      </c>
      <c r="H164" s="9"/>
      <c r="I164" s="9" t="s">
        <v>85</v>
      </c>
      <c r="J164" s="1060">
        <f>1775.713-0.713</f>
        <v>1775</v>
      </c>
      <c r="K164" s="1060"/>
      <c r="L164" s="1060">
        <f>999.886-0.886</f>
        <v>999</v>
      </c>
      <c r="M164" s="1060">
        <v>328</v>
      </c>
      <c r="N164" s="1936">
        <f>1775.713-0.713</f>
        <v>1775</v>
      </c>
      <c r="O164" s="1937">
        <f>1775.713-0.713</f>
        <v>1775</v>
      </c>
      <c r="P164" s="1937">
        <f>1775.713-0.713</f>
        <v>1775</v>
      </c>
      <c r="Q164" s="1937">
        <f>1775.713-0.713</f>
        <v>1775</v>
      </c>
      <c r="R164" s="1937">
        <f>1775.713-0.713</f>
        <v>1775</v>
      </c>
      <c r="V164" s="1936">
        <f>1775.713-0.713</f>
        <v>1775</v>
      </c>
      <c r="W164" s="1936">
        <f>1775.713-0.713</f>
        <v>1775</v>
      </c>
    </row>
    <row r="165" spans="2:26" ht="13.5" hidden="1" thickBot="1" x14ac:dyDescent="0.35">
      <c r="B165" s="1935" t="s">
        <v>94</v>
      </c>
      <c r="C165" s="9"/>
      <c r="D165" s="9" t="s">
        <v>246</v>
      </c>
      <c r="E165" s="9" t="s">
        <v>85</v>
      </c>
      <c r="F165" s="9" t="s">
        <v>339</v>
      </c>
      <c r="G165" s="9" t="s">
        <v>91</v>
      </c>
      <c r="H165" s="9"/>
      <c r="I165" s="9" t="s">
        <v>85</v>
      </c>
      <c r="J165" s="1062">
        <v>0.71299999999999997</v>
      </c>
      <c r="K165" s="1062"/>
      <c r="L165" s="1062">
        <v>0.88600000000000001</v>
      </c>
      <c r="M165" s="1062">
        <v>0.51800000000000002</v>
      </c>
      <c r="N165" s="1936">
        <v>0.71299999999999997</v>
      </c>
      <c r="O165" s="1937">
        <v>0.71299999999999997</v>
      </c>
      <c r="P165" s="1937">
        <v>0.71299999999999997</v>
      </c>
      <c r="Q165" s="1937">
        <v>0.71299999999999997</v>
      </c>
      <c r="R165" s="1937">
        <v>0.71299999999999997</v>
      </c>
      <c r="V165" s="1936">
        <v>0.71299999999999997</v>
      </c>
      <c r="W165" s="1936">
        <v>0.71299999999999997</v>
      </c>
    </row>
    <row r="166" spans="2:26" ht="30.75" hidden="1" customHeight="1" x14ac:dyDescent="0.25">
      <c r="B166" s="52" t="s">
        <v>244</v>
      </c>
      <c r="C166" s="34"/>
      <c r="D166" s="34" t="s">
        <v>246</v>
      </c>
      <c r="E166" s="34" t="s">
        <v>242</v>
      </c>
      <c r="F166" s="9"/>
      <c r="G166" s="9"/>
      <c r="H166" s="9"/>
      <c r="I166" s="34" t="s">
        <v>242</v>
      </c>
      <c r="J166" s="1058">
        <f>J167</f>
        <v>1205.5</v>
      </c>
      <c r="K166" s="1058"/>
      <c r="L166" s="1058">
        <f t="shared" ref="L166:R169" si="118">L167</f>
        <v>1278.5</v>
      </c>
      <c r="M166" s="1058">
        <f t="shared" si="118"/>
        <v>1238.5</v>
      </c>
      <c r="N166" s="1933">
        <f t="shared" si="118"/>
        <v>1205.5</v>
      </c>
      <c r="O166" s="1934">
        <f t="shared" si="118"/>
        <v>1205.5</v>
      </c>
      <c r="P166" s="1934">
        <f t="shared" si="118"/>
        <v>1205.5</v>
      </c>
      <c r="Q166" s="1934">
        <f t="shared" si="118"/>
        <v>1205.5</v>
      </c>
      <c r="R166" s="1934">
        <f t="shared" si="118"/>
        <v>1205.5</v>
      </c>
      <c r="V166" s="1933">
        <f t="shared" ref="V166:W169" si="119">V167</f>
        <v>1205.5</v>
      </c>
      <c r="W166" s="1933">
        <f t="shared" si="119"/>
        <v>1205.5</v>
      </c>
    </row>
    <row r="167" spans="2:26" ht="39.65" hidden="1" customHeight="1" x14ac:dyDescent="0.25">
      <c r="B167" s="52" t="s">
        <v>253</v>
      </c>
      <c r="C167" s="34"/>
      <c r="D167" s="34" t="s">
        <v>246</v>
      </c>
      <c r="E167" s="34" t="s">
        <v>242</v>
      </c>
      <c r="F167" s="34" t="s">
        <v>252</v>
      </c>
      <c r="G167" s="131"/>
      <c r="H167" s="131"/>
      <c r="I167" s="34" t="s">
        <v>242</v>
      </c>
      <c r="J167" s="51">
        <f>J168</f>
        <v>1205.5</v>
      </c>
      <c r="K167" s="51"/>
      <c r="L167" s="51">
        <f t="shared" si="118"/>
        <v>1278.5</v>
      </c>
      <c r="M167" s="51">
        <f t="shared" si="118"/>
        <v>1238.5</v>
      </c>
      <c r="N167" s="1938">
        <f t="shared" si="118"/>
        <v>1205.5</v>
      </c>
      <c r="O167" s="1944">
        <f t="shared" si="118"/>
        <v>1205.5</v>
      </c>
      <c r="P167" s="1944">
        <f t="shared" si="118"/>
        <v>1205.5</v>
      </c>
      <c r="Q167" s="1945">
        <f t="shared" si="118"/>
        <v>1205.5</v>
      </c>
      <c r="R167" s="1945">
        <f t="shared" si="118"/>
        <v>1205.5</v>
      </c>
      <c r="V167" s="1938">
        <f t="shared" si="119"/>
        <v>1205.5</v>
      </c>
      <c r="W167" s="1938">
        <f t="shared" si="119"/>
        <v>1205.5</v>
      </c>
    </row>
    <row r="168" spans="2:26" ht="85.9" hidden="1" customHeight="1" x14ac:dyDescent="0.25">
      <c r="B168" s="157" t="s">
        <v>769</v>
      </c>
      <c r="C168" s="9"/>
      <c r="D168" s="9" t="s">
        <v>246</v>
      </c>
      <c r="E168" s="9" t="s">
        <v>242</v>
      </c>
      <c r="F168" s="9" t="s">
        <v>337</v>
      </c>
      <c r="G168" s="9"/>
      <c r="H168" s="9"/>
      <c r="I168" s="9" t="s">
        <v>242</v>
      </c>
      <c r="J168" s="1060">
        <f>J169</f>
        <v>1205.5</v>
      </c>
      <c r="K168" s="1060"/>
      <c r="L168" s="1060">
        <f t="shared" si="118"/>
        <v>1278.5</v>
      </c>
      <c r="M168" s="1060">
        <f t="shared" si="118"/>
        <v>1238.5</v>
      </c>
      <c r="N168" s="1936">
        <f t="shared" si="118"/>
        <v>1205.5</v>
      </c>
      <c r="O168" s="1937">
        <f t="shared" si="118"/>
        <v>1205.5</v>
      </c>
      <c r="P168" s="1937">
        <f t="shared" si="118"/>
        <v>1205.5</v>
      </c>
      <c r="Q168" s="1937">
        <f t="shared" si="118"/>
        <v>1205.5</v>
      </c>
      <c r="R168" s="1937">
        <f t="shared" si="118"/>
        <v>1205.5</v>
      </c>
      <c r="V168" s="1936">
        <f t="shared" si="119"/>
        <v>1205.5</v>
      </c>
      <c r="W168" s="1936">
        <f t="shared" si="119"/>
        <v>1205.5</v>
      </c>
    </row>
    <row r="169" spans="2:26" ht="78.5" hidden="1" thickBot="1" x14ac:dyDescent="0.3">
      <c r="B169" s="49" t="s">
        <v>770</v>
      </c>
      <c r="C169" s="9"/>
      <c r="D169" s="9" t="s">
        <v>246</v>
      </c>
      <c r="E169" s="9" t="s">
        <v>242</v>
      </c>
      <c r="F169" s="9" t="s">
        <v>335</v>
      </c>
      <c r="G169" s="9"/>
      <c r="H169" s="9"/>
      <c r="I169" s="9" t="s">
        <v>242</v>
      </c>
      <c r="J169" s="1060">
        <f>J170</f>
        <v>1205.5</v>
      </c>
      <c r="K169" s="1060"/>
      <c r="L169" s="1060">
        <f t="shared" si="118"/>
        <v>1278.5</v>
      </c>
      <c r="M169" s="1060">
        <f t="shared" si="118"/>
        <v>1238.5</v>
      </c>
      <c r="N169" s="1936">
        <f t="shared" si="118"/>
        <v>1205.5</v>
      </c>
      <c r="O169" s="1937">
        <f t="shared" si="118"/>
        <v>1205.5</v>
      </c>
      <c r="P169" s="1937">
        <f t="shared" si="118"/>
        <v>1205.5</v>
      </c>
      <c r="Q169" s="1937">
        <f t="shared" si="118"/>
        <v>1205.5</v>
      </c>
      <c r="R169" s="1937">
        <f t="shared" si="118"/>
        <v>1205.5</v>
      </c>
      <c r="V169" s="1936">
        <f t="shared" si="119"/>
        <v>1205.5</v>
      </c>
      <c r="W169" s="1936">
        <f t="shared" si="119"/>
        <v>1205.5</v>
      </c>
    </row>
    <row r="170" spans="2:26" ht="13.5" hidden="1" thickBot="1" x14ac:dyDescent="0.35">
      <c r="B170" s="1935" t="s">
        <v>16</v>
      </c>
      <c r="C170" s="9"/>
      <c r="D170" s="9" t="s">
        <v>246</v>
      </c>
      <c r="E170" s="9" t="s">
        <v>242</v>
      </c>
      <c r="F170" s="9" t="s">
        <v>335</v>
      </c>
      <c r="G170" s="9" t="s">
        <v>1</v>
      </c>
      <c r="H170" s="9"/>
      <c r="I170" s="9" t="s">
        <v>242</v>
      </c>
      <c r="J170" s="1060">
        <v>1205.5</v>
      </c>
      <c r="K170" s="1060"/>
      <c r="L170" s="1060">
        <v>1278.5</v>
      </c>
      <c r="M170" s="1060">
        <v>1238.5</v>
      </c>
      <c r="N170" s="1936">
        <v>1205.5</v>
      </c>
      <c r="O170" s="1937">
        <v>1205.5</v>
      </c>
      <c r="P170" s="1937">
        <v>1205.5</v>
      </c>
      <c r="Q170" s="1937">
        <v>1205.5</v>
      </c>
      <c r="R170" s="1937">
        <v>1205.5</v>
      </c>
      <c r="V170" s="1936">
        <v>1205.5</v>
      </c>
      <c r="W170" s="1936">
        <v>1205.5</v>
      </c>
    </row>
    <row r="171" spans="2:26" s="162" customFormat="1" ht="52.5" hidden="1" thickBot="1" x14ac:dyDescent="0.35">
      <c r="B171" s="164" t="s">
        <v>247</v>
      </c>
      <c r="C171" s="33"/>
      <c r="D171" s="33" t="s">
        <v>246</v>
      </c>
      <c r="E171" s="9" t="s">
        <v>242</v>
      </c>
      <c r="F171" s="33" t="s">
        <v>245</v>
      </c>
      <c r="G171" s="31"/>
      <c r="H171" s="31"/>
      <c r="I171" s="9" t="s">
        <v>242</v>
      </c>
      <c r="J171" s="1062"/>
      <c r="K171" s="1062"/>
      <c r="L171" s="1062"/>
      <c r="M171" s="1062"/>
      <c r="N171" s="1936"/>
      <c r="O171" s="1937"/>
      <c r="P171" s="1937"/>
      <c r="Q171" s="1937"/>
      <c r="R171" s="1937"/>
      <c r="S171" s="163"/>
      <c r="T171" s="163"/>
      <c r="U171" s="163"/>
      <c r="V171" s="1936"/>
      <c r="W171" s="1936"/>
      <c r="X171" s="163"/>
      <c r="Z171" s="2142"/>
    </row>
    <row r="172" spans="2:26" ht="14.5" hidden="1" thickBot="1" x14ac:dyDescent="0.3">
      <c r="B172" s="194" t="s">
        <v>334</v>
      </c>
      <c r="C172" s="193"/>
      <c r="D172" s="193" t="s">
        <v>44</v>
      </c>
      <c r="E172" s="193"/>
      <c r="F172" s="193"/>
      <c r="G172" s="193"/>
      <c r="H172" s="193"/>
      <c r="I172" s="193"/>
      <c r="J172" s="1067">
        <f>J173+J176</f>
        <v>412.5</v>
      </c>
      <c r="K172" s="1067"/>
      <c r="L172" s="1067">
        <f t="shared" ref="L172:R172" si="120">L173+L176</f>
        <v>412.5</v>
      </c>
      <c r="M172" s="1067">
        <f t="shared" si="120"/>
        <v>412.5</v>
      </c>
      <c r="N172" s="1942">
        <f t="shared" si="120"/>
        <v>412.5</v>
      </c>
      <c r="O172" s="1943">
        <f t="shared" si="120"/>
        <v>412.5</v>
      </c>
      <c r="P172" s="1943">
        <f t="shared" si="120"/>
        <v>412.5</v>
      </c>
      <c r="Q172" s="1943">
        <f t="shared" si="120"/>
        <v>412.5</v>
      </c>
      <c r="R172" s="1943">
        <f t="shared" si="120"/>
        <v>412.5</v>
      </c>
      <c r="V172" s="1942">
        <f t="shared" ref="V172:W172" si="121">V173+V176</f>
        <v>412.5</v>
      </c>
      <c r="W172" s="1942">
        <f t="shared" si="121"/>
        <v>412.5</v>
      </c>
    </row>
    <row r="173" spans="2:26" ht="13.5" hidden="1" thickBot="1" x14ac:dyDescent="0.3">
      <c r="B173" s="126" t="s">
        <v>79</v>
      </c>
      <c r="C173" s="89"/>
      <c r="D173" s="34" t="s">
        <v>44</v>
      </c>
      <c r="E173" s="34" t="s">
        <v>76</v>
      </c>
      <c r="F173" s="89"/>
      <c r="G173" s="89"/>
      <c r="H173" s="89"/>
      <c r="I173" s="34" t="s">
        <v>76</v>
      </c>
      <c r="J173" s="1065">
        <f>J174</f>
        <v>240.5</v>
      </c>
      <c r="K173" s="1065"/>
      <c r="L173" s="1065">
        <f t="shared" ref="L173:R174" si="122">L174</f>
        <v>240.5</v>
      </c>
      <c r="M173" s="1065">
        <f t="shared" si="122"/>
        <v>240.5</v>
      </c>
      <c r="N173" s="1938">
        <f t="shared" si="122"/>
        <v>240.5</v>
      </c>
      <c r="O173" s="1939">
        <f t="shared" si="122"/>
        <v>240.5</v>
      </c>
      <c r="P173" s="1939">
        <f t="shared" si="122"/>
        <v>240.5</v>
      </c>
      <c r="Q173" s="1939">
        <f t="shared" si="122"/>
        <v>240.5</v>
      </c>
      <c r="R173" s="1939">
        <f t="shared" si="122"/>
        <v>240.5</v>
      </c>
      <c r="V173" s="1938">
        <f t="shared" ref="V173:W174" si="123">V174</f>
        <v>240.5</v>
      </c>
      <c r="W173" s="1938">
        <f t="shared" si="123"/>
        <v>240.5</v>
      </c>
    </row>
    <row r="174" spans="2:26" ht="21" hidden="1" customHeight="1" x14ac:dyDescent="0.25">
      <c r="B174" s="90" t="s">
        <v>333</v>
      </c>
      <c r="C174" s="89"/>
      <c r="D174" s="9" t="s">
        <v>44</v>
      </c>
      <c r="E174" s="9" t="s">
        <v>76</v>
      </c>
      <c r="F174" s="77">
        <v>9900308</v>
      </c>
      <c r="G174" s="89"/>
      <c r="H174" s="89"/>
      <c r="I174" s="9" t="s">
        <v>76</v>
      </c>
      <c r="J174" s="1063">
        <f>J175</f>
        <v>240.5</v>
      </c>
      <c r="K174" s="1063"/>
      <c r="L174" s="1063">
        <f t="shared" si="122"/>
        <v>240.5</v>
      </c>
      <c r="M174" s="1063">
        <f t="shared" si="122"/>
        <v>240.5</v>
      </c>
      <c r="N174" s="1940">
        <f t="shared" si="122"/>
        <v>240.5</v>
      </c>
      <c r="O174" s="1941">
        <f t="shared" si="122"/>
        <v>240.5</v>
      </c>
      <c r="P174" s="1941">
        <f t="shared" si="122"/>
        <v>240.5</v>
      </c>
      <c r="Q174" s="1941">
        <f t="shared" si="122"/>
        <v>240.5</v>
      </c>
      <c r="R174" s="1941">
        <f t="shared" si="122"/>
        <v>240.5</v>
      </c>
      <c r="V174" s="1940">
        <f t="shared" si="123"/>
        <v>240.5</v>
      </c>
      <c r="W174" s="1940">
        <f t="shared" si="123"/>
        <v>240.5</v>
      </c>
    </row>
    <row r="175" spans="2:26" ht="21" hidden="1" customHeight="1" x14ac:dyDescent="0.3">
      <c r="B175" s="1935" t="s">
        <v>46</v>
      </c>
      <c r="C175" s="89"/>
      <c r="D175" s="9" t="s">
        <v>44</v>
      </c>
      <c r="E175" s="9" t="s">
        <v>76</v>
      </c>
      <c r="F175" s="77">
        <v>9900308</v>
      </c>
      <c r="G175" s="33" t="s">
        <v>42</v>
      </c>
      <c r="H175" s="33"/>
      <c r="I175" s="9" t="s">
        <v>76</v>
      </c>
      <c r="J175" s="1063">
        <v>240.5</v>
      </c>
      <c r="K175" s="1063"/>
      <c r="L175" s="1063">
        <v>240.5</v>
      </c>
      <c r="M175" s="1063">
        <v>240.5</v>
      </c>
      <c r="N175" s="1940">
        <v>240.5</v>
      </c>
      <c r="O175" s="1941">
        <v>240.5</v>
      </c>
      <c r="P175" s="1941">
        <v>240.5</v>
      </c>
      <c r="Q175" s="1941">
        <v>240.5</v>
      </c>
      <c r="R175" s="1941">
        <v>240.5</v>
      </c>
      <c r="V175" s="1940">
        <v>240.5</v>
      </c>
      <c r="W175" s="1940">
        <v>240.5</v>
      </c>
    </row>
    <row r="176" spans="2:26" ht="13.5" hidden="1" thickBot="1" x14ac:dyDescent="0.3">
      <c r="B176" s="196" t="s">
        <v>45</v>
      </c>
      <c r="C176" s="34"/>
      <c r="D176" s="34" t="s">
        <v>44</v>
      </c>
      <c r="E176" s="34" t="s">
        <v>41</v>
      </c>
      <c r="F176" s="34"/>
      <c r="G176" s="9"/>
      <c r="H176" s="9"/>
      <c r="I176" s="34" t="s">
        <v>41</v>
      </c>
      <c r="J176" s="1065">
        <f>J177</f>
        <v>172</v>
      </c>
      <c r="K176" s="1065"/>
      <c r="L176" s="1065">
        <f t="shared" ref="L176:R177" si="124">L177</f>
        <v>172</v>
      </c>
      <c r="M176" s="1065">
        <f t="shared" si="124"/>
        <v>172</v>
      </c>
      <c r="N176" s="1938">
        <f t="shared" si="124"/>
        <v>172</v>
      </c>
      <c r="O176" s="1939">
        <f t="shared" si="124"/>
        <v>172</v>
      </c>
      <c r="P176" s="1939">
        <f t="shared" si="124"/>
        <v>172</v>
      </c>
      <c r="Q176" s="1939">
        <f t="shared" si="124"/>
        <v>172</v>
      </c>
      <c r="R176" s="1939">
        <f t="shared" si="124"/>
        <v>172</v>
      </c>
      <c r="V176" s="1938">
        <f t="shared" ref="V176:W177" si="125">V177</f>
        <v>172</v>
      </c>
      <c r="W176" s="1938">
        <f t="shared" si="125"/>
        <v>172</v>
      </c>
    </row>
    <row r="177" spans="1:256" s="2" customFormat="1" ht="21" hidden="1" customHeight="1" x14ac:dyDescent="0.25">
      <c r="A177" s="1"/>
      <c r="B177" s="70" t="s">
        <v>332</v>
      </c>
      <c r="C177" s="70"/>
      <c r="D177" s="9" t="s">
        <v>44</v>
      </c>
      <c r="E177" s="9" t="s">
        <v>41</v>
      </c>
      <c r="F177" s="77">
        <v>9901073</v>
      </c>
      <c r="G177" s="9"/>
      <c r="H177" s="9"/>
      <c r="I177" s="9" t="s">
        <v>41</v>
      </c>
      <c r="J177" s="1063">
        <f>J178</f>
        <v>172</v>
      </c>
      <c r="K177" s="1063"/>
      <c r="L177" s="1063">
        <f t="shared" si="124"/>
        <v>172</v>
      </c>
      <c r="M177" s="1063">
        <f t="shared" si="124"/>
        <v>172</v>
      </c>
      <c r="N177" s="1940">
        <f t="shared" si="124"/>
        <v>172</v>
      </c>
      <c r="O177" s="1941">
        <f t="shared" si="124"/>
        <v>172</v>
      </c>
      <c r="P177" s="1941">
        <f t="shared" si="124"/>
        <v>172</v>
      </c>
      <c r="Q177" s="1941">
        <f t="shared" si="124"/>
        <v>172</v>
      </c>
      <c r="R177" s="1941">
        <f t="shared" si="124"/>
        <v>172</v>
      </c>
      <c r="V177" s="1940">
        <f t="shared" si="125"/>
        <v>172</v>
      </c>
      <c r="W177" s="1940">
        <f t="shared" si="125"/>
        <v>172</v>
      </c>
      <c r="Y177" s="1"/>
      <c r="Z177" s="237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 s="2" customFormat="1" ht="21" hidden="1" customHeight="1" x14ac:dyDescent="0.3">
      <c r="A178" s="1"/>
      <c r="B178" s="1935" t="s">
        <v>46</v>
      </c>
      <c r="C178" s="70"/>
      <c r="D178" s="9" t="s">
        <v>44</v>
      </c>
      <c r="E178" s="9" t="s">
        <v>41</v>
      </c>
      <c r="F178" s="77">
        <v>9901073</v>
      </c>
      <c r="G178" s="9" t="s">
        <v>42</v>
      </c>
      <c r="H178" s="9"/>
      <c r="I178" s="9" t="s">
        <v>41</v>
      </c>
      <c r="J178" s="1063">
        <v>172</v>
      </c>
      <c r="K178" s="1063"/>
      <c r="L178" s="1063">
        <v>172</v>
      </c>
      <c r="M178" s="1063">
        <v>172</v>
      </c>
      <c r="N178" s="1940">
        <v>172</v>
      </c>
      <c r="O178" s="1941">
        <v>172</v>
      </c>
      <c r="P178" s="1941">
        <v>172</v>
      </c>
      <c r="Q178" s="1941">
        <v>172</v>
      </c>
      <c r="R178" s="1941">
        <v>172</v>
      </c>
      <c r="V178" s="1940">
        <v>172</v>
      </c>
      <c r="W178" s="1940">
        <v>172</v>
      </c>
      <c r="Y178" s="1"/>
      <c r="Z178" s="237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 s="2" customFormat="1" ht="14.5" hidden="1" thickBot="1" x14ac:dyDescent="0.3">
      <c r="A179" s="1"/>
      <c r="B179" s="194" t="s">
        <v>331</v>
      </c>
      <c r="C179" s="193"/>
      <c r="D179" s="193" t="s">
        <v>295</v>
      </c>
      <c r="E179" s="193"/>
      <c r="F179" s="193"/>
      <c r="G179" s="193"/>
      <c r="H179" s="193"/>
      <c r="I179" s="193"/>
      <c r="J179" s="1068">
        <f>J181</f>
        <v>3930</v>
      </c>
      <c r="K179" s="1068"/>
      <c r="L179" s="1068">
        <f t="shared" ref="L179:R179" si="126">L181</f>
        <v>3930</v>
      </c>
      <c r="M179" s="1068">
        <f t="shared" si="126"/>
        <v>1185</v>
      </c>
      <c r="N179" s="1942">
        <f t="shared" si="126"/>
        <v>3930</v>
      </c>
      <c r="O179" s="1943">
        <f t="shared" si="126"/>
        <v>3930</v>
      </c>
      <c r="P179" s="1943">
        <f t="shared" si="126"/>
        <v>3930</v>
      </c>
      <c r="Q179" s="1943">
        <f t="shared" si="126"/>
        <v>3930</v>
      </c>
      <c r="R179" s="1943">
        <f t="shared" si="126"/>
        <v>3930</v>
      </c>
      <c r="V179" s="1942">
        <f t="shared" ref="V179:W179" si="127">V181</f>
        <v>3930</v>
      </c>
      <c r="W179" s="1942">
        <f t="shared" si="127"/>
        <v>3930</v>
      </c>
      <c r="Y179" s="1"/>
      <c r="Z179" s="237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 s="2" customFormat="1" ht="24" hidden="1" customHeight="1" x14ac:dyDescent="0.25">
      <c r="A180" s="1"/>
      <c r="B180" s="52" t="s">
        <v>64</v>
      </c>
      <c r="C180" s="9"/>
      <c r="D180" s="34" t="s">
        <v>295</v>
      </c>
      <c r="E180" s="34" t="s">
        <v>62</v>
      </c>
      <c r="F180" s="34"/>
      <c r="G180" s="34"/>
      <c r="H180" s="34"/>
      <c r="I180" s="34" t="s">
        <v>62</v>
      </c>
      <c r="J180" s="1061">
        <f>J181</f>
        <v>3930</v>
      </c>
      <c r="K180" s="1061"/>
      <c r="L180" s="1061">
        <f t="shared" ref="L180:R180" si="128">L181</f>
        <v>3930</v>
      </c>
      <c r="M180" s="1061">
        <f t="shared" si="128"/>
        <v>1185</v>
      </c>
      <c r="N180" s="1940">
        <f t="shared" si="128"/>
        <v>3930</v>
      </c>
      <c r="O180" s="1941">
        <f t="shared" si="128"/>
        <v>3930</v>
      </c>
      <c r="P180" s="1941">
        <f t="shared" si="128"/>
        <v>3930</v>
      </c>
      <c r="Q180" s="1941">
        <f t="shared" si="128"/>
        <v>3930</v>
      </c>
      <c r="R180" s="1941">
        <f t="shared" si="128"/>
        <v>3930</v>
      </c>
      <c r="V180" s="1940">
        <f t="shared" ref="V180:W180" si="129">V181</f>
        <v>3930</v>
      </c>
      <c r="W180" s="1940">
        <f t="shared" si="129"/>
        <v>3930</v>
      </c>
      <c r="Y180" s="1"/>
      <c r="Z180" s="237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 s="2" customFormat="1" ht="58.5" hidden="1" customHeight="1" x14ac:dyDescent="0.25">
      <c r="A181" s="1"/>
      <c r="B181" s="126" t="s">
        <v>330</v>
      </c>
      <c r="C181" s="9"/>
      <c r="D181" s="9" t="s">
        <v>295</v>
      </c>
      <c r="E181" s="9" t="s">
        <v>62</v>
      </c>
      <c r="F181" s="9" t="s">
        <v>329</v>
      </c>
      <c r="G181" s="175"/>
      <c r="H181" s="175"/>
      <c r="I181" s="9" t="s">
        <v>62</v>
      </c>
      <c r="J181" s="1079">
        <f>J184+J188</f>
        <v>3930</v>
      </c>
      <c r="K181" s="1079"/>
      <c r="L181" s="1079">
        <f t="shared" ref="L181:R181" si="130">L184+L188</f>
        <v>3930</v>
      </c>
      <c r="M181" s="1079">
        <f t="shared" si="130"/>
        <v>1185</v>
      </c>
      <c r="N181" s="1946">
        <f t="shared" si="130"/>
        <v>3930</v>
      </c>
      <c r="O181" s="1964">
        <f t="shared" si="130"/>
        <v>3930</v>
      </c>
      <c r="P181" s="1964">
        <f t="shared" si="130"/>
        <v>3930</v>
      </c>
      <c r="Q181" s="1947">
        <f t="shared" si="130"/>
        <v>3930</v>
      </c>
      <c r="R181" s="1947">
        <f t="shared" si="130"/>
        <v>3930</v>
      </c>
      <c r="V181" s="1946">
        <f t="shared" ref="V181:W181" si="131">V184+V188</f>
        <v>3930</v>
      </c>
      <c r="W181" s="1946">
        <f t="shared" si="131"/>
        <v>3930</v>
      </c>
      <c r="Y181" s="1"/>
      <c r="Z181" s="237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 s="2" customFormat="1" ht="52.5" hidden="1" thickBot="1" x14ac:dyDescent="0.3">
      <c r="A182" s="1"/>
      <c r="B182" s="157" t="s">
        <v>771</v>
      </c>
      <c r="C182" s="9"/>
      <c r="D182" s="9" t="s">
        <v>295</v>
      </c>
      <c r="E182" s="9" t="s">
        <v>62</v>
      </c>
      <c r="F182" s="9" t="s">
        <v>309</v>
      </c>
      <c r="G182" s="9"/>
      <c r="H182" s="9"/>
      <c r="I182" s="9" t="s">
        <v>62</v>
      </c>
      <c r="J182" s="1061"/>
      <c r="K182" s="1061"/>
      <c r="L182" s="1061"/>
      <c r="M182" s="1061"/>
      <c r="N182" s="1940"/>
      <c r="O182" s="1941"/>
      <c r="P182" s="1941"/>
      <c r="Q182" s="1941"/>
      <c r="R182" s="1941"/>
      <c r="V182" s="1940"/>
      <c r="W182" s="1940"/>
      <c r="Y182" s="1"/>
      <c r="Z182" s="237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 s="2" customFormat="1" ht="52.5" hidden="1" thickBot="1" x14ac:dyDescent="0.3">
      <c r="A183" s="1"/>
      <c r="B183" s="76" t="s">
        <v>772</v>
      </c>
      <c r="C183" s="9"/>
      <c r="D183" s="9" t="s">
        <v>295</v>
      </c>
      <c r="E183" s="9" t="s">
        <v>62</v>
      </c>
      <c r="F183" s="9" t="s">
        <v>307</v>
      </c>
      <c r="G183" s="9"/>
      <c r="H183" s="9"/>
      <c r="I183" s="9" t="s">
        <v>62</v>
      </c>
      <c r="J183" s="1061"/>
      <c r="K183" s="1061"/>
      <c r="L183" s="1061"/>
      <c r="M183" s="1061"/>
      <c r="N183" s="1940"/>
      <c r="O183" s="1941"/>
      <c r="P183" s="1941"/>
      <c r="Q183" s="1941"/>
      <c r="R183" s="1941"/>
      <c r="V183" s="1940"/>
      <c r="W183" s="1940"/>
      <c r="Y183" s="1"/>
      <c r="Z183" s="237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 s="2" customFormat="1" ht="78.5" hidden="1" thickBot="1" x14ac:dyDescent="0.3">
      <c r="A184" s="1"/>
      <c r="B184" s="157" t="s">
        <v>773</v>
      </c>
      <c r="C184" s="9"/>
      <c r="D184" s="9" t="s">
        <v>295</v>
      </c>
      <c r="E184" s="9" t="s">
        <v>62</v>
      </c>
      <c r="F184" s="34" t="s">
        <v>305</v>
      </c>
      <c r="G184" s="9"/>
      <c r="H184" s="9"/>
      <c r="I184" s="9" t="s">
        <v>62</v>
      </c>
      <c r="J184" s="1059">
        <f>J185</f>
        <v>3600</v>
      </c>
      <c r="K184" s="1059"/>
      <c r="L184" s="1059">
        <f t="shared" ref="L184:R185" si="132">L185</f>
        <v>3600</v>
      </c>
      <c r="M184" s="1059">
        <f t="shared" si="132"/>
        <v>850</v>
      </c>
      <c r="N184" s="1933">
        <f t="shared" si="132"/>
        <v>3600</v>
      </c>
      <c r="O184" s="1934">
        <f t="shared" si="132"/>
        <v>3600</v>
      </c>
      <c r="P184" s="1934">
        <f t="shared" si="132"/>
        <v>3600</v>
      </c>
      <c r="Q184" s="1934">
        <f t="shared" si="132"/>
        <v>3600</v>
      </c>
      <c r="R184" s="1934">
        <f t="shared" si="132"/>
        <v>3600</v>
      </c>
      <c r="V184" s="1933">
        <f t="shared" ref="V184:W185" si="133">V185</f>
        <v>3600</v>
      </c>
      <c r="W184" s="1933">
        <f t="shared" si="133"/>
        <v>3600</v>
      </c>
      <c r="Y184" s="1"/>
      <c r="Z184" s="237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 s="2" customFormat="1" ht="80.5" hidden="1" customHeight="1" x14ac:dyDescent="0.25">
      <c r="A185" s="1"/>
      <c r="B185" s="49" t="s">
        <v>774</v>
      </c>
      <c r="C185" s="9"/>
      <c r="D185" s="9" t="s">
        <v>295</v>
      </c>
      <c r="E185" s="9" t="s">
        <v>62</v>
      </c>
      <c r="F185" s="9" t="s">
        <v>301</v>
      </c>
      <c r="G185" s="9"/>
      <c r="H185" s="9"/>
      <c r="I185" s="9" t="s">
        <v>62</v>
      </c>
      <c r="J185" s="1061">
        <f>J186</f>
        <v>3600</v>
      </c>
      <c r="K185" s="1061"/>
      <c r="L185" s="1061">
        <f t="shared" si="132"/>
        <v>3600</v>
      </c>
      <c r="M185" s="1061">
        <f t="shared" si="132"/>
        <v>850</v>
      </c>
      <c r="N185" s="1940">
        <f t="shared" si="132"/>
        <v>3600</v>
      </c>
      <c r="O185" s="1941">
        <f t="shared" si="132"/>
        <v>3600</v>
      </c>
      <c r="P185" s="1941">
        <f t="shared" si="132"/>
        <v>3600</v>
      </c>
      <c r="Q185" s="1941">
        <f t="shared" si="132"/>
        <v>3600</v>
      </c>
      <c r="R185" s="1941">
        <f t="shared" si="132"/>
        <v>3600</v>
      </c>
      <c r="V185" s="1940">
        <f t="shared" si="133"/>
        <v>3600</v>
      </c>
      <c r="W185" s="1940">
        <f t="shared" si="133"/>
        <v>3600</v>
      </c>
      <c r="Y185" s="1"/>
      <c r="Z185" s="237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 s="2" customFormat="1" ht="13.5" hidden="1" thickBot="1" x14ac:dyDescent="0.35">
      <c r="A186" s="1"/>
      <c r="B186" s="744" t="s">
        <v>16</v>
      </c>
      <c r="C186" s="9"/>
      <c r="D186" s="9" t="s">
        <v>295</v>
      </c>
      <c r="E186" s="9" t="s">
        <v>62</v>
      </c>
      <c r="F186" s="9" t="s">
        <v>301</v>
      </c>
      <c r="G186" s="9" t="s">
        <v>1</v>
      </c>
      <c r="H186" s="9"/>
      <c r="I186" s="9" t="s">
        <v>62</v>
      </c>
      <c r="J186" s="1061">
        <v>3600</v>
      </c>
      <c r="K186" s="1061"/>
      <c r="L186" s="1061">
        <v>3600</v>
      </c>
      <c r="M186" s="1061">
        <v>850</v>
      </c>
      <c r="N186" s="1940">
        <v>3600</v>
      </c>
      <c r="O186" s="1941">
        <v>3600</v>
      </c>
      <c r="P186" s="1941">
        <v>3600</v>
      </c>
      <c r="Q186" s="1941">
        <v>3600</v>
      </c>
      <c r="R186" s="1941">
        <v>3600</v>
      </c>
      <c r="V186" s="1940">
        <v>3600</v>
      </c>
      <c r="W186" s="1940">
        <v>3600</v>
      </c>
      <c r="Y186" s="1"/>
      <c r="Z186" s="237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 s="2" customFormat="1" ht="52.5" hidden="1" thickBot="1" x14ac:dyDescent="0.3">
      <c r="A187" s="1"/>
      <c r="B187" s="76" t="s">
        <v>303</v>
      </c>
      <c r="C187" s="9"/>
      <c r="D187" s="9" t="s">
        <v>295</v>
      </c>
      <c r="E187" s="9" t="s">
        <v>62</v>
      </c>
      <c r="F187" s="9" t="s">
        <v>302</v>
      </c>
      <c r="G187" s="9"/>
      <c r="H187" s="9"/>
      <c r="I187" s="9" t="s">
        <v>62</v>
      </c>
      <c r="J187" s="1063"/>
      <c r="K187" s="1063"/>
      <c r="L187" s="1063"/>
      <c r="M187" s="1063"/>
      <c r="N187" s="1940"/>
      <c r="O187" s="1941"/>
      <c r="P187" s="1941"/>
      <c r="Q187" s="1941"/>
      <c r="R187" s="1941"/>
      <c r="V187" s="1940"/>
      <c r="W187" s="1940"/>
      <c r="Y187" s="1"/>
      <c r="Z187" s="237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 s="2" customFormat="1" ht="78.5" hidden="1" thickBot="1" x14ac:dyDescent="0.3">
      <c r="A188" s="1"/>
      <c r="B188" s="191" t="s">
        <v>775</v>
      </c>
      <c r="C188" s="9"/>
      <c r="D188" s="9" t="s">
        <v>295</v>
      </c>
      <c r="E188" s="9" t="s">
        <v>62</v>
      </c>
      <c r="F188" s="34" t="s">
        <v>325</v>
      </c>
      <c r="G188" s="9"/>
      <c r="H188" s="9"/>
      <c r="I188" s="9" t="s">
        <v>62</v>
      </c>
      <c r="J188" s="1065">
        <f>J189</f>
        <v>330</v>
      </c>
      <c r="K188" s="1065"/>
      <c r="L188" s="1065">
        <f t="shared" ref="L188:R188" si="134">L189</f>
        <v>330</v>
      </c>
      <c r="M188" s="1065">
        <f t="shared" si="134"/>
        <v>335</v>
      </c>
      <c r="N188" s="1938">
        <f t="shared" si="134"/>
        <v>330</v>
      </c>
      <c r="O188" s="1939">
        <f t="shared" si="134"/>
        <v>330</v>
      </c>
      <c r="P188" s="1939">
        <f t="shared" si="134"/>
        <v>330</v>
      </c>
      <c r="Q188" s="1939">
        <f t="shared" si="134"/>
        <v>330</v>
      </c>
      <c r="R188" s="1939">
        <f t="shared" si="134"/>
        <v>330</v>
      </c>
      <c r="V188" s="1938">
        <f t="shared" ref="V188:W188" si="135">V189</f>
        <v>330</v>
      </c>
      <c r="W188" s="1938">
        <f t="shared" si="135"/>
        <v>330</v>
      </c>
      <c r="Y188" s="1"/>
      <c r="Z188" s="237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 s="2" customFormat="1" ht="92.25" hidden="1" customHeight="1" x14ac:dyDescent="0.25">
      <c r="A189" s="1"/>
      <c r="B189" s="76" t="s">
        <v>776</v>
      </c>
      <c r="C189" s="9"/>
      <c r="D189" s="9" t="s">
        <v>295</v>
      </c>
      <c r="E189" s="9" t="s">
        <v>62</v>
      </c>
      <c r="F189" s="9" t="s">
        <v>323</v>
      </c>
      <c r="G189" s="9"/>
      <c r="H189" s="9"/>
      <c r="I189" s="9" t="s">
        <v>62</v>
      </c>
      <c r="J189" s="1063">
        <f>J190</f>
        <v>330</v>
      </c>
      <c r="K189" s="1063"/>
      <c r="L189" s="1063">
        <f>L190</f>
        <v>330</v>
      </c>
      <c r="M189" s="1063">
        <v>335</v>
      </c>
      <c r="N189" s="1940">
        <f>N190</f>
        <v>330</v>
      </c>
      <c r="O189" s="1941">
        <f>O190</f>
        <v>330</v>
      </c>
      <c r="P189" s="1941">
        <f>P190</f>
        <v>330</v>
      </c>
      <c r="Q189" s="1941">
        <f>Q190</f>
        <v>330</v>
      </c>
      <c r="R189" s="1941">
        <f>R190</f>
        <v>330</v>
      </c>
      <c r="V189" s="1940">
        <f>V190</f>
        <v>330</v>
      </c>
      <c r="W189" s="1940">
        <f>W190</f>
        <v>330</v>
      </c>
      <c r="Y189" s="1"/>
      <c r="Z189" s="237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 s="2" customFormat="1" ht="13.9" hidden="1" customHeight="1" x14ac:dyDescent="0.3">
      <c r="A190" s="1"/>
      <c r="B190" s="744" t="s">
        <v>16</v>
      </c>
      <c r="C190" s="9"/>
      <c r="D190" s="9" t="s">
        <v>295</v>
      </c>
      <c r="E190" s="9" t="s">
        <v>62</v>
      </c>
      <c r="F190" s="9" t="s">
        <v>323</v>
      </c>
      <c r="G190" s="9" t="s">
        <v>1</v>
      </c>
      <c r="H190" s="9"/>
      <c r="I190" s="9" t="s">
        <v>62</v>
      </c>
      <c r="J190" s="1063">
        <v>330</v>
      </c>
      <c r="K190" s="1063"/>
      <c r="L190" s="1063">
        <v>330</v>
      </c>
      <c r="M190" s="1063">
        <v>330</v>
      </c>
      <c r="N190" s="1940">
        <v>330</v>
      </c>
      <c r="O190" s="1941">
        <v>330</v>
      </c>
      <c r="P190" s="1941">
        <v>330</v>
      </c>
      <c r="Q190" s="1941">
        <v>330</v>
      </c>
      <c r="R190" s="1941">
        <v>330</v>
      </c>
      <c r="V190" s="1940">
        <v>330</v>
      </c>
      <c r="W190" s="1940">
        <v>330</v>
      </c>
      <c r="Y190" s="1"/>
      <c r="Z190" s="237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 s="2" customFormat="1" ht="13" hidden="1" thickBot="1" x14ac:dyDescent="0.3">
      <c r="A191" s="1"/>
      <c r="B191" s="6"/>
      <c r="C191" s="5"/>
      <c r="D191" s="4"/>
      <c r="E191" s="4"/>
      <c r="F191" s="4"/>
      <c r="G191" s="4"/>
      <c r="H191" s="4"/>
      <c r="I191" s="4"/>
      <c r="J191" s="1045"/>
      <c r="K191" s="1045"/>
      <c r="L191" s="1045"/>
      <c r="M191" s="1045"/>
      <c r="N191" s="1905"/>
      <c r="O191" s="1906"/>
      <c r="P191" s="1906"/>
      <c r="Q191" s="1906"/>
      <c r="R191" s="1906"/>
      <c r="V191" s="1905"/>
      <c r="W191" s="1905"/>
      <c r="Y191" s="1"/>
      <c r="Z191" s="237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 s="2" customFormat="1" ht="13" hidden="1" thickBot="1" x14ac:dyDescent="0.3">
      <c r="A192" s="1"/>
      <c r="B192" s="6"/>
      <c r="C192" s="5"/>
      <c r="D192" s="4"/>
      <c r="E192" s="4"/>
      <c r="F192" s="4"/>
      <c r="G192" s="4"/>
      <c r="H192" s="4"/>
      <c r="I192" s="4"/>
      <c r="J192" s="1045"/>
      <c r="K192" s="1045"/>
      <c r="L192" s="1045"/>
      <c r="M192" s="1045"/>
      <c r="N192" s="1905"/>
      <c r="O192" s="1906"/>
      <c r="P192" s="1906"/>
      <c r="Q192" s="1906"/>
      <c r="R192" s="1906"/>
      <c r="V192" s="1905"/>
      <c r="W192" s="1905"/>
      <c r="Y192" s="1"/>
      <c r="Z192" s="237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 s="2" customFormat="1" ht="13" hidden="1" thickBot="1" x14ac:dyDescent="0.3">
      <c r="A193" s="1"/>
      <c r="B193" s="6"/>
      <c r="C193" s="5"/>
      <c r="D193" s="4"/>
      <c r="E193" s="4"/>
      <c r="F193" s="4"/>
      <c r="G193" s="4"/>
      <c r="H193" s="4"/>
      <c r="I193" s="4"/>
      <c r="J193" s="1045"/>
      <c r="K193" s="1045"/>
      <c r="L193" s="1045"/>
      <c r="M193" s="1045"/>
      <c r="N193" s="1905"/>
      <c r="O193" s="1906"/>
      <c r="P193" s="1906"/>
      <c r="Q193" s="1906"/>
      <c r="R193" s="1906"/>
      <c r="V193" s="1905"/>
      <c r="W193" s="1905"/>
      <c r="Y193" s="1"/>
      <c r="Z193" s="237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 s="2" customFormat="1" ht="45" x14ac:dyDescent="0.25">
      <c r="A194" s="190"/>
      <c r="B194" s="189" t="s">
        <v>322</v>
      </c>
      <c r="C194" s="188"/>
      <c r="D194" s="187"/>
      <c r="E194" s="187"/>
      <c r="F194" s="186" t="s">
        <v>321</v>
      </c>
      <c r="G194" s="186" t="s">
        <v>320</v>
      </c>
      <c r="H194" s="186" t="s">
        <v>777</v>
      </c>
      <c r="I194" s="186" t="s">
        <v>778</v>
      </c>
      <c r="J194" s="1080" t="s">
        <v>319</v>
      </c>
      <c r="K194" s="1081"/>
      <c r="L194" s="1965" t="s">
        <v>318</v>
      </c>
      <c r="M194" s="1966" t="s">
        <v>317</v>
      </c>
      <c r="N194" s="1967" t="s">
        <v>899</v>
      </c>
      <c r="O194" s="1968" t="s">
        <v>779</v>
      </c>
      <c r="P194" s="1969" t="s">
        <v>315</v>
      </c>
      <c r="Q194" s="1970" t="s">
        <v>844</v>
      </c>
      <c r="R194" s="1971" t="s">
        <v>899</v>
      </c>
      <c r="V194" s="1967" t="s">
        <v>997</v>
      </c>
      <c r="W194" s="1967" t="s">
        <v>1198</v>
      </c>
      <c r="X194" s="2082">
        <f>X195-N195</f>
        <v>-18611.208630000023</v>
      </c>
      <c r="Y194" s="2220">
        <f>Y195-V195</f>
        <v>-33957.35788000001</v>
      </c>
      <c r="Z194" s="237">
        <f>Z195-W195</f>
        <v>-4484.0750000000116</v>
      </c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 s="2" customFormat="1" ht="15" x14ac:dyDescent="0.25">
      <c r="A195" s="32"/>
      <c r="B195" s="1973" t="s">
        <v>314</v>
      </c>
      <c r="C195" s="179"/>
      <c r="D195" s="178"/>
      <c r="E195" s="178"/>
      <c r="F195" s="94"/>
      <c r="G195" s="94"/>
      <c r="H195" s="94"/>
      <c r="I195" s="94"/>
      <c r="J195" s="1082">
        <f>J196+J469</f>
        <v>72325.900000000009</v>
      </c>
      <c r="K195" s="1083"/>
      <c r="L195" s="1084">
        <f t="shared" ref="L195:R195" si="136">L196+L469</f>
        <v>70391</v>
      </c>
      <c r="M195" s="1548">
        <f t="shared" si="136"/>
        <v>70022.100000000006</v>
      </c>
      <c r="N195" s="2474">
        <f t="shared" si="136"/>
        <v>125614.26163000002</v>
      </c>
      <c r="O195" s="2475">
        <f t="shared" si="136"/>
        <v>75112.899000000005</v>
      </c>
      <c r="P195" s="2476">
        <f t="shared" si="136"/>
        <v>75716.578999999998</v>
      </c>
      <c r="Q195" s="2477">
        <f t="shared" si="136"/>
        <v>90967.686999999991</v>
      </c>
      <c r="R195" s="2478">
        <f t="shared" si="136"/>
        <v>92889.06</v>
      </c>
      <c r="S195" s="1972"/>
      <c r="T195" s="1972"/>
      <c r="U195" s="1972"/>
      <c r="V195" s="2474">
        <f>V196+V469</f>
        <v>137773.94388000001</v>
      </c>
      <c r="W195" s="2474">
        <f>W196+W469</f>
        <v>106949.63</v>
      </c>
      <c r="X195" s="2218">
        <v>107003.053</v>
      </c>
      <c r="Y195" s="2219">
        <v>103816.586</v>
      </c>
      <c r="Z195" s="2219">
        <v>102465.55499999999</v>
      </c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 s="2" customFormat="1" ht="15" x14ac:dyDescent="0.25">
      <c r="A196" s="32"/>
      <c r="B196" s="1979" t="s">
        <v>313</v>
      </c>
      <c r="C196" s="179"/>
      <c r="D196" s="178"/>
      <c r="E196" s="178"/>
      <c r="F196" s="94"/>
      <c r="G196" s="94"/>
      <c r="H196" s="94"/>
      <c r="I196" s="94"/>
      <c r="J196" s="1084">
        <f>J197+J216+J228+J275+J298+J327+J342+J432</f>
        <v>25287.312000000002</v>
      </c>
      <c r="K196" s="1083"/>
      <c r="L196" s="1084">
        <f>L197+L216+L228+L275+L298+L327+L342+L432</f>
        <v>42242.735000000001</v>
      </c>
      <c r="M196" s="1548">
        <f>M197+M216+M228+M275+M298+M327+M342+M432</f>
        <v>40917.551999999996</v>
      </c>
      <c r="N196" s="2474">
        <f>N197+N216+N228+N275+N298+N327+N342+N358+N397+N412+N418+N442+N456</f>
        <v>83264.303670000023</v>
      </c>
      <c r="O196" s="2479">
        <f>O432+O358+O342+O327+O298+O275+O228+O216+O197</f>
        <v>52691.074000000001</v>
      </c>
      <c r="P196" s="2479">
        <f>P432+P358+P342+P327+P298+P275+P228+P216+P197</f>
        <v>51839.148999999998</v>
      </c>
      <c r="Q196" s="2480">
        <f>Q432+Q358+Q342+Q327+Q298+Q275+Q228+Q216+Q197+Q373+Q418</f>
        <v>60949.109999999993</v>
      </c>
      <c r="R196" s="2478">
        <f>R432+R358+R342+R327+R298+R275+R228+R216+R197+R373+R418</f>
        <v>62699.311000000002</v>
      </c>
      <c r="S196" s="1972"/>
      <c r="T196" s="1972"/>
      <c r="U196" s="1972"/>
      <c r="V196" s="2474">
        <f>V210+V227+V236+V240+V256+V259+V262+V267+V274+V285+V290+V297+V309+V317+V326+V341+V347+V352+V357+V372+V396+V404+V411+V417+V447+V462+V313</f>
        <v>100247.90365000001</v>
      </c>
      <c r="W196" s="2474">
        <f>W210+W227+W236+W240+W256+W259+W262+W267+W274+W285+W290+W297+W309+W317+W326+W341+W347+W352+W357+W372+W396+W404+W411+W417+W447+W462</f>
        <v>61335.892000000007</v>
      </c>
      <c r="X196" s="1972"/>
      <c r="Y196" s="1"/>
      <c r="Z196" s="237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 s="2" customFormat="1" ht="48" customHeight="1" x14ac:dyDescent="0.25">
      <c r="A197" s="91">
        <v>1</v>
      </c>
      <c r="B197" s="126" t="s">
        <v>906</v>
      </c>
      <c r="C197" s="9"/>
      <c r="D197" s="9" t="s">
        <v>295</v>
      </c>
      <c r="E197" s="9" t="s">
        <v>62</v>
      </c>
      <c r="F197" s="34" t="s">
        <v>311</v>
      </c>
      <c r="G197" s="175"/>
      <c r="H197" s="175"/>
      <c r="I197" s="9"/>
      <c r="J197" s="1085">
        <f>J200+J205</f>
        <v>330</v>
      </c>
      <c r="K197" s="1079"/>
      <c r="L197" s="1079">
        <f t="shared" ref="L197:R197" si="137">L200+L205</f>
        <v>3930</v>
      </c>
      <c r="M197" s="1549">
        <f t="shared" si="137"/>
        <v>1185</v>
      </c>
      <c r="N197" s="2481">
        <f>N205</f>
        <v>700</v>
      </c>
      <c r="O197" s="2482">
        <f t="shared" si="137"/>
        <v>450</v>
      </c>
      <c r="P197" s="2482">
        <f t="shared" si="137"/>
        <v>500</v>
      </c>
      <c r="Q197" s="2483">
        <f t="shared" si="137"/>
        <v>650</v>
      </c>
      <c r="R197" s="2484">
        <f t="shared" si="137"/>
        <v>700</v>
      </c>
      <c r="S197" s="1972"/>
      <c r="T197" s="1972"/>
      <c r="U197" s="1972"/>
      <c r="V197" s="2481">
        <f>V205</f>
        <v>750</v>
      </c>
      <c r="W197" s="2481">
        <f>W205</f>
        <v>800</v>
      </c>
      <c r="Y197" s="1"/>
      <c r="Z197" s="237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 s="2" customFormat="1" ht="52" hidden="1" x14ac:dyDescent="0.25">
      <c r="A198" s="32"/>
      <c r="B198" s="157" t="s">
        <v>771</v>
      </c>
      <c r="C198" s="9"/>
      <c r="D198" s="9" t="s">
        <v>295</v>
      </c>
      <c r="E198" s="9" t="s">
        <v>62</v>
      </c>
      <c r="F198" s="9" t="s">
        <v>309</v>
      </c>
      <c r="G198" s="9"/>
      <c r="H198" s="9"/>
      <c r="I198" s="9"/>
      <c r="J198" s="1061"/>
      <c r="K198" s="1061"/>
      <c r="L198" s="1061"/>
      <c r="M198" s="1550"/>
      <c r="N198" s="2389"/>
      <c r="O198" s="2485"/>
      <c r="P198" s="2486"/>
      <c r="Q198" s="2487"/>
      <c r="R198" s="2488"/>
      <c r="S198" s="1972"/>
      <c r="T198" s="1972"/>
      <c r="U198" s="1972"/>
      <c r="V198" s="2389"/>
      <c r="W198" s="2389"/>
      <c r="Y198" s="1"/>
      <c r="Z198" s="237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 s="2" customFormat="1" ht="52" hidden="1" x14ac:dyDescent="0.25">
      <c r="A199" s="32"/>
      <c r="B199" s="49" t="s">
        <v>772</v>
      </c>
      <c r="C199" s="9"/>
      <c r="D199" s="9" t="s">
        <v>295</v>
      </c>
      <c r="E199" s="9" t="s">
        <v>62</v>
      </c>
      <c r="F199" s="9" t="s">
        <v>307</v>
      </c>
      <c r="G199" s="9"/>
      <c r="H199" s="9"/>
      <c r="I199" s="9"/>
      <c r="J199" s="1061"/>
      <c r="K199" s="1061"/>
      <c r="L199" s="1061"/>
      <c r="M199" s="1550"/>
      <c r="N199" s="2389"/>
      <c r="O199" s="2485"/>
      <c r="P199" s="2486"/>
      <c r="Q199" s="2487"/>
      <c r="R199" s="2488"/>
      <c r="S199" s="1972"/>
      <c r="T199" s="1972"/>
      <c r="U199" s="1972"/>
      <c r="V199" s="2389"/>
      <c r="W199" s="2389"/>
      <c r="Y199" s="1"/>
      <c r="Z199" s="237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 s="2" customFormat="1" ht="78" hidden="1" x14ac:dyDescent="0.3">
      <c r="A200" s="32"/>
      <c r="B200" s="157" t="s">
        <v>780</v>
      </c>
      <c r="C200" s="9"/>
      <c r="D200" s="9" t="s">
        <v>295</v>
      </c>
      <c r="E200" s="9" t="s">
        <v>62</v>
      </c>
      <c r="F200" s="34" t="s">
        <v>305</v>
      </c>
      <c r="G200" s="9"/>
      <c r="H200" s="9"/>
      <c r="I200" s="9"/>
      <c r="J200" s="1059">
        <f>J201</f>
        <v>0</v>
      </c>
      <c r="K200" s="1059"/>
      <c r="L200" s="1059">
        <f t="shared" ref="L200:R201" si="138">L201</f>
        <v>3600</v>
      </c>
      <c r="M200" s="1551">
        <f t="shared" si="138"/>
        <v>850</v>
      </c>
      <c r="N200" s="2489">
        <f t="shared" si="138"/>
        <v>0</v>
      </c>
      <c r="O200" s="2490">
        <f t="shared" si="138"/>
        <v>0</v>
      </c>
      <c r="P200" s="2491">
        <f t="shared" si="138"/>
        <v>0</v>
      </c>
      <c r="Q200" s="2492">
        <f t="shared" si="138"/>
        <v>0</v>
      </c>
      <c r="R200" s="2493">
        <f t="shared" si="138"/>
        <v>0</v>
      </c>
      <c r="S200" s="2494"/>
      <c r="T200" s="2494"/>
      <c r="U200" s="1972"/>
      <c r="V200" s="2489">
        <f t="shared" ref="V200:W201" si="139">V201</f>
        <v>0</v>
      </c>
      <c r="W200" s="2489">
        <f t="shared" si="139"/>
        <v>0</v>
      </c>
      <c r="Y200" s="1"/>
      <c r="Z200" s="237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 s="2" customFormat="1" ht="91" hidden="1" x14ac:dyDescent="0.3">
      <c r="A201" s="32"/>
      <c r="B201" s="49" t="s">
        <v>781</v>
      </c>
      <c r="C201" s="9"/>
      <c r="D201" s="9" t="s">
        <v>295</v>
      </c>
      <c r="E201" s="9" t="s">
        <v>62</v>
      </c>
      <c r="F201" s="9" t="s">
        <v>301</v>
      </c>
      <c r="G201" s="9"/>
      <c r="H201" s="9"/>
      <c r="I201" s="9"/>
      <c r="J201" s="1061">
        <f>J202</f>
        <v>0</v>
      </c>
      <c r="K201" s="1061"/>
      <c r="L201" s="1061">
        <f t="shared" si="138"/>
        <v>3600</v>
      </c>
      <c r="M201" s="1550">
        <f t="shared" si="138"/>
        <v>850</v>
      </c>
      <c r="N201" s="2389">
        <f t="shared" si="138"/>
        <v>0</v>
      </c>
      <c r="O201" s="2485">
        <f t="shared" si="138"/>
        <v>0</v>
      </c>
      <c r="P201" s="2486">
        <f t="shared" si="138"/>
        <v>0</v>
      </c>
      <c r="Q201" s="2487">
        <f t="shared" si="138"/>
        <v>0</v>
      </c>
      <c r="R201" s="2488">
        <f t="shared" si="138"/>
        <v>0</v>
      </c>
      <c r="S201" s="2494"/>
      <c r="T201" s="2494"/>
      <c r="U201" s="1972"/>
      <c r="V201" s="2389">
        <f t="shared" si="139"/>
        <v>0</v>
      </c>
      <c r="W201" s="2389">
        <f t="shared" si="139"/>
        <v>0</v>
      </c>
      <c r="Y201" s="1"/>
      <c r="Z201" s="237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 s="2" customFormat="1" ht="26" hidden="1" x14ac:dyDescent="0.3">
      <c r="A202" s="32"/>
      <c r="B202" s="1993" t="s">
        <v>4</v>
      </c>
      <c r="C202" s="9"/>
      <c r="D202" s="9" t="s">
        <v>295</v>
      </c>
      <c r="E202" s="9" t="s">
        <v>62</v>
      </c>
      <c r="F202" s="9" t="s">
        <v>301</v>
      </c>
      <c r="G202" s="9" t="s">
        <v>1</v>
      </c>
      <c r="H202" s="9"/>
      <c r="I202" s="9"/>
      <c r="J202" s="1061">
        <f>J204</f>
        <v>0</v>
      </c>
      <c r="K202" s="1061"/>
      <c r="L202" s="1061">
        <v>3600</v>
      </c>
      <c r="M202" s="1550">
        <v>850</v>
      </c>
      <c r="N202" s="2389">
        <f>N204</f>
        <v>0</v>
      </c>
      <c r="O202" s="2485">
        <f>O204</f>
        <v>0</v>
      </c>
      <c r="P202" s="2486">
        <f>P204</f>
        <v>0</v>
      </c>
      <c r="Q202" s="2487">
        <f>Q204</f>
        <v>0</v>
      </c>
      <c r="R202" s="2488">
        <f>R204</f>
        <v>0</v>
      </c>
      <c r="S202" s="2494"/>
      <c r="T202" s="2494"/>
      <c r="U202" s="1972"/>
      <c r="V202" s="2389">
        <f>V204</f>
        <v>0</v>
      </c>
      <c r="W202" s="2389">
        <f>W204</f>
        <v>0</v>
      </c>
      <c r="Y202" s="1"/>
      <c r="Z202" s="237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 s="2" customFormat="1" ht="52" hidden="1" x14ac:dyDescent="0.3">
      <c r="A203" s="32"/>
      <c r="B203" s="49" t="s">
        <v>303</v>
      </c>
      <c r="C203" s="9"/>
      <c r="D203" s="9" t="s">
        <v>295</v>
      </c>
      <c r="E203" s="9" t="s">
        <v>62</v>
      </c>
      <c r="F203" s="9" t="s">
        <v>302</v>
      </c>
      <c r="G203" s="9"/>
      <c r="H203" s="9"/>
      <c r="I203" s="9" t="s">
        <v>62</v>
      </c>
      <c r="J203" s="1063"/>
      <c r="K203" s="1063"/>
      <c r="L203" s="1063"/>
      <c r="M203" s="1125"/>
      <c r="N203" s="2389"/>
      <c r="O203" s="2485"/>
      <c r="P203" s="2486"/>
      <c r="Q203" s="2487"/>
      <c r="R203" s="2488"/>
      <c r="S203" s="2494"/>
      <c r="T203" s="2494"/>
      <c r="U203" s="1972"/>
      <c r="V203" s="2389"/>
      <c r="W203" s="2389"/>
      <c r="Y203" s="1"/>
      <c r="Z203" s="237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</row>
    <row r="204" spans="1:256" s="2" customFormat="1" ht="15" hidden="1" x14ac:dyDescent="0.3">
      <c r="A204" s="32"/>
      <c r="B204" s="49" t="s">
        <v>64</v>
      </c>
      <c r="C204" s="9"/>
      <c r="D204" s="9"/>
      <c r="E204" s="9"/>
      <c r="F204" s="9" t="s">
        <v>301</v>
      </c>
      <c r="G204" s="9" t="s">
        <v>1</v>
      </c>
      <c r="H204" s="9" t="s">
        <v>464</v>
      </c>
      <c r="I204" s="9" t="s">
        <v>463</v>
      </c>
      <c r="J204" s="1061"/>
      <c r="K204" s="1061"/>
      <c r="L204" s="1061">
        <v>3600</v>
      </c>
      <c r="M204" s="1550">
        <v>850</v>
      </c>
      <c r="N204" s="2389"/>
      <c r="O204" s="2485"/>
      <c r="P204" s="2486"/>
      <c r="Q204" s="2487"/>
      <c r="R204" s="2488"/>
      <c r="S204" s="2494"/>
      <c r="T204" s="2494"/>
      <c r="U204" s="1972"/>
      <c r="V204" s="2389"/>
      <c r="W204" s="2389"/>
      <c r="Y204" s="1"/>
      <c r="Z204" s="237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</row>
    <row r="205" spans="1:256" s="2" customFormat="1" ht="39" x14ac:dyDescent="0.3">
      <c r="A205" s="32"/>
      <c r="B205" s="157" t="s">
        <v>300</v>
      </c>
      <c r="C205" s="9"/>
      <c r="D205" s="9" t="s">
        <v>295</v>
      </c>
      <c r="E205" s="9" t="s">
        <v>62</v>
      </c>
      <c r="F205" s="9" t="s">
        <v>299</v>
      </c>
      <c r="G205" s="9"/>
      <c r="H205" s="9"/>
      <c r="I205" s="9"/>
      <c r="J205" s="1065">
        <f>J206</f>
        <v>330</v>
      </c>
      <c r="K205" s="1065"/>
      <c r="L205" s="1065">
        <f t="shared" ref="L205:R205" si="140">L206</f>
        <v>330</v>
      </c>
      <c r="M205" s="1552">
        <f t="shared" si="140"/>
        <v>335</v>
      </c>
      <c r="N205" s="2481">
        <f>N206+N211</f>
        <v>700</v>
      </c>
      <c r="O205" s="2495">
        <f t="shared" si="140"/>
        <v>450</v>
      </c>
      <c r="P205" s="2496">
        <f t="shared" si="140"/>
        <v>500</v>
      </c>
      <c r="Q205" s="2497">
        <f t="shared" si="140"/>
        <v>650</v>
      </c>
      <c r="R205" s="2484">
        <f t="shared" si="140"/>
        <v>700</v>
      </c>
      <c r="S205" s="2494"/>
      <c r="T205" s="2494"/>
      <c r="U205" s="1972"/>
      <c r="V205" s="2481">
        <f t="shared" ref="V205:W205" si="141">V206+V211</f>
        <v>750</v>
      </c>
      <c r="W205" s="2481">
        <f t="shared" si="141"/>
        <v>800</v>
      </c>
      <c r="Y205" s="1"/>
      <c r="Z205" s="237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</row>
    <row r="206" spans="1:256" s="2" customFormat="1" ht="26" x14ac:dyDescent="0.25">
      <c r="A206" s="32"/>
      <c r="B206" s="1092" t="s">
        <v>298</v>
      </c>
      <c r="C206" s="9"/>
      <c r="D206" s="9" t="s">
        <v>295</v>
      </c>
      <c r="E206" s="9" t="s">
        <v>62</v>
      </c>
      <c r="F206" s="9" t="s">
        <v>297</v>
      </c>
      <c r="G206" s="9"/>
      <c r="H206" s="9"/>
      <c r="I206" s="9"/>
      <c r="J206" s="1063">
        <f>J209</f>
        <v>330</v>
      </c>
      <c r="K206" s="1063"/>
      <c r="L206" s="1063">
        <f>L209</f>
        <v>330</v>
      </c>
      <c r="M206" s="1125">
        <v>335</v>
      </c>
      <c r="N206" s="2389">
        <f>N207</f>
        <v>700</v>
      </c>
      <c r="O206" s="2485">
        <f t="shared" ref="O206:R207" si="142">O209</f>
        <v>450</v>
      </c>
      <c r="P206" s="2486">
        <f t="shared" si="142"/>
        <v>500</v>
      </c>
      <c r="Q206" s="2487">
        <f t="shared" si="142"/>
        <v>650</v>
      </c>
      <c r="R206" s="2488">
        <f t="shared" si="142"/>
        <v>700</v>
      </c>
      <c r="S206" s="1972"/>
      <c r="T206" s="1972"/>
      <c r="U206" s="1972"/>
      <c r="V206" s="2389">
        <f t="shared" ref="V206:W209" si="143">V207</f>
        <v>750</v>
      </c>
      <c r="W206" s="2389">
        <f t="shared" si="143"/>
        <v>800</v>
      </c>
      <c r="Y206" s="1"/>
      <c r="Z206" s="237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</row>
    <row r="207" spans="1:256" s="2" customFormat="1" ht="26" x14ac:dyDescent="0.25">
      <c r="A207" s="32"/>
      <c r="B207" s="49" t="s">
        <v>296</v>
      </c>
      <c r="C207" s="9"/>
      <c r="D207" s="9" t="s">
        <v>295</v>
      </c>
      <c r="E207" s="9" t="s">
        <v>62</v>
      </c>
      <c r="F207" s="9" t="s">
        <v>294</v>
      </c>
      <c r="G207" s="9"/>
      <c r="H207" s="9"/>
      <c r="I207" s="9"/>
      <c r="J207" s="1063">
        <f>J210</f>
        <v>330</v>
      </c>
      <c r="K207" s="1063"/>
      <c r="L207" s="1063"/>
      <c r="M207" s="1125"/>
      <c r="N207" s="2389">
        <f>N209</f>
        <v>700</v>
      </c>
      <c r="O207" s="2485">
        <f t="shared" si="142"/>
        <v>450</v>
      </c>
      <c r="P207" s="2486">
        <f t="shared" si="142"/>
        <v>500</v>
      </c>
      <c r="Q207" s="2487">
        <f t="shared" si="142"/>
        <v>650</v>
      </c>
      <c r="R207" s="2488">
        <f t="shared" si="142"/>
        <v>700</v>
      </c>
      <c r="S207" s="1972"/>
      <c r="T207" s="1972"/>
      <c r="U207" s="1972"/>
      <c r="V207" s="2389">
        <f>V209</f>
        <v>750</v>
      </c>
      <c r="W207" s="2389">
        <f>W209</f>
        <v>800</v>
      </c>
      <c r="Y207" s="1"/>
      <c r="Z207" s="237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</row>
    <row r="208" spans="1:256" s="2" customFormat="1" ht="26" x14ac:dyDescent="0.25">
      <c r="A208" s="32"/>
      <c r="B208" s="49" t="s">
        <v>1048</v>
      </c>
      <c r="C208" s="9"/>
      <c r="D208" s="9"/>
      <c r="E208" s="9"/>
      <c r="F208" s="9" t="s">
        <v>294</v>
      </c>
      <c r="G208" s="9" t="s">
        <v>955</v>
      </c>
      <c r="H208" s="9"/>
      <c r="I208" s="9"/>
      <c r="J208" s="1063"/>
      <c r="K208" s="1063"/>
      <c r="L208" s="1063"/>
      <c r="M208" s="1125"/>
      <c r="N208" s="2389">
        <f>N209</f>
        <v>700</v>
      </c>
      <c r="O208" s="2485"/>
      <c r="P208" s="2486"/>
      <c r="Q208" s="2487"/>
      <c r="R208" s="2488"/>
      <c r="S208" s="1972"/>
      <c r="T208" s="1972"/>
      <c r="U208" s="1972"/>
      <c r="V208" s="2389">
        <f>V209</f>
        <v>750</v>
      </c>
      <c r="W208" s="2389">
        <f>W209</f>
        <v>800</v>
      </c>
      <c r="Y208" s="1"/>
      <c r="Z208" s="237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</row>
    <row r="209" spans="1:256" s="2" customFormat="1" ht="25.15" customHeight="1" x14ac:dyDescent="0.25">
      <c r="A209" s="32"/>
      <c r="B209" s="1993" t="s">
        <v>4</v>
      </c>
      <c r="C209" s="9"/>
      <c r="D209" s="9" t="s">
        <v>295</v>
      </c>
      <c r="E209" s="9" t="s">
        <v>62</v>
      </c>
      <c r="F209" s="9" t="s">
        <v>294</v>
      </c>
      <c r="G209" s="9" t="s">
        <v>1</v>
      </c>
      <c r="H209" s="9"/>
      <c r="I209" s="9"/>
      <c r="J209" s="1063">
        <f>J210</f>
        <v>330</v>
      </c>
      <c r="K209" s="1063"/>
      <c r="L209" s="1063">
        <v>330</v>
      </c>
      <c r="M209" s="1125">
        <v>330</v>
      </c>
      <c r="N209" s="2389">
        <f>N210</f>
        <v>700</v>
      </c>
      <c r="O209" s="2485">
        <f>O210</f>
        <v>450</v>
      </c>
      <c r="P209" s="2486">
        <f>P210</f>
        <v>500</v>
      </c>
      <c r="Q209" s="2487">
        <f>Q210</f>
        <v>650</v>
      </c>
      <c r="R209" s="2488">
        <f>R210</f>
        <v>700</v>
      </c>
      <c r="S209" s="1972"/>
      <c r="T209" s="1972"/>
      <c r="U209" s="1972"/>
      <c r="V209" s="2389">
        <f t="shared" si="143"/>
        <v>750</v>
      </c>
      <c r="W209" s="2389">
        <f t="shared" si="143"/>
        <v>800</v>
      </c>
      <c r="Y209" s="1"/>
      <c r="Z209" s="237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</row>
    <row r="210" spans="1:256" ht="13.9" customHeight="1" x14ac:dyDescent="0.25">
      <c r="A210" s="32"/>
      <c r="B210" s="49" t="s">
        <v>64</v>
      </c>
      <c r="C210" s="9"/>
      <c r="D210" s="9"/>
      <c r="E210" s="9"/>
      <c r="F210" s="9" t="s">
        <v>294</v>
      </c>
      <c r="G210" s="9" t="s">
        <v>1</v>
      </c>
      <c r="H210" s="9" t="s">
        <v>464</v>
      </c>
      <c r="I210" s="9" t="s">
        <v>463</v>
      </c>
      <c r="J210" s="1063">
        <v>330</v>
      </c>
      <c r="K210" s="1063"/>
      <c r="L210" s="1063">
        <v>330</v>
      </c>
      <c r="M210" s="1125">
        <v>330</v>
      </c>
      <c r="N210" s="2389">
        <v>700</v>
      </c>
      <c r="O210" s="2485">
        <v>450</v>
      </c>
      <c r="P210" s="2486">
        <v>500</v>
      </c>
      <c r="Q210" s="2487">
        <v>650</v>
      </c>
      <c r="R210" s="2488">
        <v>700</v>
      </c>
      <c r="S210" s="1972"/>
      <c r="T210" s="1972"/>
      <c r="U210" s="1972"/>
      <c r="V210" s="2389">
        <v>750</v>
      </c>
      <c r="W210" s="2389">
        <v>800</v>
      </c>
    </row>
    <row r="211" spans="1:256" ht="41.15" hidden="1" customHeight="1" x14ac:dyDescent="0.25">
      <c r="A211" s="32"/>
      <c r="B211" s="49" t="s">
        <v>1057</v>
      </c>
      <c r="C211" s="9"/>
      <c r="D211" s="9"/>
      <c r="E211" s="9"/>
      <c r="F211" s="9" t="s">
        <v>472</v>
      </c>
      <c r="G211" s="9"/>
      <c r="H211" s="9"/>
      <c r="I211" s="9"/>
      <c r="J211" s="1063"/>
      <c r="K211" s="1063"/>
      <c r="L211" s="1063"/>
      <c r="M211" s="1125"/>
      <c r="N211" s="2389">
        <f>N212</f>
        <v>0</v>
      </c>
      <c r="O211" s="2485"/>
      <c r="P211" s="2486"/>
      <c r="Q211" s="2487"/>
      <c r="R211" s="2488"/>
      <c r="S211" s="1972"/>
      <c r="T211" s="1972"/>
      <c r="U211" s="1972"/>
      <c r="V211" s="2389">
        <f t="shared" ref="V211:W214" si="144">V212</f>
        <v>0</v>
      </c>
      <c r="W211" s="2389">
        <f t="shared" si="144"/>
        <v>0</v>
      </c>
    </row>
    <row r="212" spans="1:256" ht="13.9" hidden="1" customHeight="1" x14ac:dyDescent="0.25">
      <c r="A212" s="32"/>
      <c r="B212" s="49" t="s">
        <v>1058</v>
      </c>
      <c r="C212" s="9"/>
      <c r="D212" s="9"/>
      <c r="E212" s="9"/>
      <c r="F212" s="9" t="s">
        <v>1056</v>
      </c>
      <c r="G212" s="9"/>
      <c r="H212" s="9"/>
      <c r="I212" s="9"/>
      <c r="J212" s="1063"/>
      <c r="K212" s="1063"/>
      <c r="L212" s="1063"/>
      <c r="M212" s="1125"/>
      <c r="N212" s="2389">
        <f>N214</f>
        <v>0</v>
      </c>
      <c r="O212" s="2485"/>
      <c r="P212" s="2486"/>
      <c r="Q212" s="2487"/>
      <c r="R212" s="2488"/>
      <c r="S212" s="1972"/>
      <c r="T212" s="1972"/>
      <c r="U212" s="1972"/>
      <c r="V212" s="2389">
        <f>V214</f>
        <v>0</v>
      </c>
      <c r="W212" s="2389">
        <f>W214</f>
        <v>0</v>
      </c>
    </row>
    <row r="213" spans="1:256" ht="23.15" hidden="1" customHeight="1" x14ac:dyDescent="0.25">
      <c r="A213" s="32"/>
      <c r="B213" s="49" t="s">
        <v>1061</v>
      </c>
      <c r="C213" s="9"/>
      <c r="D213" s="9"/>
      <c r="E213" s="9"/>
      <c r="F213" s="9" t="s">
        <v>1056</v>
      </c>
      <c r="G213" s="9" t="s">
        <v>1060</v>
      </c>
      <c r="H213" s="9"/>
      <c r="I213" s="9"/>
      <c r="J213" s="1063"/>
      <c r="K213" s="1063"/>
      <c r="L213" s="1063"/>
      <c r="M213" s="1125"/>
      <c r="N213" s="2389">
        <f>N214</f>
        <v>0</v>
      </c>
      <c r="O213" s="2485"/>
      <c r="P213" s="2486"/>
      <c r="Q213" s="2487"/>
      <c r="R213" s="2488"/>
      <c r="S213" s="1972"/>
      <c r="T213" s="1972"/>
      <c r="U213" s="1972"/>
      <c r="V213" s="2389">
        <f>V214</f>
        <v>0</v>
      </c>
      <c r="W213" s="2389">
        <f>W214</f>
        <v>0</v>
      </c>
    </row>
    <row r="214" spans="1:256" ht="13.9" hidden="1" customHeight="1" x14ac:dyDescent="0.25">
      <c r="A214" s="32"/>
      <c r="B214" s="58" t="s">
        <v>28</v>
      </c>
      <c r="C214" s="9"/>
      <c r="D214" s="9"/>
      <c r="E214" s="9"/>
      <c r="F214" s="9" t="s">
        <v>1056</v>
      </c>
      <c r="G214" s="9" t="s">
        <v>26</v>
      </c>
      <c r="H214" s="9"/>
      <c r="I214" s="9"/>
      <c r="J214" s="1063"/>
      <c r="K214" s="1063"/>
      <c r="L214" s="1063"/>
      <c r="M214" s="1125"/>
      <c r="N214" s="2389">
        <f>N215</f>
        <v>0</v>
      </c>
      <c r="O214" s="2485"/>
      <c r="P214" s="2486"/>
      <c r="Q214" s="2487"/>
      <c r="R214" s="2488"/>
      <c r="S214" s="1972"/>
      <c r="T214" s="1972"/>
      <c r="U214" s="1972"/>
      <c r="V214" s="2389">
        <f t="shared" si="144"/>
        <v>0</v>
      </c>
      <c r="W214" s="2389">
        <f t="shared" si="144"/>
        <v>0</v>
      </c>
    </row>
    <row r="215" spans="1:256" ht="13.9" hidden="1" customHeight="1" x14ac:dyDescent="0.25">
      <c r="A215" s="32"/>
      <c r="B215" s="49" t="s">
        <v>64</v>
      </c>
      <c r="C215" s="9"/>
      <c r="D215" s="9"/>
      <c r="E215" s="9"/>
      <c r="F215" s="9" t="s">
        <v>1056</v>
      </c>
      <c r="G215" s="9" t="s">
        <v>26</v>
      </c>
      <c r="H215" s="9" t="s">
        <v>464</v>
      </c>
      <c r="I215" s="9" t="s">
        <v>463</v>
      </c>
      <c r="J215" s="1063"/>
      <c r="K215" s="1063"/>
      <c r="L215" s="1063"/>
      <c r="M215" s="1125"/>
      <c r="N215" s="2389">
        <v>0</v>
      </c>
      <c r="O215" s="2485"/>
      <c r="P215" s="2486"/>
      <c r="Q215" s="2487"/>
      <c r="R215" s="2488"/>
      <c r="S215" s="1972"/>
      <c r="T215" s="1972"/>
      <c r="U215" s="1972"/>
      <c r="V215" s="2389">
        <f>1000-307-693</f>
        <v>0</v>
      </c>
      <c r="W215" s="2389">
        <f>1000-320-680</f>
        <v>0</v>
      </c>
    </row>
    <row r="216" spans="1:256" s="83" customFormat="1" ht="51.75" customHeight="1" x14ac:dyDescent="0.3">
      <c r="A216" s="91">
        <v>2</v>
      </c>
      <c r="B216" s="52" t="s">
        <v>907</v>
      </c>
      <c r="C216" s="9"/>
      <c r="D216" s="34" t="s">
        <v>52</v>
      </c>
      <c r="E216" s="34" t="s">
        <v>49</v>
      </c>
      <c r="F216" s="34" t="s">
        <v>292</v>
      </c>
      <c r="G216" s="131"/>
      <c r="H216" s="131"/>
      <c r="I216" s="34"/>
      <c r="J216" s="51">
        <f>J218</f>
        <v>305</v>
      </c>
      <c r="K216" s="51"/>
      <c r="L216" s="51">
        <f t="shared" ref="L216:R216" si="145">L218</f>
        <v>305</v>
      </c>
      <c r="M216" s="1553">
        <f t="shared" si="145"/>
        <v>310</v>
      </c>
      <c r="N216" s="2481">
        <f t="shared" si="145"/>
        <v>350</v>
      </c>
      <c r="O216" s="2498">
        <f t="shared" si="145"/>
        <v>315</v>
      </c>
      <c r="P216" s="2499">
        <f t="shared" si="145"/>
        <v>320</v>
      </c>
      <c r="Q216" s="2500">
        <f t="shared" si="145"/>
        <v>330</v>
      </c>
      <c r="R216" s="2501">
        <f t="shared" si="145"/>
        <v>350</v>
      </c>
      <c r="S216" s="2502"/>
      <c r="T216" s="2502"/>
      <c r="U216" s="2502"/>
      <c r="V216" s="2481">
        <f t="shared" ref="V216:W216" si="146">V218</f>
        <v>370</v>
      </c>
      <c r="W216" s="2481">
        <f t="shared" si="146"/>
        <v>390</v>
      </c>
      <c r="X216" s="84"/>
      <c r="Z216" s="2141"/>
    </row>
    <row r="217" spans="1:256" s="83" customFormat="1" ht="78" hidden="1" customHeight="1" x14ac:dyDescent="0.3">
      <c r="A217" s="85"/>
      <c r="B217" s="170" t="s">
        <v>755</v>
      </c>
      <c r="C217" s="84"/>
      <c r="D217" s="33" t="s">
        <v>52</v>
      </c>
      <c r="E217" s="33" t="s">
        <v>49</v>
      </c>
      <c r="F217" s="33" t="s">
        <v>290</v>
      </c>
      <c r="G217" s="9"/>
      <c r="H217" s="9"/>
      <c r="I217" s="33"/>
      <c r="J217" s="1065"/>
      <c r="K217" s="1065"/>
      <c r="L217" s="1065"/>
      <c r="M217" s="1552"/>
      <c r="N217" s="2481"/>
      <c r="O217" s="2495"/>
      <c r="P217" s="2496"/>
      <c r="Q217" s="2497"/>
      <c r="R217" s="2484"/>
      <c r="S217" s="2502"/>
      <c r="T217" s="2502"/>
      <c r="U217" s="2502"/>
      <c r="V217" s="2481"/>
      <c r="W217" s="2481"/>
      <c r="X217" s="84"/>
      <c r="Z217" s="2141"/>
    </row>
    <row r="218" spans="1:256" s="83" customFormat="1" ht="55" customHeight="1" x14ac:dyDescent="0.3">
      <c r="A218" s="85"/>
      <c r="B218" s="1093" t="s">
        <v>289</v>
      </c>
      <c r="C218" s="9"/>
      <c r="D218" s="33" t="s">
        <v>52</v>
      </c>
      <c r="E218" s="33" t="s">
        <v>49</v>
      </c>
      <c r="F218" s="9" t="s">
        <v>286</v>
      </c>
      <c r="G218" s="9"/>
      <c r="H218" s="9"/>
      <c r="I218" s="33"/>
      <c r="J218" s="1063">
        <f>J221</f>
        <v>305</v>
      </c>
      <c r="K218" s="1065"/>
      <c r="L218" s="1065">
        <f t="shared" ref="L218:R218" si="147">L221</f>
        <v>305</v>
      </c>
      <c r="M218" s="1552">
        <f t="shared" si="147"/>
        <v>310</v>
      </c>
      <c r="N218" s="2389">
        <f t="shared" si="147"/>
        <v>350</v>
      </c>
      <c r="O218" s="2485">
        <f t="shared" si="147"/>
        <v>315</v>
      </c>
      <c r="P218" s="2486">
        <f t="shared" si="147"/>
        <v>320</v>
      </c>
      <c r="Q218" s="2487">
        <f t="shared" si="147"/>
        <v>330</v>
      </c>
      <c r="R218" s="2488">
        <f t="shared" si="147"/>
        <v>350</v>
      </c>
      <c r="S218" s="2502"/>
      <c r="T218" s="2502"/>
      <c r="U218" s="2502"/>
      <c r="V218" s="2389">
        <f t="shared" ref="V218:W218" si="148">V221</f>
        <v>370</v>
      </c>
      <c r="W218" s="2389">
        <f t="shared" si="148"/>
        <v>390</v>
      </c>
      <c r="X218" s="84"/>
      <c r="Z218" s="2141"/>
    </row>
    <row r="219" spans="1:256" s="83" customFormat="1" ht="26" x14ac:dyDescent="0.3">
      <c r="A219" s="85"/>
      <c r="B219" s="1094" t="s">
        <v>287</v>
      </c>
      <c r="C219" s="9"/>
      <c r="D219" s="33"/>
      <c r="E219" s="33"/>
      <c r="F219" s="9" t="s">
        <v>286</v>
      </c>
      <c r="G219" s="9"/>
      <c r="H219" s="9"/>
      <c r="I219" s="33"/>
      <c r="J219" s="1063">
        <f>J221</f>
        <v>305</v>
      </c>
      <c r="K219" s="1065"/>
      <c r="L219" s="1065"/>
      <c r="M219" s="1552"/>
      <c r="N219" s="2389">
        <f>N221</f>
        <v>350</v>
      </c>
      <c r="O219" s="2485">
        <f>O221</f>
        <v>315</v>
      </c>
      <c r="P219" s="2486">
        <f>P221</f>
        <v>320</v>
      </c>
      <c r="Q219" s="2487">
        <f>Q221</f>
        <v>330</v>
      </c>
      <c r="R219" s="2488">
        <f>R221</f>
        <v>350</v>
      </c>
      <c r="S219" s="2502"/>
      <c r="T219" s="2502"/>
      <c r="U219" s="2502"/>
      <c r="V219" s="2389">
        <f>V221</f>
        <v>370</v>
      </c>
      <c r="W219" s="2389">
        <f>W221</f>
        <v>390</v>
      </c>
      <c r="X219" s="84"/>
      <c r="Z219" s="2141"/>
    </row>
    <row r="220" spans="1:256" s="83" customFormat="1" ht="26" x14ac:dyDescent="0.3">
      <c r="A220" s="85"/>
      <c r="B220" s="49" t="s">
        <v>1048</v>
      </c>
      <c r="C220" s="9"/>
      <c r="D220" s="33"/>
      <c r="E220" s="33"/>
      <c r="F220" s="9" t="s">
        <v>286</v>
      </c>
      <c r="G220" s="9" t="s">
        <v>955</v>
      </c>
      <c r="H220" s="9"/>
      <c r="I220" s="33"/>
      <c r="J220" s="1063"/>
      <c r="K220" s="1065"/>
      <c r="L220" s="1065"/>
      <c r="M220" s="1552"/>
      <c r="N220" s="2389">
        <f>N221</f>
        <v>350</v>
      </c>
      <c r="O220" s="2485"/>
      <c r="P220" s="2486"/>
      <c r="Q220" s="2487"/>
      <c r="R220" s="2488"/>
      <c r="S220" s="2502"/>
      <c r="T220" s="2502"/>
      <c r="U220" s="2502"/>
      <c r="V220" s="2389">
        <f>V221</f>
        <v>370</v>
      </c>
      <c r="W220" s="2389">
        <f>W221</f>
        <v>390</v>
      </c>
      <c r="X220" s="84"/>
      <c r="Z220" s="2141"/>
    </row>
    <row r="221" spans="1:256" s="83" customFormat="1" ht="25.15" customHeight="1" x14ac:dyDescent="0.3">
      <c r="A221" s="85"/>
      <c r="B221" s="1993" t="s">
        <v>4</v>
      </c>
      <c r="C221" s="9"/>
      <c r="D221" s="33" t="s">
        <v>52</v>
      </c>
      <c r="E221" s="33" t="s">
        <v>49</v>
      </c>
      <c r="F221" s="9" t="s">
        <v>286</v>
      </c>
      <c r="G221" s="9" t="s">
        <v>1</v>
      </c>
      <c r="H221" s="9"/>
      <c r="I221" s="33"/>
      <c r="J221" s="1063">
        <f>J227</f>
        <v>305</v>
      </c>
      <c r="K221" s="1065"/>
      <c r="L221" s="1063">
        <v>305</v>
      </c>
      <c r="M221" s="1125">
        <v>310</v>
      </c>
      <c r="N221" s="2389">
        <f>N227</f>
        <v>350</v>
      </c>
      <c r="O221" s="2485">
        <f>O227</f>
        <v>315</v>
      </c>
      <c r="P221" s="2486">
        <f>P227</f>
        <v>320</v>
      </c>
      <c r="Q221" s="2487">
        <f>Q227</f>
        <v>330</v>
      </c>
      <c r="R221" s="2488">
        <f>R227</f>
        <v>350</v>
      </c>
      <c r="S221" s="2502"/>
      <c r="T221" s="2502"/>
      <c r="U221" s="2502"/>
      <c r="V221" s="2389">
        <f>V227</f>
        <v>370</v>
      </c>
      <c r="W221" s="2389">
        <f>W227</f>
        <v>390</v>
      </c>
      <c r="X221" s="84"/>
      <c r="Z221" s="2141"/>
    </row>
    <row r="222" spans="1:256" ht="53.5" hidden="1" customHeight="1" x14ac:dyDescent="0.25">
      <c r="A222" s="32"/>
      <c r="B222" s="52" t="s">
        <v>285</v>
      </c>
      <c r="C222" s="34"/>
      <c r="D222" s="94" t="s">
        <v>15</v>
      </c>
      <c r="E222" s="34" t="s">
        <v>9</v>
      </c>
      <c r="F222" s="34" t="s">
        <v>284</v>
      </c>
      <c r="G222" s="131"/>
      <c r="H222" s="131"/>
      <c r="I222" s="34" t="s">
        <v>9</v>
      </c>
      <c r="J222" s="131"/>
      <c r="K222" s="131"/>
      <c r="L222" s="2"/>
      <c r="M222" s="1554"/>
      <c r="N222" s="2481"/>
      <c r="O222" s="2498"/>
      <c r="P222" s="2499"/>
      <c r="Q222" s="2500"/>
      <c r="R222" s="2501"/>
      <c r="S222" s="1972"/>
      <c r="T222" s="1972"/>
      <c r="U222" s="1972"/>
      <c r="V222" s="2481"/>
      <c r="W222" s="2481"/>
    </row>
    <row r="223" spans="1:256" ht="52" hidden="1" x14ac:dyDescent="0.3">
      <c r="A223" s="32"/>
      <c r="B223" s="168" t="s">
        <v>757</v>
      </c>
      <c r="C223" s="9"/>
      <c r="D223" s="88" t="s">
        <v>15</v>
      </c>
      <c r="E223" s="9" t="s">
        <v>9</v>
      </c>
      <c r="F223" s="9" t="s">
        <v>282</v>
      </c>
      <c r="G223" s="9"/>
      <c r="H223" s="9"/>
      <c r="I223" s="9" t="s">
        <v>9</v>
      </c>
      <c r="J223" s="1058"/>
      <c r="K223" s="1058"/>
      <c r="L223" s="1058"/>
      <c r="M223" s="1555"/>
      <c r="N223" s="2489"/>
      <c r="O223" s="2490"/>
      <c r="P223" s="2491"/>
      <c r="Q223" s="2492"/>
      <c r="R223" s="2493"/>
      <c r="S223" s="1972"/>
      <c r="T223" s="1972"/>
      <c r="U223" s="1972"/>
      <c r="V223" s="2489"/>
      <c r="W223" s="2489"/>
    </row>
    <row r="224" spans="1:256" ht="81.650000000000006" hidden="1" customHeight="1" x14ac:dyDescent="0.3">
      <c r="A224" s="32"/>
      <c r="B224" s="167" t="s">
        <v>758</v>
      </c>
      <c r="C224" s="9"/>
      <c r="D224" s="88" t="s">
        <v>15</v>
      </c>
      <c r="E224" s="9" t="s">
        <v>9</v>
      </c>
      <c r="F224" s="9" t="s">
        <v>280</v>
      </c>
      <c r="G224" s="9"/>
      <c r="H224" s="9"/>
      <c r="I224" s="9" t="s">
        <v>9</v>
      </c>
      <c r="J224" s="1058"/>
      <c r="K224" s="1058"/>
      <c r="L224" s="1058"/>
      <c r="M224" s="1555"/>
      <c r="N224" s="2489"/>
      <c r="O224" s="2490"/>
      <c r="P224" s="2491"/>
      <c r="Q224" s="2492"/>
      <c r="R224" s="2493"/>
      <c r="S224" s="1972"/>
      <c r="T224" s="1972"/>
      <c r="U224" s="1972"/>
      <c r="V224" s="2489"/>
      <c r="W224" s="2489"/>
    </row>
    <row r="225" spans="1:256" ht="81" hidden="1" customHeight="1" x14ac:dyDescent="0.3">
      <c r="A225" s="32"/>
      <c r="B225" s="168" t="s">
        <v>759</v>
      </c>
      <c r="C225" s="9"/>
      <c r="D225" s="88" t="s">
        <v>15</v>
      </c>
      <c r="E225" s="9" t="s">
        <v>9</v>
      </c>
      <c r="F225" s="9" t="s">
        <v>278</v>
      </c>
      <c r="G225" s="9"/>
      <c r="H225" s="9"/>
      <c r="I225" s="9" t="s">
        <v>9</v>
      </c>
      <c r="J225" s="1065"/>
      <c r="K225" s="1065"/>
      <c r="L225" s="1065"/>
      <c r="M225" s="1552"/>
      <c r="N225" s="2481"/>
      <c r="O225" s="2495"/>
      <c r="P225" s="2496"/>
      <c r="Q225" s="2497"/>
      <c r="R225" s="2484"/>
      <c r="S225" s="1972"/>
      <c r="T225" s="1972"/>
      <c r="U225" s="1972"/>
      <c r="V225" s="2481"/>
      <c r="W225" s="2481"/>
    </row>
    <row r="226" spans="1:256" ht="52" hidden="1" x14ac:dyDescent="0.3">
      <c r="A226" s="32"/>
      <c r="B226" s="167" t="s">
        <v>760</v>
      </c>
      <c r="C226" s="9"/>
      <c r="D226" s="88" t="s">
        <v>15</v>
      </c>
      <c r="E226" s="9" t="s">
        <v>9</v>
      </c>
      <c r="F226" s="9" t="s">
        <v>276</v>
      </c>
      <c r="G226" s="9"/>
      <c r="H226" s="9"/>
      <c r="I226" s="9" t="s">
        <v>9</v>
      </c>
      <c r="J226" s="1065"/>
      <c r="K226" s="1065"/>
      <c r="L226" s="1065"/>
      <c r="M226" s="1552"/>
      <c r="N226" s="2481"/>
      <c r="O226" s="2495"/>
      <c r="P226" s="2496"/>
      <c r="Q226" s="2497"/>
      <c r="R226" s="2484"/>
      <c r="S226" s="1972"/>
      <c r="T226" s="1972"/>
      <c r="U226" s="1972"/>
      <c r="V226" s="2481"/>
      <c r="W226" s="2481"/>
    </row>
    <row r="227" spans="1:256" ht="13" x14ac:dyDescent="0.3">
      <c r="A227" s="32"/>
      <c r="B227" s="167" t="s">
        <v>51</v>
      </c>
      <c r="C227" s="9"/>
      <c r="D227" s="88"/>
      <c r="E227" s="9"/>
      <c r="F227" s="9" t="s">
        <v>275</v>
      </c>
      <c r="G227" s="9" t="s">
        <v>1</v>
      </c>
      <c r="H227" s="9" t="s">
        <v>452</v>
      </c>
      <c r="I227" s="33" t="s">
        <v>534</v>
      </c>
      <c r="J227" s="1063">
        <v>305</v>
      </c>
      <c r="K227" s="1065"/>
      <c r="L227" s="1063">
        <v>305</v>
      </c>
      <c r="M227" s="1125">
        <v>310</v>
      </c>
      <c r="N227" s="2389">
        <v>350</v>
      </c>
      <c r="O227" s="2485">
        <v>315</v>
      </c>
      <c r="P227" s="2486">
        <v>320</v>
      </c>
      <c r="Q227" s="2487">
        <v>330</v>
      </c>
      <c r="R227" s="2488">
        <v>350</v>
      </c>
      <c r="S227" s="1972"/>
      <c r="T227" s="1972"/>
      <c r="U227" s="1972"/>
      <c r="V227" s="2389">
        <v>370</v>
      </c>
      <c r="W227" s="2389">
        <v>390</v>
      </c>
    </row>
    <row r="228" spans="1:256" ht="53.25" customHeight="1" x14ac:dyDescent="0.25">
      <c r="A228" s="91">
        <v>3</v>
      </c>
      <c r="B228" s="52" t="s">
        <v>908</v>
      </c>
      <c r="C228" s="34"/>
      <c r="D228" s="34" t="s">
        <v>265</v>
      </c>
      <c r="E228" s="34" t="s">
        <v>262</v>
      </c>
      <c r="F228" s="34" t="s">
        <v>273</v>
      </c>
      <c r="G228" s="131"/>
      <c r="H228" s="131"/>
      <c r="I228" s="34"/>
      <c r="J228" s="51">
        <f>J229+J251+J268</f>
        <v>7755.5</v>
      </c>
      <c r="K228" s="51"/>
      <c r="L228" s="51">
        <f t="shared" ref="L228:R228" si="149">L229+L251+L268</f>
        <v>7755.5</v>
      </c>
      <c r="M228" s="1553">
        <f t="shared" si="149"/>
        <v>8382.5</v>
      </c>
      <c r="N228" s="2481">
        <f t="shared" si="149"/>
        <v>26148.410000000003</v>
      </c>
      <c r="O228" s="2498">
        <f t="shared" si="149"/>
        <v>8514.5999999999985</v>
      </c>
      <c r="P228" s="2499">
        <f t="shared" si="149"/>
        <v>8600</v>
      </c>
      <c r="Q228" s="2500">
        <f t="shared" si="149"/>
        <v>15553.339999999998</v>
      </c>
      <c r="R228" s="2501">
        <f t="shared" si="149"/>
        <v>16146.57</v>
      </c>
      <c r="S228" s="1972"/>
      <c r="T228" s="1972"/>
      <c r="U228" s="1972"/>
      <c r="V228" s="2481">
        <f t="shared" ref="V228:W228" si="150">V229+V251+V268</f>
        <v>24190.487999999998</v>
      </c>
      <c r="W228" s="2481">
        <f t="shared" si="150"/>
        <v>24171.095000000001</v>
      </c>
    </row>
    <row r="229" spans="1:256" ht="26" x14ac:dyDescent="0.25">
      <c r="A229" s="32"/>
      <c r="B229" s="157" t="s">
        <v>909</v>
      </c>
      <c r="C229" s="34"/>
      <c r="D229" s="34" t="s">
        <v>265</v>
      </c>
      <c r="E229" s="34" t="s">
        <v>262</v>
      </c>
      <c r="F229" s="34" t="s">
        <v>271</v>
      </c>
      <c r="G229" s="9"/>
      <c r="H229" s="9"/>
      <c r="I229" s="34"/>
      <c r="J229" s="1062">
        <f>J237</f>
        <v>272</v>
      </c>
      <c r="K229" s="1062"/>
      <c r="L229" s="1062">
        <f>L237</f>
        <v>172</v>
      </c>
      <c r="M229" s="1556">
        <f>M237</f>
        <v>184</v>
      </c>
      <c r="N229" s="2503">
        <f>N236+N240+N246+N250</f>
        <v>7347.1222200000011</v>
      </c>
      <c r="O229" s="2504">
        <f>O232</f>
        <v>302</v>
      </c>
      <c r="P229" s="2505">
        <f>P232</f>
        <v>337</v>
      </c>
      <c r="Q229" s="2506">
        <f>Q232</f>
        <v>362</v>
      </c>
      <c r="R229" s="2507">
        <f>R232</f>
        <v>377</v>
      </c>
      <c r="S229" s="1972"/>
      <c r="T229" s="1972"/>
      <c r="U229" s="1972"/>
      <c r="V229" s="2503">
        <f>V232</f>
        <v>392</v>
      </c>
      <c r="W229" s="2503">
        <f>W232</f>
        <v>402</v>
      </c>
    </row>
    <row r="230" spans="1:256" ht="75" hidden="1" customHeight="1" x14ac:dyDescent="0.25">
      <c r="A230" s="32"/>
      <c r="B230" s="90" t="s">
        <v>270</v>
      </c>
      <c r="C230" s="34"/>
      <c r="D230" s="34" t="s">
        <v>265</v>
      </c>
      <c r="E230" s="34" t="s">
        <v>262</v>
      </c>
      <c r="F230" s="9" t="s">
        <v>269</v>
      </c>
      <c r="G230" s="9"/>
      <c r="H230" s="9"/>
      <c r="I230" s="34"/>
      <c r="J230" s="1062"/>
      <c r="K230" s="1062"/>
      <c r="L230" s="1062"/>
      <c r="M230" s="1556"/>
      <c r="N230" s="2503"/>
      <c r="O230" s="2504"/>
      <c r="P230" s="2505"/>
      <c r="Q230" s="2506"/>
      <c r="R230" s="2507"/>
      <c r="S230" s="1972"/>
      <c r="T230" s="1972"/>
      <c r="U230" s="1972"/>
      <c r="V230" s="2503"/>
      <c r="W230" s="2503"/>
    </row>
    <row r="231" spans="1:256" ht="25.15" hidden="1" customHeight="1" x14ac:dyDescent="0.25">
      <c r="A231" s="32"/>
      <c r="B231" s="1993" t="s">
        <v>4</v>
      </c>
      <c r="C231" s="34"/>
      <c r="D231" s="34" t="s">
        <v>265</v>
      </c>
      <c r="E231" s="34" t="s">
        <v>262</v>
      </c>
      <c r="F231" s="9" t="s">
        <v>269</v>
      </c>
      <c r="G231" s="9" t="s">
        <v>1</v>
      </c>
      <c r="H231" s="9"/>
      <c r="I231" s="34"/>
      <c r="J231" s="1062"/>
      <c r="K231" s="1062"/>
      <c r="L231" s="1062"/>
      <c r="M231" s="1556"/>
      <c r="N231" s="2503"/>
      <c r="O231" s="2504"/>
      <c r="P231" s="2505"/>
      <c r="Q231" s="2506"/>
      <c r="R231" s="2507"/>
      <c r="S231" s="1972"/>
      <c r="T231" s="1972"/>
      <c r="U231" s="1972"/>
      <c r="V231" s="2503"/>
      <c r="W231" s="2503"/>
    </row>
    <row r="232" spans="1:256" s="2" customFormat="1" ht="25.15" customHeight="1" x14ac:dyDescent="0.25">
      <c r="A232" s="32"/>
      <c r="B232" s="1093" t="s">
        <v>268</v>
      </c>
      <c r="C232" s="34"/>
      <c r="D232" s="34"/>
      <c r="E232" s="34"/>
      <c r="F232" s="9" t="s">
        <v>267</v>
      </c>
      <c r="G232" s="9"/>
      <c r="H232" s="9"/>
      <c r="I232" s="34"/>
      <c r="J232" s="1062">
        <f>J237</f>
        <v>272</v>
      </c>
      <c r="K232" s="1062"/>
      <c r="L232" s="1062"/>
      <c r="M232" s="1556"/>
      <c r="N232" s="2503">
        <f>N237+N233</f>
        <v>377</v>
      </c>
      <c r="O232" s="2504">
        <f>O237</f>
        <v>302</v>
      </c>
      <c r="P232" s="2505">
        <f>P237</f>
        <v>337</v>
      </c>
      <c r="Q232" s="2508">
        <f t="shared" ref="Q232:R232" si="151">Q237+Q233</f>
        <v>362</v>
      </c>
      <c r="R232" s="2508">
        <f t="shared" si="151"/>
        <v>377</v>
      </c>
      <c r="S232" s="1972"/>
      <c r="T232" s="1972"/>
      <c r="U232" s="1972"/>
      <c r="V232" s="2503">
        <f>V237+V233</f>
        <v>392</v>
      </c>
      <c r="W232" s="2503">
        <f>W237+W233</f>
        <v>402</v>
      </c>
      <c r="Y232" s="1"/>
      <c r="Z232" s="237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 s="2" customFormat="1" ht="25.15" customHeight="1" x14ac:dyDescent="0.25">
      <c r="A233" s="32"/>
      <c r="B233" s="2147" t="s">
        <v>1037</v>
      </c>
      <c r="C233" s="34"/>
      <c r="D233" s="34"/>
      <c r="E233" s="34"/>
      <c r="F233" s="9" t="s">
        <v>507</v>
      </c>
      <c r="G233" s="9"/>
      <c r="H233" s="9"/>
      <c r="I233" s="34"/>
      <c r="J233" s="1062"/>
      <c r="K233" s="1062"/>
      <c r="L233" s="1062"/>
      <c r="M233" s="1556"/>
      <c r="N233" s="2503">
        <f>N234</f>
        <v>117</v>
      </c>
      <c r="O233" s="2504"/>
      <c r="P233" s="2505"/>
      <c r="Q233" s="2506">
        <f>Q234</f>
        <v>102</v>
      </c>
      <c r="R233" s="2507">
        <f>R234</f>
        <v>107</v>
      </c>
      <c r="S233" s="1972"/>
      <c r="T233" s="1972"/>
      <c r="U233" s="1972"/>
      <c r="V233" s="2503">
        <f>V234</f>
        <v>122</v>
      </c>
      <c r="W233" s="2503">
        <f>W234</f>
        <v>122</v>
      </c>
      <c r="Y233" s="1"/>
      <c r="Z233" s="237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 s="2" customFormat="1" ht="25.15" customHeight="1" x14ac:dyDescent="0.25">
      <c r="A234" s="32"/>
      <c r="B234" s="1993" t="s">
        <v>1048</v>
      </c>
      <c r="C234" s="34"/>
      <c r="D234" s="34"/>
      <c r="E234" s="34"/>
      <c r="F234" s="9" t="s">
        <v>507</v>
      </c>
      <c r="G234" s="9" t="s">
        <v>955</v>
      </c>
      <c r="H234" s="9"/>
      <c r="I234" s="34"/>
      <c r="J234" s="1062"/>
      <c r="K234" s="1062"/>
      <c r="L234" s="1062"/>
      <c r="M234" s="1556"/>
      <c r="N234" s="2503">
        <f>N236</f>
        <v>117</v>
      </c>
      <c r="O234" s="2504"/>
      <c r="P234" s="2505"/>
      <c r="Q234" s="2506">
        <f>Q236</f>
        <v>102</v>
      </c>
      <c r="R234" s="2507">
        <f>R236</f>
        <v>107</v>
      </c>
      <c r="S234" s="1972"/>
      <c r="T234" s="1972"/>
      <c r="U234" s="1972"/>
      <c r="V234" s="2503">
        <f>V236</f>
        <v>122</v>
      </c>
      <c r="W234" s="2503">
        <f>W236</f>
        <v>122</v>
      </c>
      <c r="Y234" s="1"/>
      <c r="Z234" s="237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 s="2" customFormat="1" ht="25.15" customHeight="1" x14ac:dyDescent="0.25">
      <c r="A235" s="32"/>
      <c r="B235" s="49" t="s">
        <v>4</v>
      </c>
      <c r="C235" s="34"/>
      <c r="D235" s="34"/>
      <c r="E235" s="34"/>
      <c r="F235" s="9" t="s">
        <v>507</v>
      </c>
      <c r="G235" s="9" t="s">
        <v>1</v>
      </c>
      <c r="H235" s="9"/>
      <c r="I235" s="34"/>
      <c r="J235" s="1062"/>
      <c r="K235" s="1062"/>
      <c r="L235" s="1062"/>
      <c r="M235" s="1556"/>
      <c r="N235" s="2503">
        <f>N236</f>
        <v>117</v>
      </c>
      <c r="O235" s="2504"/>
      <c r="P235" s="2505"/>
      <c r="Q235" s="2506"/>
      <c r="R235" s="2507"/>
      <c r="S235" s="1972"/>
      <c r="T235" s="1972"/>
      <c r="U235" s="1972"/>
      <c r="V235" s="2503">
        <f>V236</f>
        <v>122</v>
      </c>
      <c r="W235" s="2503">
        <f>W236</f>
        <v>122</v>
      </c>
      <c r="Y235" s="1"/>
      <c r="Z235" s="237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 s="2" customFormat="1" ht="19" customHeight="1" x14ac:dyDescent="0.25">
      <c r="A236" s="32"/>
      <c r="B236" s="2387" t="s">
        <v>964</v>
      </c>
      <c r="C236" s="34"/>
      <c r="D236" s="34"/>
      <c r="E236" s="34"/>
      <c r="F236" s="34" t="s">
        <v>507</v>
      </c>
      <c r="G236" s="9" t="s">
        <v>1</v>
      </c>
      <c r="H236" s="9" t="s">
        <v>506</v>
      </c>
      <c r="I236" s="9" t="s">
        <v>506</v>
      </c>
      <c r="J236" s="1062"/>
      <c r="K236" s="1062"/>
      <c r="L236" s="1062"/>
      <c r="M236" s="1556"/>
      <c r="N236" s="2503">
        <v>117</v>
      </c>
      <c r="O236" s="2504"/>
      <c r="P236" s="2505"/>
      <c r="Q236" s="2506">
        <v>102</v>
      </c>
      <c r="R236" s="2507">
        <v>107</v>
      </c>
      <c r="S236" s="1972"/>
      <c r="T236" s="1972"/>
      <c r="U236" s="1972"/>
      <c r="V236" s="2503">
        <v>122</v>
      </c>
      <c r="W236" s="2503">
        <v>122</v>
      </c>
      <c r="Y236" s="1"/>
      <c r="Z236" s="237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 s="2" customFormat="1" ht="13" x14ac:dyDescent="0.25">
      <c r="A237" s="32"/>
      <c r="B237" s="49" t="s">
        <v>266</v>
      </c>
      <c r="C237" s="34"/>
      <c r="D237" s="34" t="s">
        <v>265</v>
      </c>
      <c r="E237" s="34" t="s">
        <v>262</v>
      </c>
      <c r="F237" s="9" t="s">
        <v>263</v>
      </c>
      <c r="G237" s="9"/>
      <c r="H237" s="9"/>
      <c r="I237" s="34"/>
      <c r="J237" s="1062">
        <f>J239</f>
        <v>272</v>
      </c>
      <c r="K237" s="1062"/>
      <c r="L237" s="1062">
        <f t="shared" ref="L237:R237" si="152">L239</f>
        <v>172</v>
      </c>
      <c r="M237" s="1556">
        <f t="shared" si="152"/>
        <v>184</v>
      </c>
      <c r="N237" s="2503">
        <f t="shared" si="152"/>
        <v>260</v>
      </c>
      <c r="O237" s="2504">
        <f t="shared" si="152"/>
        <v>302</v>
      </c>
      <c r="P237" s="2505">
        <f t="shared" si="152"/>
        <v>337</v>
      </c>
      <c r="Q237" s="2506">
        <f t="shared" si="152"/>
        <v>260</v>
      </c>
      <c r="R237" s="2507">
        <f t="shared" si="152"/>
        <v>270</v>
      </c>
      <c r="S237" s="1972"/>
      <c r="T237" s="1972"/>
      <c r="U237" s="1972"/>
      <c r="V237" s="2503">
        <f>V239</f>
        <v>270</v>
      </c>
      <c r="W237" s="2503">
        <f>W239</f>
        <v>280</v>
      </c>
      <c r="Y237" s="1"/>
      <c r="Z237" s="237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 s="2" customFormat="1" ht="26" x14ac:dyDescent="0.25">
      <c r="A238" s="32"/>
      <c r="B238" s="49" t="s">
        <v>1048</v>
      </c>
      <c r="C238" s="34"/>
      <c r="D238" s="34"/>
      <c r="E238" s="34"/>
      <c r="F238" s="9" t="s">
        <v>263</v>
      </c>
      <c r="G238" s="9" t="s">
        <v>955</v>
      </c>
      <c r="H238" s="9"/>
      <c r="I238" s="34"/>
      <c r="J238" s="1062"/>
      <c r="K238" s="1062"/>
      <c r="L238" s="1062"/>
      <c r="M238" s="1556"/>
      <c r="N238" s="2503">
        <f>N239</f>
        <v>260</v>
      </c>
      <c r="O238" s="2504"/>
      <c r="P238" s="2505"/>
      <c r="Q238" s="2506"/>
      <c r="R238" s="2507"/>
      <c r="S238" s="1972"/>
      <c r="T238" s="1972"/>
      <c r="U238" s="1972"/>
      <c r="V238" s="2503">
        <f t="shared" ref="V238:W238" si="153">V239</f>
        <v>270</v>
      </c>
      <c r="W238" s="2503">
        <f t="shared" si="153"/>
        <v>280</v>
      </c>
      <c r="Y238" s="1"/>
      <c r="Z238" s="237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</row>
    <row r="239" spans="1:256" s="2" customFormat="1" ht="25.15" customHeight="1" x14ac:dyDescent="0.25">
      <c r="A239" s="32"/>
      <c r="B239" s="1993" t="s">
        <v>4</v>
      </c>
      <c r="C239" s="34"/>
      <c r="D239" s="34" t="s">
        <v>265</v>
      </c>
      <c r="E239" s="34" t="s">
        <v>262</v>
      </c>
      <c r="F239" s="9" t="s">
        <v>263</v>
      </c>
      <c r="G239" s="9" t="s">
        <v>1</v>
      </c>
      <c r="H239" s="9"/>
      <c r="I239" s="9"/>
      <c r="J239" s="1062">
        <f>J240</f>
        <v>272</v>
      </c>
      <c r="K239" s="1062"/>
      <c r="L239" s="1062">
        <v>172</v>
      </c>
      <c r="M239" s="1556">
        <v>184</v>
      </c>
      <c r="N239" s="2503">
        <f t="shared" ref="N239:R239" si="154">N240</f>
        <v>260</v>
      </c>
      <c r="O239" s="2504">
        <f t="shared" si="154"/>
        <v>302</v>
      </c>
      <c r="P239" s="2505">
        <f t="shared" si="154"/>
        <v>337</v>
      </c>
      <c r="Q239" s="2506">
        <f t="shared" si="154"/>
        <v>260</v>
      </c>
      <c r="R239" s="2507">
        <f t="shared" si="154"/>
        <v>270</v>
      </c>
      <c r="S239" s="1972"/>
      <c r="T239" s="1972"/>
      <c r="U239" s="1972"/>
      <c r="V239" s="2503">
        <f t="shared" ref="V239:W239" si="155">V240</f>
        <v>270</v>
      </c>
      <c r="W239" s="2503">
        <f t="shared" si="155"/>
        <v>280</v>
      </c>
      <c r="Y239" s="1"/>
      <c r="Z239" s="237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</row>
    <row r="240" spans="1:256" s="2" customFormat="1" ht="16.899999999999999" customHeight="1" x14ac:dyDescent="0.3">
      <c r="A240" s="32"/>
      <c r="B240" s="2003" t="s">
        <v>964</v>
      </c>
      <c r="C240" s="34"/>
      <c r="D240" s="34"/>
      <c r="E240" s="34"/>
      <c r="F240" s="34" t="s">
        <v>263</v>
      </c>
      <c r="G240" s="9" t="s">
        <v>1</v>
      </c>
      <c r="H240" s="9" t="s">
        <v>506</v>
      </c>
      <c r="I240" s="9" t="s">
        <v>506</v>
      </c>
      <c r="J240" s="1062">
        <v>272</v>
      </c>
      <c r="K240" s="1062"/>
      <c r="L240" s="1062">
        <v>172</v>
      </c>
      <c r="M240" s="1556">
        <v>184</v>
      </c>
      <c r="N240" s="2510">
        <v>260</v>
      </c>
      <c r="O240" s="2511">
        <v>302</v>
      </c>
      <c r="P240" s="2512">
        <v>337</v>
      </c>
      <c r="Q240" s="2513">
        <f>362-102</f>
        <v>260</v>
      </c>
      <c r="R240" s="2514">
        <f>377-107</f>
        <v>270</v>
      </c>
      <c r="S240" s="2515"/>
      <c r="T240" s="2515"/>
      <c r="U240" s="2515"/>
      <c r="V240" s="2510">
        <v>270</v>
      </c>
      <c r="W240" s="2510">
        <v>280</v>
      </c>
      <c r="Y240" s="1"/>
      <c r="Z240" s="237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</row>
    <row r="241" spans="1:256" s="2" customFormat="1" ht="48" hidden="1" customHeight="1" x14ac:dyDescent="0.25">
      <c r="A241" s="91"/>
      <c r="B241" s="52" t="s">
        <v>910</v>
      </c>
      <c r="C241" s="34"/>
      <c r="D241" s="34" t="s">
        <v>246</v>
      </c>
      <c r="E241" s="34" t="s">
        <v>85</v>
      </c>
      <c r="F241" s="34" t="s">
        <v>252</v>
      </c>
      <c r="G241" s="131"/>
      <c r="H241" s="131"/>
      <c r="I241" s="34"/>
      <c r="J241" s="51">
        <f>J251</f>
        <v>6205</v>
      </c>
      <c r="K241" s="51"/>
      <c r="L241" s="51">
        <f t="shared" ref="L241:R241" si="156">L251</f>
        <v>6305</v>
      </c>
      <c r="M241" s="1553">
        <f t="shared" si="156"/>
        <v>6960</v>
      </c>
      <c r="N241" s="2516">
        <f t="shared" si="156"/>
        <v>15057.726780000001</v>
      </c>
      <c r="O241" s="2517">
        <f t="shared" si="156"/>
        <v>6962.0999999999995</v>
      </c>
      <c r="P241" s="2518">
        <f t="shared" si="156"/>
        <v>6915</v>
      </c>
      <c r="Q241" s="2519">
        <f t="shared" si="156"/>
        <v>12173.939999999999</v>
      </c>
      <c r="R241" s="2520">
        <f t="shared" si="156"/>
        <v>12431.57</v>
      </c>
      <c r="S241" s="2515"/>
      <c r="T241" s="2515"/>
      <c r="U241" s="2515"/>
      <c r="V241" s="2516">
        <f t="shared" ref="V241:W241" si="157">V251</f>
        <v>16242.807999999999</v>
      </c>
      <c r="W241" s="2516">
        <f t="shared" si="157"/>
        <v>16990.495999999999</v>
      </c>
      <c r="Y241" s="1"/>
      <c r="Z241" s="237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</row>
    <row r="242" spans="1:256" s="2" customFormat="1" ht="25.5" customHeight="1" x14ac:dyDescent="0.25">
      <c r="A242" s="91"/>
      <c r="B242" s="1093" t="s">
        <v>1222</v>
      </c>
      <c r="C242" s="34"/>
      <c r="D242" s="34"/>
      <c r="E242" s="34"/>
      <c r="F242" s="34" t="s">
        <v>1218</v>
      </c>
      <c r="G242" s="131"/>
      <c r="H242" s="131"/>
      <c r="I242" s="34"/>
      <c r="J242" s="51"/>
      <c r="K242" s="51"/>
      <c r="L242" s="51"/>
      <c r="M242" s="1553"/>
      <c r="N242" s="2521">
        <f>N246+N250</f>
        <v>6970.1222200000011</v>
      </c>
      <c r="O242" s="2522"/>
      <c r="P242" s="2523"/>
      <c r="Q242" s="2524"/>
      <c r="R242" s="2525"/>
      <c r="S242" s="2526"/>
      <c r="T242" s="2526"/>
      <c r="U242" s="2526"/>
      <c r="V242" s="2521">
        <f>V246+V250</f>
        <v>0</v>
      </c>
      <c r="W242" s="2521">
        <f>W246+W250</f>
        <v>0</v>
      </c>
      <c r="Y242" s="1"/>
      <c r="Z242" s="237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</row>
    <row r="243" spans="1:256" s="2" customFormat="1" ht="17.149999999999999" customHeight="1" x14ac:dyDescent="0.25">
      <c r="A243" s="91"/>
      <c r="B243" s="49" t="s">
        <v>1219</v>
      </c>
      <c r="C243" s="34"/>
      <c r="D243" s="34"/>
      <c r="E243" s="34"/>
      <c r="F243" s="9" t="s">
        <v>1220</v>
      </c>
      <c r="G243" s="131"/>
      <c r="H243" s="131"/>
      <c r="I243" s="34"/>
      <c r="J243" s="51"/>
      <c r="K243" s="51"/>
      <c r="L243" s="51"/>
      <c r="M243" s="1553"/>
      <c r="N243" s="2521">
        <f>N244</f>
        <v>5126.2222200000006</v>
      </c>
      <c r="O243" s="2522"/>
      <c r="P243" s="2523"/>
      <c r="Q243" s="2524"/>
      <c r="R243" s="2525"/>
      <c r="S243" s="2526"/>
      <c r="T243" s="2526"/>
      <c r="U243" s="2526"/>
      <c r="V243" s="2521">
        <f t="shared" ref="V243:W245" si="158">V244</f>
        <v>0</v>
      </c>
      <c r="W243" s="2521">
        <f t="shared" si="158"/>
        <v>0</v>
      </c>
      <c r="Y243" s="1"/>
      <c r="Z243" s="237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</row>
    <row r="244" spans="1:256" s="2" customFormat="1" ht="25.5" customHeight="1" x14ac:dyDescent="0.25">
      <c r="A244" s="91"/>
      <c r="B244" s="1993" t="s">
        <v>1048</v>
      </c>
      <c r="C244" s="34"/>
      <c r="D244" s="34"/>
      <c r="E244" s="34"/>
      <c r="F244" s="9" t="s">
        <v>1220</v>
      </c>
      <c r="G244" s="9" t="s">
        <v>955</v>
      </c>
      <c r="H244" s="131"/>
      <c r="I244" s="34"/>
      <c r="J244" s="51"/>
      <c r="K244" s="51"/>
      <c r="L244" s="51"/>
      <c r="M244" s="1553"/>
      <c r="N244" s="2521">
        <f>N245</f>
        <v>5126.2222200000006</v>
      </c>
      <c r="O244" s="2522"/>
      <c r="P244" s="2523"/>
      <c r="Q244" s="2524"/>
      <c r="R244" s="2525"/>
      <c r="S244" s="2526"/>
      <c r="T244" s="2526"/>
      <c r="U244" s="2526"/>
      <c r="V244" s="2521">
        <f t="shared" si="158"/>
        <v>0</v>
      </c>
      <c r="W244" s="2521">
        <f t="shared" si="158"/>
        <v>0</v>
      </c>
      <c r="Y244" s="1"/>
      <c r="Z244" s="237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</row>
    <row r="245" spans="1:256" s="2" customFormat="1" ht="25.5" customHeight="1" x14ac:dyDescent="0.25">
      <c r="A245" s="91"/>
      <c r="B245" s="49" t="s">
        <v>4</v>
      </c>
      <c r="C245" s="34"/>
      <c r="D245" s="34"/>
      <c r="E245" s="34"/>
      <c r="F245" s="9" t="s">
        <v>1220</v>
      </c>
      <c r="G245" s="9" t="s">
        <v>1</v>
      </c>
      <c r="H245" s="131"/>
      <c r="I245" s="34"/>
      <c r="J245" s="51"/>
      <c r="K245" s="51"/>
      <c r="L245" s="51"/>
      <c r="M245" s="1553"/>
      <c r="N245" s="2521">
        <f>N246</f>
        <v>5126.2222200000006</v>
      </c>
      <c r="O245" s="2522"/>
      <c r="P245" s="2523"/>
      <c r="Q245" s="2524"/>
      <c r="R245" s="2525"/>
      <c r="S245" s="2526"/>
      <c r="T245" s="2526"/>
      <c r="U245" s="2526"/>
      <c r="V245" s="2521">
        <f t="shared" si="158"/>
        <v>0</v>
      </c>
      <c r="W245" s="2521">
        <f t="shared" si="158"/>
        <v>0</v>
      </c>
      <c r="Y245" s="1"/>
      <c r="Z245" s="237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</row>
    <row r="246" spans="1:256" s="2" customFormat="1" ht="25.5" customHeight="1" x14ac:dyDescent="0.25">
      <c r="A246" s="91"/>
      <c r="B246" s="2387" t="s">
        <v>964</v>
      </c>
      <c r="C246" s="34"/>
      <c r="D246" s="34"/>
      <c r="E246" s="34"/>
      <c r="F246" s="34" t="s">
        <v>1220</v>
      </c>
      <c r="G246" s="9" t="s">
        <v>1</v>
      </c>
      <c r="H246" s="9" t="s">
        <v>506</v>
      </c>
      <c r="I246" s="9" t="s">
        <v>506</v>
      </c>
      <c r="J246" s="51"/>
      <c r="K246" s="51"/>
      <c r="L246" s="51"/>
      <c r="M246" s="1553"/>
      <c r="N246" s="2521">
        <f>4613.6+500+12.62222</f>
        <v>5126.2222200000006</v>
      </c>
      <c r="O246" s="2522"/>
      <c r="P246" s="2523"/>
      <c r="Q246" s="2524"/>
      <c r="R246" s="2525"/>
      <c r="S246" s="2526"/>
      <c r="T246" s="2526"/>
      <c r="U246" s="2526"/>
      <c r="V246" s="2521">
        <v>0</v>
      </c>
      <c r="W246" s="2521">
        <v>0</v>
      </c>
      <c r="Y246" s="1"/>
      <c r="Z246" s="237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</row>
    <row r="247" spans="1:256" s="2" customFormat="1" ht="25.5" customHeight="1" x14ac:dyDescent="0.25">
      <c r="A247" s="91"/>
      <c r="B247" s="49" t="s">
        <v>1223</v>
      </c>
      <c r="C247" s="34"/>
      <c r="D247" s="34"/>
      <c r="E247" s="34"/>
      <c r="F247" s="9" t="s">
        <v>1221</v>
      </c>
      <c r="G247" s="9"/>
      <c r="H247" s="9"/>
      <c r="I247" s="9"/>
      <c r="J247" s="51"/>
      <c r="K247" s="51"/>
      <c r="L247" s="51"/>
      <c r="M247" s="1553"/>
      <c r="N247" s="2521">
        <f>N248</f>
        <v>1843.9</v>
      </c>
      <c r="O247" s="2527"/>
      <c r="P247" s="2528"/>
      <c r="Q247" s="2529"/>
      <c r="R247" s="2530"/>
      <c r="S247" s="2526"/>
      <c r="T247" s="2526"/>
      <c r="U247" s="2526"/>
      <c r="V247" s="2521">
        <f t="shared" ref="V247:W249" si="159">V248</f>
        <v>0</v>
      </c>
      <c r="W247" s="2521">
        <f t="shared" si="159"/>
        <v>0</v>
      </c>
      <c r="Y247" s="1"/>
      <c r="Z247" s="237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</row>
    <row r="248" spans="1:256" s="2" customFormat="1" ht="25.5" customHeight="1" x14ac:dyDescent="0.25">
      <c r="A248" s="91"/>
      <c r="B248" s="1993" t="s">
        <v>1048</v>
      </c>
      <c r="C248" s="34"/>
      <c r="D248" s="34"/>
      <c r="E248" s="34"/>
      <c r="F248" s="9" t="s">
        <v>1221</v>
      </c>
      <c r="G248" s="9" t="s">
        <v>955</v>
      </c>
      <c r="H248" s="131"/>
      <c r="I248" s="34"/>
      <c r="J248" s="51"/>
      <c r="K248" s="51"/>
      <c r="L248" s="51"/>
      <c r="M248" s="1553"/>
      <c r="N248" s="2521">
        <f>N249</f>
        <v>1843.9</v>
      </c>
      <c r="O248" s="2527"/>
      <c r="P248" s="2528"/>
      <c r="Q248" s="2529"/>
      <c r="R248" s="2530"/>
      <c r="S248" s="2526"/>
      <c r="T248" s="2526"/>
      <c r="U248" s="2526"/>
      <c r="V248" s="2521">
        <f t="shared" si="159"/>
        <v>0</v>
      </c>
      <c r="W248" s="2521">
        <f t="shared" si="159"/>
        <v>0</v>
      </c>
      <c r="Y248" s="1"/>
      <c r="Z248" s="237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</row>
    <row r="249" spans="1:256" s="2" customFormat="1" ht="25.5" customHeight="1" x14ac:dyDescent="0.25">
      <c r="A249" s="91"/>
      <c r="B249" s="49" t="s">
        <v>4</v>
      </c>
      <c r="C249" s="34"/>
      <c r="D249" s="34"/>
      <c r="E249" s="34"/>
      <c r="F249" s="9" t="s">
        <v>1221</v>
      </c>
      <c r="G249" s="9" t="s">
        <v>1</v>
      </c>
      <c r="H249" s="131"/>
      <c r="I249" s="34"/>
      <c r="J249" s="51"/>
      <c r="K249" s="51"/>
      <c r="L249" s="51"/>
      <c r="M249" s="1553"/>
      <c r="N249" s="2521">
        <f>N250</f>
        <v>1843.9</v>
      </c>
      <c r="O249" s="2527"/>
      <c r="P249" s="2528"/>
      <c r="Q249" s="2529"/>
      <c r="R249" s="2530"/>
      <c r="S249" s="2526"/>
      <c r="T249" s="2526"/>
      <c r="U249" s="2526"/>
      <c r="V249" s="2521">
        <f t="shared" si="159"/>
        <v>0</v>
      </c>
      <c r="W249" s="2521">
        <f t="shared" si="159"/>
        <v>0</v>
      </c>
      <c r="Y249" s="1"/>
      <c r="Z249" s="237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</row>
    <row r="250" spans="1:256" s="2" customFormat="1" ht="25.5" customHeight="1" x14ac:dyDescent="0.25">
      <c r="A250" s="91"/>
      <c r="B250" s="2387" t="s">
        <v>964</v>
      </c>
      <c r="C250" s="34"/>
      <c r="D250" s="34"/>
      <c r="E250" s="34"/>
      <c r="F250" s="34" t="s">
        <v>1221</v>
      </c>
      <c r="G250" s="9" t="s">
        <v>1</v>
      </c>
      <c r="H250" s="9" t="s">
        <v>506</v>
      </c>
      <c r="I250" s="9" t="s">
        <v>506</v>
      </c>
      <c r="J250" s="51"/>
      <c r="K250" s="51"/>
      <c r="L250" s="51"/>
      <c r="M250" s="1553"/>
      <c r="N250" s="2521">
        <f>893.9-12.62222+962.62222</f>
        <v>1843.9</v>
      </c>
      <c r="O250" s="2527"/>
      <c r="P250" s="2528"/>
      <c r="Q250" s="2529"/>
      <c r="R250" s="2530"/>
      <c r="S250" s="2526"/>
      <c r="T250" s="2526"/>
      <c r="U250" s="2526"/>
      <c r="V250" s="2521">
        <v>0</v>
      </c>
      <c r="W250" s="2521">
        <v>0</v>
      </c>
      <c r="Y250" s="1"/>
      <c r="Z250" s="237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</row>
    <row r="251" spans="1:256" s="2" customFormat="1" ht="39" x14ac:dyDescent="0.25">
      <c r="A251" s="32"/>
      <c r="B251" s="157" t="s">
        <v>911</v>
      </c>
      <c r="C251" s="9"/>
      <c r="D251" s="9" t="s">
        <v>246</v>
      </c>
      <c r="E251" s="9" t="s">
        <v>85</v>
      </c>
      <c r="F251" s="34" t="s">
        <v>260</v>
      </c>
      <c r="G251" s="9"/>
      <c r="H251" s="9"/>
      <c r="I251" s="9"/>
      <c r="J251" s="1060">
        <f>J253</f>
        <v>6205</v>
      </c>
      <c r="K251" s="1060"/>
      <c r="L251" s="1060">
        <f t="shared" ref="L251:P251" si="160">L253</f>
        <v>6305</v>
      </c>
      <c r="M251" s="1557">
        <f t="shared" si="160"/>
        <v>6960</v>
      </c>
      <c r="N251" s="2510">
        <f>N256+N259+N262+N267</f>
        <v>15057.726780000001</v>
      </c>
      <c r="O251" s="2511">
        <f t="shared" si="160"/>
        <v>6962.0999999999995</v>
      </c>
      <c r="P251" s="2512">
        <f t="shared" si="160"/>
        <v>6915</v>
      </c>
      <c r="Q251" s="2513">
        <f>Q252</f>
        <v>12173.939999999999</v>
      </c>
      <c r="R251" s="2514">
        <f>R252</f>
        <v>12431.57</v>
      </c>
      <c r="S251" s="2515"/>
      <c r="T251" s="2515"/>
      <c r="U251" s="2515"/>
      <c r="V251" s="2510">
        <f>V256+V259+V262+V267</f>
        <v>16242.807999999999</v>
      </c>
      <c r="W251" s="2510">
        <f>W256+W259+W262+W267</f>
        <v>16990.495999999999</v>
      </c>
      <c r="Y251" s="1"/>
      <c r="Z251" s="237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</row>
    <row r="252" spans="1:256" s="2" customFormat="1" ht="13" x14ac:dyDescent="0.25">
      <c r="A252" s="32"/>
      <c r="B252" s="1093" t="s">
        <v>259</v>
      </c>
      <c r="C252" s="9"/>
      <c r="D252" s="9"/>
      <c r="E252" s="9"/>
      <c r="F252" s="34" t="s">
        <v>258</v>
      </c>
      <c r="G252" s="9"/>
      <c r="H252" s="9"/>
      <c r="I252" s="9"/>
      <c r="J252" s="1060">
        <f>J253</f>
        <v>6205</v>
      </c>
      <c r="K252" s="1060"/>
      <c r="L252" s="1060"/>
      <c r="M252" s="1557"/>
      <c r="N252" s="2503">
        <f>N253+N264</f>
        <v>15057.726780000001</v>
      </c>
      <c r="O252" s="2504">
        <f>O253</f>
        <v>6962.0999999999995</v>
      </c>
      <c r="P252" s="2505">
        <f>P253</f>
        <v>6915</v>
      </c>
      <c r="Q252" s="2506">
        <f>Q253+Q264</f>
        <v>12173.939999999999</v>
      </c>
      <c r="R252" s="2507">
        <f>R253+R264</f>
        <v>12431.57</v>
      </c>
      <c r="S252" s="1972"/>
      <c r="T252" s="1972"/>
      <c r="U252" s="1972"/>
      <c r="V252" s="2503">
        <f>V253+V264</f>
        <v>16242.807999999999</v>
      </c>
      <c r="W252" s="2503">
        <f>W253+W264</f>
        <v>16990.495999999999</v>
      </c>
      <c r="Y252" s="1"/>
      <c r="Z252" s="237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</row>
    <row r="253" spans="1:256" s="2" customFormat="1" ht="13" x14ac:dyDescent="0.25">
      <c r="A253" s="32"/>
      <c r="B253" s="49" t="s">
        <v>257</v>
      </c>
      <c r="C253" s="9"/>
      <c r="D253" s="9" t="s">
        <v>246</v>
      </c>
      <c r="E253" s="9" t="s">
        <v>85</v>
      </c>
      <c r="F253" s="9" t="s">
        <v>254</v>
      </c>
      <c r="G253" s="9"/>
      <c r="H253" s="9"/>
      <c r="I253" s="9"/>
      <c r="J253" s="1060">
        <f>J255+J258+J261</f>
        <v>6205</v>
      </c>
      <c r="K253" s="1060"/>
      <c r="L253" s="1060">
        <f t="shared" ref="L253:R253" si="161">L255+L258+L261</f>
        <v>6305</v>
      </c>
      <c r="M253" s="1557">
        <f t="shared" si="161"/>
        <v>6960</v>
      </c>
      <c r="N253" s="2531">
        <f>N256+N259+N262</f>
        <v>11562.52678</v>
      </c>
      <c r="O253" s="2532">
        <f t="shared" si="161"/>
        <v>6962.0999999999995</v>
      </c>
      <c r="P253" s="2533">
        <f t="shared" si="161"/>
        <v>6915</v>
      </c>
      <c r="Q253" s="2534">
        <f t="shared" si="161"/>
        <v>9507.74</v>
      </c>
      <c r="R253" s="2535">
        <f t="shared" si="161"/>
        <v>9765.3700000000008</v>
      </c>
      <c r="S253" s="1972"/>
      <c r="T253" s="1972"/>
      <c r="U253" s="1972"/>
      <c r="V253" s="2531">
        <f>V256+V259+V262</f>
        <v>12607.8</v>
      </c>
      <c r="W253" s="2531">
        <f>W256+W259+W262</f>
        <v>13210.088</v>
      </c>
      <c r="Y253" s="1"/>
      <c r="Z253" s="237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</row>
    <row r="254" spans="1:256" s="2" customFormat="1" ht="42.65" customHeight="1" x14ac:dyDescent="0.25">
      <c r="A254" s="32"/>
      <c r="B254" s="49" t="s">
        <v>1063</v>
      </c>
      <c r="C254" s="9"/>
      <c r="D254" s="9"/>
      <c r="E254" s="9"/>
      <c r="F254" s="9" t="s">
        <v>254</v>
      </c>
      <c r="G254" s="9" t="s">
        <v>1062</v>
      </c>
      <c r="H254" s="9"/>
      <c r="I254" s="9"/>
      <c r="J254" s="1060"/>
      <c r="K254" s="1060"/>
      <c r="L254" s="1060"/>
      <c r="M254" s="1557"/>
      <c r="N254" s="2531">
        <f>N255</f>
        <v>7903.6489999999994</v>
      </c>
      <c r="O254" s="2532"/>
      <c r="P254" s="2533"/>
      <c r="Q254" s="2534"/>
      <c r="R254" s="2535"/>
      <c r="S254" s="1972"/>
      <c r="T254" s="1972"/>
      <c r="U254" s="1972"/>
      <c r="V254" s="2531">
        <f t="shared" ref="V254:W254" si="162">V255</f>
        <v>7709.01</v>
      </c>
      <c r="W254" s="2531">
        <f t="shared" si="162"/>
        <v>8017.3710000000001</v>
      </c>
      <c r="Y254" s="1"/>
      <c r="Z254" s="237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</row>
    <row r="255" spans="1:256" s="2" customFormat="1" ht="13" x14ac:dyDescent="0.3">
      <c r="A255" s="32"/>
      <c r="B255" s="744" t="s">
        <v>256</v>
      </c>
      <c r="C255" s="9"/>
      <c r="D255" s="9" t="s">
        <v>246</v>
      </c>
      <c r="E255" s="9" t="s">
        <v>85</v>
      </c>
      <c r="F255" s="9" t="s">
        <v>254</v>
      </c>
      <c r="G255" s="9" t="s">
        <v>255</v>
      </c>
      <c r="H255" s="9"/>
      <c r="I255" s="9"/>
      <c r="J255" s="1060">
        <f>J256</f>
        <v>4156.915</v>
      </c>
      <c r="K255" s="1078"/>
      <c r="L255" s="1060">
        <v>5305.1139999999996</v>
      </c>
      <c r="M255" s="1557">
        <v>6631.482</v>
      </c>
      <c r="N255" s="2503">
        <f>N256</f>
        <v>7903.6489999999994</v>
      </c>
      <c r="O255" s="2504">
        <f>O256</f>
        <v>4886.9669999999996</v>
      </c>
      <c r="P255" s="2505">
        <f>P256</f>
        <v>5375.0079999999998</v>
      </c>
      <c r="Q255" s="2506">
        <f>Q256</f>
        <v>7375.74</v>
      </c>
      <c r="R255" s="2507">
        <f>R256</f>
        <v>7670.77</v>
      </c>
      <c r="S255" s="1972"/>
      <c r="T255" s="1972"/>
      <c r="U255" s="1972"/>
      <c r="V255" s="2503">
        <f>V256</f>
        <v>7709.01</v>
      </c>
      <c r="W255" s="2503">
        <f>W256</f>
        <v>8017.3710000000001</v>
      </c>
      <c r="Y255" s="1"/>
      <c r="Z255" s="237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</row>
    <row r="256" spans="1:256" s="2" customFormat="1" ht="13" x14ac:dyDescent="0.3">
      <c r="A256" s="32"/>
      <c r="B256" s="744" t="s">
        <v>87</v>
      </c>
      <c r="C256" s="9"/>
      <c r="D256" s="9"/>
      <c r="E256" s="9"/>
      <c r="F256" s="9" t="s">
        <v>254</v>
      </c>
      <c r="G256" s="9" t="s">
        <v>255</v>
      </c>
      <c r="H256" s="9" t="s">
        <v>453</v>
      </c>
      <c r="I256" s="9" t="s">
        <v>456</v>
      </c>
      <c r="J256" s="1060">
        <v>4156.915</v>
      </c>
      <c r="K256" s="1078"/>
      <c r="L256" s="1060"/>
      <c r="M256" s="1557"/>
      <c r="N256" s="2503">
        <f>7413.11+490.539</f>
        <v>7903.6489999999994</v>
      </c>
      <c r="O256" s="2504">
        <v>4886.9669999999996</v>
      </c>
      <c r="P256" s="2505">
        <v>5375.0079999999998</v>
      </c>
      <c r="Q256" s="2506">
        <v>7375.74</v>
      </c>
      <c r="R256" s="2507">
        <v>7670.77</v>
      </c>
      <c r="S256" s="1972"/>
      <c r="T256" s="1972"/>
      <c r="U256" s="1972"/>
      <c r="V256" s="2503">
        <v>7709.01</v>
      </c>
      <c r="W256" s="2503">
        <v>8017.3710000000001</v>
      </c>
      <c r="Y256" s="1"/>
      <c r="Z256" s="237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</row>
    <row r="257" spans="1:256" s="2" customFormat="1" ht="26" x14ac:dyDescent="0.25">
      <c r="A257" s="32"/>
      <c r="B257" s="49" t="s">
        <v>1048</v>
      </c>
      <c r="C257" s="9"/>
      <c r="D257" s="9"/>
      <c r="E257" s="9"/>
      <c r="F257" s="9" t="s">
        <v>254</v>
      </c>
      <c r="G257" s="9" t="s">
        <v>955</v>
      </c>
      <c r="H257" s="9"/>
      <c r="I257" s="9"/>
      <c r="J257" s="1060"/>
      <c r="K257" s="1078"/>
      <c r="L257" s="1060"/>
      <c r="M257" s="1557"/>
      <c r="N257" s="2503">
        <f>N258</f>
        <v>3657.8777799999998</v>
      </c>
      <c r="O257" s="2504"/>
      <c r="P257" s="2505"/>
      <c r="Q257" s="2506"/>
      <c r="R257" s="2507"/>
      <c r="S257" s="1972"/>
      <c r="T257" s="1972"/>
      <c r="U257" s="1972"/>
      <c r="V257" s="2503">
        <f t="shared" ref="V257:W257" si="163">V258</f>
        <v>4897.79</v>
      </c>
      <c r="W257" s="2503">
        <f t="shared" si="163"/>
        <v>5191.7169999999996</v>
      </c>
      <c r="Y257" s="1"/>
      <c r="Z257" s="237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</row>
    <row r="258" spans="1:256" s="2" customFormat="1" ht="25.15" customHeight="1" x14ac:dyDescent="0.25">
      <c r="A258" s="32"/>
      <c r="B258" s="1993" t="s">
        <v>4</v>
      </c>
      <c r="C258" s="9"/>
      <c r="D258" s="9" t="s">
        <v>246</v>
      </c>
      <c r="E258" s="9" t="s">
        <v>85</v>
      </c>
      <c r="F258" s="9" t="s">
        <v>254</v>
      </c>
      <c r="G258" s="9" t="s">
        <v>1</v>
      </c>
      <c r="H258" s="9"/>
      <c r="I258" s="9"/>
      <c r="J258" s="1060">
        <f>J259</f>
        <v>2047.085</v>
      </c>
      <c r="K258" s="1060"/>
      <c r="L258" s="1060">
        <f>999.886-0.886</f>
        <v>999</v>
      </c>
      <c r="M258" s="1557">
        <v>328</v>
      </c>
      <c r="N258" s="2503">
        <f>N259</f>
        <v>3657.8777799999998</v>
      </c>
      <c r="O258" s="2504">
        <f>O259</f>
        <v>2074.1329999999998</v>
      </c>
      <c r="P258" s="2505">
        <f>P259</f>
        <v>1538.992</v>
      </c>
      <c r="Q258" s="2506">
        <f>Q259</f>
        <v>2122</v>
      </c>
      <c r="R258" s="2507">
        <f>R259</f>
        <v>2084.6</v>
      </c>
      <c r="S258" s="1972"/>
      <c r="T258" s="1972"/>
      <c r="U258" s="1972"/>
      <c r="V258" s="2503">
        <f>V259</f>
        <v>4897.79</v>
      </c>
      <c r="W258" s="2503">
        <f>W259</f>
        <v>5191.7169999999996</v>
      </c>
      <c r="Y258" s="1"/>
      <c r="Z258" s="237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</row>
    <row r="259" spans="1:256" s="2" customFormat="1" ht="13" x14ac:dyDescent="0.3">
      <c r="A259" s="32"/>
      <c r="B259" s="744" t="s">
        <v>87</v>
      </c>
      <c r="C259" s="9"/>
      <c r="D259" s="9"/>
      <c r="E259" s="9"/>
      <c r="F259" s="9" t="s">
        <v>254</v>
      </c>
      <c r="G259" s="9" t="s">
        <v>1</v>
      </c>
      <c r="H259" s="9" t="s">
        <v>453</v>
      </c>
      <c r="I259" s="9" t="s">
        <v>456</v>
      </c>
      <c r="J259" s="1060">
        <v>2047.085</v>
      </c>
      <c r="K259" s="1060"/>
      <c r="L259" s="1060"/>
      <c r="M259" s="1557"/>
      <c r="N259" s="2503">
        <f>4620.5-962.62222</f>
        <v>3657.8777799999998</v>
      </c>
      <c r="O259" s="2504">
        <v>2074.1329999999998</v>
      </c>
      <c r="P259" s="2505">
        <v>1538.992</v>
      </c>
      <c r="Q259" s="2506">
        <v>2122</v>
      </c>
      <c r="R259" s="2507">
        <v>2084.6</v>
      </c>
      <c r="S259" s="1972"/>
      <c r="T259" s="1972"/>
      <c r="U259" s="1972"/>
      <c r="V259" s="2503">
        <v>4897.79</v>
      </c>
      <c r="W259" s="2503">
        <v>5191.7169999999996</v>
      </c>
      <c r="Y259" s="1"/>
      <c r="Z259" s="237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</row>
    <row r="260" spans="1:256" s="2" customFormat="1" ht="13" x14ac:dyDescent="0.3">
      <c r="A260" s="32"/>
      <c r="B260" s="744" t="s">
        <v>1065</v>
      </c>
      <c r="C260" s="9"/>
      <c r="D260" s="9"/>
      <c r="E260" s="9"/>
      <c r="F260" s="9" t="s">
        <v>254</v>
      </c>
      <c r="G260" s="9" t="s">
        <v>1064</v>
      </c>
      <c r="H260" s="9"/>
      <c r="I260" s="9"/>
      <c r="J260" s="1060"/>
      <c r="K260" s="1060"/>
      <c r="L260" s="1060"/>
      <c r="M260" s="1557"/>
      <c r="N260" s="2503">
        <f>N261</f>
        <v>1</v>
      </c>
      <c r="O260" s="2504"/>
      <c r="P260" s="2505"/>
      <c r="Q260" s="2506"/>
      <c r="R260" s="2507"/>
      <c r="S260" s="1972"/>
      <c r="T260" s="1972"/>
      <c r="U260" s="1972"/>
      <c r="V260" s="2503">
        <f t="shared" ref="V260:W260" si="164">V261</f>
        <v>1</v>
      </c>
      <c r="W260" s="2503">
        <f t="shared" si="164"/>
        <v>1</v>
      </c>
      <c r="Y260" s="1"/>
      <c r="Z260" s="237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</row>
    <row r="261" spans="1:256" s="2" customFormat="1" ht="13" x14ac:dyDescent="0.3">
      <c r="A261" s="32"/>
      <c r="B261" s="744" t="s">
        <v>94</v>
      </c>
      <c r="C261" s="9"/>
      <c r="D261" s="9" t="s">
        <v>246</v>
      </c>
      <c r="E261" s="9" t="s">
        <v>85</v>
      </c>
      <c r="F261" s="9" t="s">
        <v>254</v>
      </c>
      <c r="G261" s="9" t="s">
        <v>91</v>
      </c>
      <c r="H261" s="9"/>
      <c r="I261" s="9"/>
      <c r="J261" s="1062">
        <f>J262</f>
        <v>1</v>
      </c>
      <c r="K261" s="1062"/>
      <c r="L261" s="1062">
        <v>0.88600000000000001</v>
      </c>
      <c r="M261" s="1556">
        <v>0.51800000000000002</v>
      </c>
      <c r="N261" s="2503">
        <f>N262</f>
        <v>1</v>
      </c>
      <c r="O261" s="2504">
        <f>O262</f>
        <v>1</v>
      </c>
      <c r="P261" s="2505">
        <f>P262</f>
        <v>1</v>
      </c>
      <c r="Q261" s="2506">
        <f>Q262</f>
        <v>10</v>
      </c>
      <c r="R261" s="2507">
        <f>R262</f>
        <v>10</v>
      </c>
      <c r="S261" s="1972"/>
      <c r="T261" s="1972"/>
      <c r="U261" s="1972"/>
      <c r="V261" s="2503">
        <f>V262</f>
        <v>1</v>
      </c>
      <c r="W261" s="2503">
        <f>W262</f>
        <v>1</v>
      </c>
      <c r="Y261" s="1"/>
      <c r="Z261" s="237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</row>
    <row r="262" spans="1:256" s="2" customFormat="1" ht="13" x14ac:dyDescent="0.3">
      <c r="A262" s="32"/>
      <c r="B262" s="744" t="s">
        <v>87</v>
      </c>
      <c r="C262" s="9"/>
      <c r="D262" s="9"/>
      <c r="E262" s="9"/>
      <c r="F262" s="9" t="s">
        <v>254</v>
      </c>
      <c r="G262" s="9" t="s">
        <v>91</v>
      </c>
      <c r="H262" s="9" t="s">
        <v>453</v>
      </c>
      <c r="I262" s="9" t="s">
        <v>456</v>
      </c>
      <c r="J262" s="1062">
        <v>1</v>
      </c>
      <c r="K262" s="1062"/>
      <c r="L262" s="1062">
        <f>L255+L258+L261</f>
        <v>6305</v>
      </c>
      <c r="M262" s="1556">
        <f>M255+M258+M261</f>
        <v>6960</v>
      </c>
      <c r="N262" s="2503">
        <v>1</v>
      </c>
      <c r="O262" s="2504">
        <v>1</v>
      </c>
      <c r="P262" s="2505">
        <v>1</v>
      </c>
      <c r="Q262" s="2506">
        <v>10</v>
      </c>
      <c r="R262" s="2507">
        <v>10</v>
      </c>
      <c r="S262" s="1972"/>
      <c r="T262" s="1972"/>
      <c r="U262" s="1972"/>
      <c r="V262" s="2503">
        <v>1</v>
      </c>
      <c r="W262" s="2503">
        <v>1</v>
      </c>
      <c r="Y262" s="1"/>
      <c r="Z262" s="237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</row>
    <row r="263" spans="1:256" s="2" customFormat="1" ht="39.65" hidden="1" customHeight="1" x14ac:dyDescent="0.25">
      <c r="A263" s="91"/>
      <c r="B263" s="52" t="s">
        <v>910</v>
      </c>
      <c r="C263" s="34"/>
      <c r="D263" s="34" t="s">
        <v>246</v>
      </c>
      <c r="E263" s="34" t="s">
        <v>242</v>
      </c>
      <c r="F263" s="9" t="s">
        <v>252</v>
      </c>
      <c r="G263" s="131"/>
      <c r="H263" s="131"/>
      <c r="I263" s="34"/>
      <c r="J263" s="51">
        <f>J268</f>
        <v>1278.5</v>
      </c>
      <c r="K263" s="51"/>
      <c r="L263" s="51">
        <f t="shared" ref="L263:R263" si="165">L268</f>
        <v>1278.5</v>
      </c>
      <c r="M263" s="1553">
        <f t="shared" si="165"/>
        <v>1238.5</v>
      </c>
      <c r="N263" s="2481">
        <f t="shared" si="165"/>
        <v>3743.5610000000006</v>
      </c>
      <c r="O263" s="2498">
        <f t="shared" si="165"/>
        <v>1250.5</v>
      </c>
      <c r="P263" s="2499">
        <f t="shared" si="165"/>
        <v>1348</v>
      </c>
      <c r="Q263" s="2500">
        <f t="shared" si="165"/>
        <v>3017.4</v>
      </c>
      <c r="R263" s="2501">
        <f t="shared" si="165"/>
        <v>3338</v>
      </c>
      <c r="S263" s="1972"/>
      <c r="T263" s="1972"/>
      <c r="U263" s="1972"/>
      <c r="V263" s="2481">
        <f t="shared" ref="V263:W263" si="166">V268</f>
        <v>7555.68</v>
      </c>
      <c r="W263" s="2481">
        <f t="shared" si="166"/>
        <v>6778.5990000000002</v>
      </c>
      <c r="Y263" s="1"/>
      <c r="Z263" s="237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</row>
    <row r="264" spans="1:256" s="2" customFormat="1" ht="53.5" customHeight="1" x14ac:dyDescent="0.3">
      <c r="A264" s="91"/>
      <c r="B264" s="2009" t="s">
        <v>1206</v>
      </c>
      <c r="C264" s="735"/>
      <c r="D264" s="77"/>
      <c r="E264" s="77"/>
      <c r="F264" s="9" t="s">
        <v>970</v>
      </c>
      <c r="G264" s="9"/>
      <c r="H264" s="9"/>
      <c r="I264" s="9"/>
      <c r="J264" s="1434"/>
      <c r="K264" s="29"/>
      <c r="L264" s="28"/>
      <c r="M264" s="1558"/>
      <c r="N264" s="2389">
        <f>N266</f>
        <v>3495.2</v>
      </c>
      <c r="O264" s="2485"/>
      <c r="P264" s="2485"/>
      <c r="Q264" s="2536">
        <f>Q266</f>
        <v>2666.2</v>
      </c>
      <c r="R264" s="2488">
        <f>R266</f>
        <v>2666.2</v>
      </c>
      <c r="S264" s="1972">
        <v>712.6</v>
      </c>
      <c r="T264" s="1972">
        <v>712.6</v>
      </c>
      <c r="U264" s="1972">
        <v>712.6</v>
      </c>
      <c r="V264" s="2389">
        <f>V266</f>
        <v>3635.0079999999998</v>
      </c>
      <c r="W264" s="2537">
        <f>W266</f>
        <v>3780.4079999999999</v>
      </c>
      <c r="Y264" s="1"/>
      <c r="Z264" s="237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</row>
    <row r="265" spans="1:256" s="2" customFormat="1" ht="51.65" customHeight="1" x14ac:dyDescent="0.3">
      <c r="A265" s="91"/>
      <c r="B265" s="49" t="s">
        <v>1063</v>
      </c>
      <c r="C265" s="735"/>
      <c r="D265" s="77"/>
      <c r="E265" s="77"/>
      <c r="F265" s="9" t="s">
        <v>970</v>
      </c>
      <c r="G265" s="9" t="s">
        <v>1062</v>
      </c>
      <c r="H265" s="9"/>
      <c r="I265" s="9"/>
      <c r="J265" s="1434"/>
      <c r="K265" s="29"/>
      <c r="L265" s="28"/>
      <c r="M265" s="1558"/>
      <c r="N265" s="2389">
        <f>N266</f>
        <v>3495.2</v>
      </c>
      <c r="O265" s="2485"/>
      <c r="P265" s="2485"/>
      <c r="Q265" s="2536"/>
      <c r="R265" s="2488"/>
      <c r="S265" s="1972"/>
      <c r="T265" s="1972"/>
      <c r="U265" s="1972"/>
      <c r="V265" s="2389">
        <f>V266</f>
        <v>3635.0079999999998</v>
      </c>
      <c r="W265" s="2537">
        <f>W266</f>
        <v>3780.4079999999999</v>
      </c>
      <c r="Y265" s="1"/>
      <c r="Z265" s="237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</row>
    <row r="266" spans="1:256" s="2" customFormat="1" ht="17.149999999999999" customHeight="1" x14ac:dyDescent="0.3">
      <c r="A266" s="91"/>
      <c r="B266" s="737" t="s">
        <v>256</v>
      </c>
      <c r="C266" s="735"/>
      <c r="D266" s="77"/>
      <c r="E266" s="77"/>
      <c r="F266" s="9" t="s">
        <v>970</v>
      </c>
      <c r="G266" s="9" t="s">
        <v>255</v>
      </c>
      <c r="H266" s="9"/>
      <c r="I266" s="9"/>
      <c r="J266" s="1434"/>
      <c r="K266" s="29"/>
      <c r="L266" s="28"/>
      <c r="M266" s="1558"/>
      <c r="N266" s="2389">
        <f>N267</f>
        <v>3495.2</v>
      </c>
      <c r="O266" s="2485"/>
      <c r="P266" s="2485"/>
      <c r="Q266" s="2536">
        <f>Q267</f>
        <v>2666.2</v>
      </c>
      <c r="R266" s="2488">
        <f>R267</f>
        <v>2666.2</v>
      </c>
      <c r="S266" s="1972"/>
      <c r="T266" s="1972"/>
      <c r="U266" s="1972"/>
      <c r="V266" s="2389">
        <f>V267</f>
        <v>3635.0079999999998</v>
      </c>
      <c r="W266" s="2537">
        <f>W267</f>
        <v>3780.4079999999999</v>
      </c>
      <c r="Y266" s="1"/>
      <c r="Z266" s="237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</row>
    <row r="267" spans="1:256" s="2" customFormat="1" ht="18" customHeight="1" x14ac:dyDescent="0.3">
      <c r="A267" s="91"/>
      <c r="B267" s="744" t="s">
        <v>87</v>
      </c>
      <c r="C267" s="735"/>
      <c r="D267" s="77"/>
      <c r="E267" s="77"/>
      <c r="F267" s="9" t="s">
        <v>985</v>
      </c>
      <c r="G267" s="9" t="s">
        <v>255</v>
      </c>
      <c r="H267" s="9" t="s">
        <v>453</v>
      </c>
      <c r="I267" s="9" t="s">
        <v>456</v>
      </c>
      <c r="J267" s="1434"/>
      <c r="K267" s="29"/>
      <c r="L267" s="28"/>
      <c r="M267" s="1558"/>
      <c r="N267" s="2389">
        <v>3495.2</v>
      </c>
      <c r="O267" s="2485"/>
      <c r="P267" s="2485"/>
      <c r="Q267" s="2536">
        <v>2666.2</v>
      </c>
      <c r="R267" s="2488">
        <v>2666.2</v>
      </c>
      <c r="S267" s="2538">
        <v>2666.2</v>
      </c>
      <c r="T267" s="2538">
        <v>2666.2</v>
      </c>
      <c r="U267" s="2538">
        <v>2666.2</v>
      </c>
      <c r="V267" s="2389">
        <v>3635.0079999999998</v>
      </c>
      <c r="W267" s="2539">
        <v>3780.4079999999999</v>
      </c>
      <c r="Y267" s="1"/>
      <c r="Z267" s="237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</row>
    <row r="268" spans="1:256" s="2" customFormat="1" ht="13" x14ac:dyDescent="0.25">
      <c r="A268" s="32"/>
      <c r="B268" s="157" t="s">
        <v>836</v>
      </c>
      <c r="C268" s="9"/>
      <c r="D268" s="9" t="s">
        <v>246</v>
      </c>
      <c r="E268" s="9" t="s">
        <v>242</v>
      </c>
      <c r="F268" s="34" t="s">
        <v>251</v>
      </c>
      <c r="G268" s="9"/>
      <c r="H268" s="9"/>
      <c r="I268" s="9"/>
      <c r="J268" s="1060">
        <f>J270</f>
        <v>1278.5</v>
      </c>
      <c r="K268" s="1060"/>
      <c r="L268" s="1060">
        <f t="shared" ref="L268:R268" si="167">L270</f>
        <v>1278.5</v>
      </c>
      <c r="M268" s="1557">
        <f t="shared" si="167"/>
        <v>1238.5</v>
      </c>
      <c r="N268" s="2503">
        <f>N269</f>
        <v>3743.5610000000006</v>
      </c>
      <c r="O268" s="2504">
        <f t="shared" si="167"/>
        <v>1250.5</v>
      </c>
      <c r="P268" s="2505">
        <f t="shared" si="167"/>
        <v>1348</v>
      </c>
      <c r="Q268" s="2506">
        <f t="shared" si="167"/>
        <v>3017.4</v>
      </c>
      <c r="R268" s="2507">
        <f t="shared" si="167"/>
        <v>3338</v>
      </c>
      <c r="S268" s="1972"/>
      <c r="T268" s="1972"/>
      <c r="U268" s="1972"/>
      <c r="V268" s="2503">
        <f>V269</f>
        <v>7555.68</v>
      </c>
      <c r="W268" s="2503">
        <f>W269</f>
        <v>6778.5990000000002</v>
      </c>
      <c r="Y268" s="1"/>
      <c r="Z268" s="237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</row>
    <row r="269" spans="1:256" ht="13" x14ac:dyDescent="0.25">
      <c r="A269" s="32"/>
      <c r="B269" s="1093" t="s">
        <v>250</v>
      </c>
      <c r="C269" s="9"/>
      <c r="D269" s="9"/>
      <c r="E269" s="9"/>
      <c r="F269" s="34" t="s">
        <v>249</v>
      </c>
      <c r="G269" s="9"/>
      <c r="H269" s="9"/>
      <c r="I269" s="9"/>
      <c r="J269" s="1060">
        <f>J270</f>
        <v>1278.5</v>
      </c>
      <c r="K269" s="1060"/>
      <c r="L269" s="1060"/>
      <c r="M269" s="1557"/>
      <c r="N269" s="2503">
        <f t="shared" ref="N269:R269" si="168">N270</f>
        <v>3743.5610000000006</v>
      </c>
      <c r="O269" s="2504">
        <f t="shared" si="168"/>
        <v>1250.5</v>
      </c>
      <c r="P269" s="2505">
        <f t="shared" si="168"/>
        <v>1348</v>
      </c>
      <c r="Q269" s="2506">
        <f t="shared" si="168"/>
        <v>3017.4</v>
      </c>
      <c r="R269" s="2507">
        <f t="shared" si="168"/>
        <v>3338</v>
      </c>
      <c r="S269" s="1972"/>
      <c r="T269" s="1972"/>
      <c r="U269" s="1972"/>
      <c r="V269" s="2503">
        <f t="shared" ref="V269:W269" si="169">V270</f>
        <v>7555.68</v>
      </c>
      <c r="W269" s="2503">
        <f t="shared" si="169"/>
        <v>6778.5990000000002</v>
      </c>
    </row>
    <row r="270" spans="1:256" ht="13" x14ac:dyDescent="0.25">
      <c r="A270" s="32"/>
      <c r="B270" s="49" t="s">
        <v>248</v>
      </c>
      <c r="C270" s="9"/>
      <c r="D270" s="9" t="s">
        <v>246</v>
      </c>
      <c r="E270" s="9" t="s">
        <v>242</v>
      </c>
      <c r="F270" s="9" t="s">
        <v>243</v>
      </c>
      <c r="G270" s="9"/>
      <c r="H270" s="9"/>
      <c r="I270" s="9"/>
      <c r="J270" s="1060">
        <f>J272</f>
        <v>1278.5</v>
      </c>
      <c r="K270" s="1060"/>
      <c r="L270" s="1060">
        <f t="shared" ref="L270:M270" si="170">L272</f>
        <v>1278.5</v>
      </c>
      <c r="M270" s="1557">
        <f t="shared" si="170"/>
        <v>1238.5</v>
      </c>
      <c r="N270" s="2503">
        <f>N272</f>
        <v>3743.5610000000006</v>
      </c>
      <c r="O270" s="2504">
        <f>O272</f>
        <v>1250.5</v>
      </c>
      <c r="P270" s="2505">
        <f>P272</f>
        <v>1348</v>
      </c>
      <c r="Q270" s="2506">
        <f>Q272</f>
        <v>3017.4</v>
      </c>
      <c r="R270" s="2507">
        <f>R272</f>
        <v>3338</v>
      </c>
      <c r="S270" s="1972"/>
      <c r="T270" s="1972"/>
      <c r="U270" s="1972"/>
      <c r="V270" s="2503">
        <f>V272</f>
        <v>7555.68</v>
      </c>
      <c r="W270" s="2503">
        <f>W272</f>
        <v>6778.5990000000002</v>
      </c>
    </row>
    <row r="271" spans="1:256" ht="26" x14ac:dyDescent="0.25">
      <c r="A271" s="32"/>
      <c r="B271" s="49" t="s">
        <v>1048</v>
      </c>
      <c r="C271" s="9"/>
      <c r="D271" s="9"/>
      <c r="E271" s="9"/>
      <c r="F271" s="9" t="s">
        <v>243</v>
      </c>
      <c r="G271" s="9" t="s">
        <v>955</v>
      </c>
      <c r="H271" s="9"/>
      <c r="I271" s="9"/>
      <c r="J271" s="1060"/>
      <c r="K271" s="1060"/>
      <c r="L271" s="1060"/>
      <c r="M271" s="1557"/>
      <c r="N271" s="2503">
        <f>N272</f>
        <v>3743.5610000000006</v>
      </c>
      <c r="O271" s="2504"/>
      <c r="P271" s="2505"/>
      <c r="Q271" s="2506"/>
      <c r="R271" s="2507"/>
      <c r="S271" s="1972"/>
      <c r="T271" s="1972"/>
      <c r="U271" s="1972"/>
      <c r="V271" s="2503">
        <f t="shared" ref="V271:W271" si="171">V272</f>
        <v>7555.68</v>
      </c>
      <c r="W271" s="2503">
        <f t="shared" si="171"/>
        <v>6778.5990000000002</v>
      </c>
    </row>
    <row r="272" spans="1:256" ht="25.15" customHeight="1" x14ac:dyDescent="0.25">
      <c r="A272" s="32"/>
      <c r="B272" s="1993" t="s">
        <v>4</v>
      </c>
      <c r="C272" s="9"/>
      <c r="D272" s="9" t="s">
        <v>246</v>
      </c>
      <c r="E272" s="9" t="s">
        <v>242</v>
      </c>
      <c r="F272" s="9" t="s">
        <v>243</v>
      </c>
      <c r="G272" s="9" t="s">
        <v>1</v>
      </c>
      <c r="H272" s="9"/>
      <c r="I272" s="9"/>
      <c r="J272" s="1060">
        <f>J274</f>
        <v>1278.5</v>
      </c>
      <c r="K272" s="1060"/>
      <c r="L272" s="1060">
        <v>1278.5</v>
      </c>
      <c r="M272" s="1557">
        <v>1238.5</v>
      </c>
      <c r="N272" s="2503">
        <f>N274</f>
        <v>3743.5610000000006</v>
      </c>
      <c r="O272" s="2504">
        <f>O274</f>
        <v>1250.5</v>
      </c>
      <c r="P272" s="2505">
        <f>P274</f>
        <v>1348</v>
      </c>
      <c r="Q272" s="2506">
        <f>Q274</f>
        <v>3017.4</v>
      </c>
      <c r="R272" s="2507">
        <f>R274</f>
        <v>3338</v>
      </c>
      <c r="S272" s="1972"/>
      <c r="T272" s="1972"/>
      <c r="U272" s="1972"/>
      <c r="V272" s="2503">
        <f>V274</f>
        <v>7555.68</v>
      </c>
      <c r="W272" s="2503">
        <f>W274</f>
        <v>6778.5990000000002</v>
      </c>
    </row>
    <row r="273" spans="1:26" s="162" customFormat="1" ht="52" hidden="1" x14ac:dyDescent="0.3">
      <c r="A273" s="165"/>
      <c r="B273" s="164" t="s">
        <v>247</v>
      </c>
      <c r="C273" s="33"/>
      <c r="D273" s="33" t="s">
        <v>246</v>
      </c>
      <c r="E273" s="9" t="s">
        <v>242</v>
      </c>
      <c r="F273" s="33" t="s">
        <v>245</v>
      </c>
      <c r="G273" s="31"/>
      <c r="H273" s="31"/>
      <c r="I273" s="9"/>
      <c r="J273" s="1062"/>
      <c r="K273" s="1062"/>
      <c r="L273" s="1062"/>
      <c r="M273" s="1556"/>
      <c r="N273" s="2503"/>
      <c r="O273" s="2504"/>
      <c r="P273" s="2505"/>
      <c r="Q273" s="2506"/>
      <c r="R273" s="2507"/>
      <c r="S273" s="2540"/>
      <c r="T273" s="2540"/>
      <c r="U273" s="2540"/>
      <c r="V273" s="2503"/>
      <c r="W273" s="2503"/>
      <c r="X273" s="163"/>
      <c r="Z273" s="2142"/>
    </row>
    <row r="274" spans="1:26" s="162" customFormat="1" ht="15" x14ac:dyDescent="0.3">
      <c r="A274" s="165"/>
      <c r="B274" s="164" t="s">
        <v>244</v>
      </c>
      <c r="C274" s="33"/>
      <c r="D274" s="33"/>
      <c r="E274" s="9"/>
      <c r="F274" s="9" t="s">
        <v>243</v>
      </c>
      <c r="G274" s="9" t="s">
        <v>1</v>
      </c>
      <c r="H274" s="9" t="s">
        <v>453</v>
      </c>
      <c r="I274" s="9" t="s">
        <v>452</v>
      </c>
      <c r="J274" s="1060">
        <v>1278.5</v>
      </c>
      <c r="K274" s="1060"/>
      <c r="L274" s="1060">
        <v>1278.5</v>
      </c>
      <c r="M274" s="1557">
        <v>1238.5</v>
      </c>
      <c r="N274" s="2503">
        <f>7128-893.9-500-490.539-1500</f>
        <v>3743.5610000000006</v>
      </c>
      <c r="O274" s="2504">
        <v>1250.5</v>
      </c>
      <c r="P274" s="2505">
        <v>1348</v>
      </c>
      <c r="Q274" s="2506">
        <v>3017.4</v>
      </c>
      <c r="R274" s="2507">
        <v>3338</v>
      </c>
      <c r="S274" s="2540"/>
      <c r="T274" s="2540"/>
      <c r="U274" s="2540"/>
      <c r="V274" s="2503">
        <v>7555.68</v>
      </c>
      <c r="W274" s="2503">
        <v>6778.5990000000002</v>
      </c>
      <c r="X274" s="163"/>
      <c r="Z274" s="2142"/>
    </row>
    <row r="275" spans="1:26" ht="39.65" customHeight="1" x14ac:dyDescent="0.25">
      <c r="A275" s="91">
        <v>4</v>
      </c>
      <c r="B275" s="52" t="s">
        <v>912</v>
      </c>
      <c r="C275" s="34"/>
      <c r="D275" s="34" t="s">
        <v>168</v>
      </c>
      <c r="E275" s="34" t="s">
        <v>166</v>
      </c>
      <c r="F275" s="34" t="s">
        <v>240</v>
      </c>
      <c r="G275" s="131"/>
      <c r="H275" s="131"/>
      <c r="I275" s="34"/>
      <c r="J275" s="51">
        <f>J276+J291</f>
        <v>1182</v>
      </c>
      <c r="K275" s="51"/>
      <c r="L275" s="51">
        <f t="shared" ref="L275:R275" si="172">L276+L291</f>
        <v>1182</v>
      </c>
      <c r="M275" s="1553">
        <f t="shared" si="172"/>
        <v>1022</v>
      </c>
      <c r="N275" s="2481">
        <f>N276+N291</f>
        <v>1074.1489999999999</v>
      </c>
      <c r="O275" s="2498">
        <f t="shared" si="172"/>
        <v>1202</v>
      </c>
      <c r="P275" s="2499">
        <f t="shared" si="172"/>
        <v>676</v>
      </c>
      <c r="Q275" s="2500">
        <f t="shared" si="172"/>
        <v>1202</v>
      </c>
      <c r="R275" s="2501">
        <f t="shared" si="172"/>
        <v>1250.04</v>
      </c>
      <c r="S275" s="1972"/>
      <c r="T275" s="1972"/>
      <c r="U275" s="1972"/>
      <c r="V275" s="2481">
        <f>V276+V291</f>
        <v>792</v>
      </c>
      <c r="W275" s="2481">
        <f>W276+W291</f>
        <v>801</v>
      </c>
    </row>
    <row r="276" spans="1:26" ht="52" x14ac:dyDescent="0.25">
      <c r="A276" s="32"/>
      <c r="B276" s="157" t="s">
        <v>1215</v>
      </c>
      <c r="C276" s="9"/>
      <c r="D276" s="9" t="s">
        <v>168</v>
      </c>
      <c r="E276" s="9" t="s">
        <v>166</v>
      </c>
      <c r="F276" s="9" t="s">
        <v>238</v>
      </c>
      <c r="G276" s="88"/>
      <c r="H276" s="88"/>
      <c r="I276" s="9"/>
      <c r="J276" s="1063">
        <f>J277</f>
        <v>496</v>
      </c>
      <c r="K276" s="1063"/>
      <c r="L276" s="1063">
        <f>L278+L287</f>
        <v>496</v>
      </c>
      <c r="M276" s="1125">
        <f>M278+M287</f>
        <v>336</v>
      </c>
      <c r="N276" s="2389">
        <f>N281+N286</f>
        <v>573.14899999999989</v>
      </c>
      <c r="O276" s="2485">
        <f>O277+O281</f>
        <v>506</v>
      </c>
      <c r="P276" s="2486">
        <f>P277+P281</f>
        <v>646</v>
      </c>
      <c r="Q276" s="2487">
        <f>Q281+Q286</f>
        <v>606</v>
      </c>
      <c r="R276" s="2488">
        <f>R281+R286</f>
        <v>630.20000000000005</v>
      </c>
      <c r="S276" s="1972"/>
      <c r="T276" s="1972"/>
      <c r="U276" s="1972"/>
      <c r="V276" s="2389">
        <f>V281+V286</f>
        <v>550</v>
      </c>
      <c r="W276" s="2389">
        <f>W281+W286</f>
        <v>550</v>
      </c>
    </row>
    <row r="277" spans="1:26" ht="39" hidden="1" x14ac:dyDescent="0.25">
      <c r="A277" s="32"/>
      <c r="B277" s="1093" t="s">
        <v>236</v>
      </c>
      <c r="C277" s="9"/>
      <c r="D277" s="9"/>
      <c r="E277" s="9"/>
      <c r="F277" s="9" t="s">
        <v>235</v>
      </c>
      <c r="G277" s="88"/>
      <c r="H277" s="88"/>
      <c r="I277" s="9"/>
      <c r="J277" s="1063">
        <f>J278+J287</f>
        <v>496</v>
      </c>
      <c r="K277" s="1063"/>
      <c r="L277" s="1063"/>
      <c r="M277" s="1125"/>
      <c r="N277" s="2389">
        <f t="shared" ref="N277:R279" si="173">N278</f>
        <v>0</v>
      </c>
      <c r="O277" s="2485">
        <f t="shared" si="173"/>
        <v>0</v>
      </c>
      <c r="P277" s="2486">
        <f t="shared" si="173"/>
        <v>0</v>
      </c>
      <c r="Q277" s="2487">
        <f t="shared" si="173"/>
        <v>0</v>
      </c>
      <c r="R277" s="2488">
        <f t="shared" si="173"/>
        <v>0</v>
      </c>
      <c r="S277" s="1972"/>
      <c r="T277" s="1972"/>
      <c r="U277" s="1972"/>
      <c r="V277" s="2389">
        <f t="shared" ref="V277:W279" si="174">V278</f>
        <v>0</v>
      </c>
      <c r="W277" s="2389">
        <f t="shared" si="174"/>
        <v>0</v>
      </c>
    </row>
    <row r="278" spans="1:26" ht="26" hidden="1" x14ac:dyDescent="0.25">
      <c r="A278" s="32"/>
      <c r="B278" s="49" t="s">
        <v>237</v>
      </c>
      <c r="C278" s="9"/>
      <c r="D278" s="9" t="s">
        <v>168</v>
      </c>
      <c r="E278" s="9" t="s">
        <v>166</v>
      </c>
      <c r="F278" s="9" t="s">
        <v>233</v>
      </c>
      <c r="G278" s="88"/>
      <c r="H278" s="88"/>
      <c r="I278" s="9"/>
      <c r="J278" s="1063">
        <f>J279</f>
        <v>296</v>
      </c>
      <c r="K278" s="1063"/>
      <c r="L278" s="1063">
        <f>L279</f>
        <v>296</v>
      </c>
      <c r="M278" s="1125">
        <f>M279</f>
        <v>136</v>
      </c>
      <c r="N278" s="2389">
        <f t="shared" si="173"/>
        <v>0</v>
      </c>
      <c r="O278" s="2485">
        <f t="shared" si="173"/>
        <v>0</v>
      </c>
      <c r="P278" s="2486">
        <f t="shared" si="173"/>
        <v>0</v>
      </c>
      <c r="Q278" s="2487">
        <f t="shared" si="173"/>
        <v>0</v>
      </c>
      <c r="R278" s="2488">
        <f t="shared" si="173"/>
        <v>0</v>
      </c>
      <c r="S278" s="1972"/>
      <c r="T278" s="1972"/>
      <c r="U278" s="1972"/>
      <c r="V278" s="2389">
        <f t="shared" si="174"/>
        <v>0</v>
      </c>
      <c r="W278" s="2389">
        <f t="shared" si="174"/>
        <v>0</v>
      </c>
    </row>
    <row r="279" spans="1:26" ht="25.15" hidden="1" customHeight="1" x14ac:dyDescent="0.25">
      <c r="A279" s="32"/>
      <c r="B279" s="1993" t="s">
        <v>4</v>
      </c>
      <c r="C279" s="9"/>
      <c r="D279" s="9" t="s">
        <v>168</v>
      </c>
      <c r="E279" s="9" t="s">
        <v>166</v>
      </c>
      <c r="F279" s="9" t="s">
        <v>233</v>
      </c>
      <c r="G279" s="88">
        <v>240</v>
      </c>
      <c r="H279" s="88"/>
      <c r="I279" s="9"/>
      <c r="J279" s="1063">
        <f>J280</f>
        <v>296</v>
      </c>
      <c r="K279" s="1063"/>
      <c r="L279" s="1063">
        <v>296</v>
      </c>
      <c r="M279" s="1125">
        <v>136</v>
      </c>
      <c r="N279" s="2389">
        <f t="shared" si="173"/>
        <v>0</v>
      </c>
      <c r="O279" s="2485">
        <f t="shared" si="173"/>
        <v>0</v>
      </c>
      <c r="P279" s="2486">
        <f t="shared" si="173"/>
        <v>0</v>
      </c>
      <c r="Q279" s="2487">
        <f t="shared" si="173"/>
        <v>0</v>
      </c>
      <c r="R279" s="2488">
        <f t="shared" si="173"/>
        <v>0</v>
      </c>
      <c r="S279" s="1972"/>
      <c r="T279" s="1972"/>
      <c r="U279" s="1972"/>
      <c r="V279" s="2389">
        <f t="shared" si="174"/>
        <v>0</v>
      </c>
      <c r="W279" s="2389">
        <f t="shared" si="174"/>
        <v>0</v>
      </c>
    </row>
    <row r="280" spans="1:26" ht="26" hidden="1" x14ac:dyDescent="0.3">
      <c r="A280" s="32"/>
      <c r="B280" s="2012" t="s">
        <v>221</v>
      </c>
      <c r="C280" s="9"/>
      <c r="D280" s="9"/>
      <c r="E280" s="9"/>
      <c r="F280" s="9" t="s">
        <v>233</v>
      </c>
      <c r="G280" s="88">
        <v>240</v>
      </c>
      <c r="H280" s="88">
        <v>3</v>
      </c>
      <c r="I280" s="9" t="s">
        <v>539</v>
      </c>
      <c r="J280" s="1063">
        <v>296</v>
      </c>
      <c r="K280" s="1063"/>
      <c r="L280" s="1063">
        <v>296</v>
      </c>
      <c r="M280" s="1125">
        <v>136</v>
      </c>
      <c r="N280" s="2389"/>
      <c r="O280" s="2485"/>
      <c r="P280" s="2486"/>
      <c r="Q280" s="2487"/>
      <c r="R280" s="2488"/>
      <c r="S280" s="1972"/>
      <c r="T280" s="1972"/>
      <c r="U280" s="1972"/>
      <c r="V280" s="2389"/>
      <c r="W280" s="2389"/>
    </row>
    <row r="281" spans="1:26" ht="39" x14ac:dyDescent="0.25">
      <c r="A281" s="32"/>
      <c r="B281" s="1093" t="s">
        <v>236</v>
      </c>
      <c r="C281" s="9"/>
      <c r="D281" s="9"/>
      <c r="E281" s="9"/>
      <c r="F281" s="9" t="s">
        <v>235</v>
      </c>
      <c r="G281" s="88"/>
      <c r="H281" s="88"/>
      <c r="I281" s="9"/>
      <c r="J281" s="1063">
        <f>J287</f>
        <v>200</v>
      </c>
      <c r="K281" s="1063"/>
      <c r="L281" s="1063"/>
      <c r="M281" s="1125"/>
      <c r="N281" s="2389">
        <f>N282</f>
        <v>303.14899999999989</v>
      </c>
      <c r="O281" s="2485">
        <f>O287+O282</f>
        <v>506</v>
      </c>
      <c r="P281" s="2486">
        <f>P287+P282</f>
        <v>646</v>
      </c>
      <c r="Q281" s="2487">
        <f>Q282</f>
        <v>376</v>
      </c>
      <c r="R281" s="2488">
        <f>R282</f>
        <v>391</v>
      </c>
      <c r="S281" s="1972"/>
      <c r="T281" s="1972"/>
      <c r="U281" s="1972"/>
      <c r="V281" s="2389">
        <f>V282</f>
        <v>230</v>
      </c>
      <c r="W281" s="2389">
        <f>W282</f>
        <v>230</v>
      </c>
    </row>
    <row r="282" spans="1:26" ht="26" x14ac:dyDescent="0.25">
      <c r="A282" s="32"/>
      <c r="B282" s="1098" t="s">
        <v>234</v>
      </c>
      <c r="C282" s="9"/>
      <c r="D282" s="9"/>
      <c r="E282" s="9"/>
      <c r="F282" s="9" t="s">
        <v>233</v>
      </c>
      <c r="G282" s="88"/>
      <c r="H282" s="88"/>
      <c r="I282" s="9"/>
      <c r="J282" s="1063"/>
      <c r="K282" s="1063"/>
      <c r="L282" s="1063"/>
      <c r="M282" s="1125"/>
      <c r="N282" s="2389">
        <f>N284</f>
        <v>303.14899999999989</v>
      </c>
      <c r="O282" s="2485">
        <f>O284</f>
        <v>320</v>
      </c>
      <c r="P282" s="2486">
        <f>P284</f>
        <v>340</v>
      </c>
      <c r="Q282" s="2487">
        <f>Q284</f>
        <v>376</v>
      </c>
      <c r="R282" s="2488">
        <f>R284</f>
        <v>391</v>
      </c>
      <c r="S282" s="1972"/>
      <c r="T282" s="1972"/>
      <c r="U282" s="1972"/>
      <c r="V282" s="2389">
        <f>V284</f>
        <v>230</v>
      </c>
      <c r="W282" s="2389">
        <f>W284</f>
        <v>230</v>
      </c>
    </row>
    <row r="283" spans="1:26" ht="26" x14ac:dyDescent="0.25">
      <c r="A283" s="32"/>
      <c r="B283" s="49" t="s">
        <v>1048</v>
      </c>
      <c r="C283" s="9"/>
      <c r="D283" s="9"/>
      <c r="E283" s="9"/>
      <c r="F283" s="9" t="s">
        <v>233</v>
      </c>
      <c r="G283" s="88">
        <v>200</v>
      </c>
      <c r="H283" s="88"/>
      <c r="I283" s="9"/>
      <c r="J283" s="1063"/>
      <c r="K283" s="1063"/>
      <c r="L283" s="1063"/>
      <c r="M283" s="1125"/>
      <c r="N283" s="2389">
        <f>N284</f>
        <v>303.14899999999989</v>
      </c>
      <c r="O283" s="2485"/>
      <c r="P283" s="2486"/>
      <c r="Q283" s="2487"/>
      <c r="R283" s="2488"/>
      <c r="S283" s="1972"/>
      <c r="T283" s="1972"/>
      <c r="U283" s="1972"/>
      <c r="V283" s="2389">
        <f t="shared" ref="V283:W283" si="175">V284</f>
        <v>230</v>
      </c>
      <c r="W283" s="2389">
        <f t="shared" si="175"/>
        <v>230</v>
      </c>
    </row>
    <row r="284" spans="1:26" ht="26" x14ac:dyDescent="0.25">
      <c r="A284" s="32"/>
      <c r="B284" s="1993" t="s">
        <v>4</v>
      </c>
      <c r="C284" s="9"/>
      <c r="D284" s="9"/>
      <c r="E284" s="9"/>
      <c r="F284" s="9" t="s">
        <v>233</v>
      </c>
      <c r="G284" s="88">
        <v>240</v>
      </c>
      <c r="H284" s="88"/>
      <c r="I284" s="9"/>
      <c r="J284" s="1063"/>
      <c r="K284" s="1063"/>
      <c r="L284" s="1063"/>
      <c r="M284" s="1125"/>
      <c r="N284" s="2389">
        <f t="shared" ref="N284:R284" si="176">N285</f>
        <v>303.14899999999989</v>
      </c>
      <c r="O284" s="2485">
        <f t="shared" si="176"/>
        <v>320</v>
      </c>
      <c r="P284" s="2486">
        <f t="shared" si="176"/>
        <v>340</v>
      </c>
      <c r="Q284" s="2487">
        <f t="shared" si="176"/>
        <v>376</v>
      </c>
      <c r="R284" s="2488">
        <f t="shared" si="176"/>
        <v>391</v>
      </c>
      <c r="S284" s="1972"/>
      <c r="T284" s="1972"/>
      <c r="U284" s="1972"/>
      <c r="V284" s="2389">
        <f t="shared" ref="V284:W284" si="177">V285</f>
        <v>230</v>
      </c>
      <c r="W284" s="2389">
        <f t="shared" si="177"/>
        <v>230</v>
      </c>
    </row>
    <row r="285" spans="1:26" ht="26" x14ac:dyDescent="0.3">
      <c r="A285" s="32"/>
      <c r="B285" s="336" t="s">
        <v>1207</v>
      </c>
      <c r="C285" s="9"/>
      <c r="D285" s="9"/>
      <c r="E285" s="9"/>
      <c r="F285" s="9" t="s">
        <v>233</v>
      </c>
      <c r="G285" s="88">
        <v>240</v>
      </c>
      <c r="H285" s="9" t="s">
        <v>495</v>
      </c>
      <c r="I285" s="9" t="s">
        <v>496</v>
      </c>
      <c r="J285" s="1063"/>
      <c r="K285" s="1063"/>
      <c r="L285" s="1063"/>
      <c r="M285" s="1125"/>
      <c r="N285" s="2389">
        <f>1326.82-754.671-269</f>
        <v>303.14899999999989</v>
      </c>
      <c r="O285" s="2485">
        <v>320</v>
      </c>
      <c r="P285" s="2486">
        <v>340</v>
      </c>
      <c r="Q285" s="2487">
        <v>376</v>
      </c>
      <c r="R285" s="2488">
        <v>391</v>
      </c>
      <c r="S285" s="1972"/>
      <c r="T285" s="1972"/>
      <c r="U285" s="1972"/>
      <c r="V285" s="2389">
        <v>230</v>
      </c>
      <c r="W285" s="2389">
        <v>230</v>
      </c>
    </row>
    <row r="286" spans="1:26" ht="17.5" customHeight="1" x14ac:dyDescent="0.25">
      <c r="A286" s="32"/>
      <c r="B286" s="1093" t="s">
        <v>232</v>
      </c>
      <c r="C286" s="9"/>
      <c r="D286" s="9"/>
      <c r="E286" s="9"/>
      <c r="F286" s="9" t="s">
        <v>231</v>
      </c>
      <c r="G286" s="88"/>
      <c r="H286" s="88"/>
      <c r="I286" s="9"/>
      <c r="J286" s="1063"/>
      <c r="K286" s="1063"/>
      <c r="L286" s="1063"/>
      <c r="M286" s="1125"/>
      <c r="N286" s="2389">
        <f>N290</f>
        <v>270</v>
      </c>
      <c r="O286" s="2485">
        <f t="shared" ref="N286:R289" si="178">O287</f>
        <v>186</v>
      </c>
      <c r="P286" s="2486">
        <f t="shared" si="178"/>
        <v>306</v>
      </c>
      <c r="Q286" s="2487">
        <f t="shared" si="178"/>
        <v>230</v>
      </c>
      <c r="R286" s="2488">
        <f t="shared" si="178"/>
        <v>239.2</v>
      </c>
      <c r="S286" s="1972"/>
      <c r="T286" s="1972"/>
      <c r="U286" s="1972"/>
      <c r="V286" s="2389">
        <f>V290</f>
        <v>320</v>
      </c>
      <c r="W286" s="2389">
        <f>W290</f>
        <v>320</v>
      </c>
    </row>
    <row r="287" spans="1:26" ht="13" x14ac:dyDescent="0.25">
      <c r="A287" s="32"/>
      <c r="B287" s="1098" t="s">
        <v>230</v>
      </c>
      <c r="C287" s="9"/>
      <c r="D287" s="9" t="s">
        <v>168</v>
      </c>
      <c r="E287" s="9" t="s">
        <v>166</v>
      </c>
      <c r="F287" s="9" t="s">
        <v>229</v>
      </c>
      <c r="G287" s="88"/>
      <c r="H287" s="88"/>
      <c r="I287" s="9"/>
      <c r="J287" s="1063">
        <f>J289</f>
        <v>200</v>
      </c>
      <c r="K287" s="1063"/>
      <c r="L287" s="1063">
        <f t="shared" ref="L287:R287" si="179">L289</f>
        <v>200</v>
      </c>
      <c r="M287" s="1125">
        <f t="shared" si="179"/>
        <v>200</v>
      </c>
      <c r="N287" s="2389">
        <f t="shared" si="179"/>
        <v>270</v>
      </c>
      <c r="O287" s="2485">
        <f t="shared" si="179"/>
        <v>186</v>
      </c>
      <c r="P287" s="2486">
        <f t="shared" si="179"/>
        <v>306</v>
      </c>
      <c r="Q287" s="2487">
        <f t="shared" si="179"/>
        <v>230</v>
      </c>
      <c r="R287" s="2488">
        <f t="shared" si="179"/>
        <v>239.2</v>
      </c>
      <c r="S287" s="1972"/>
      <c r="T287" s="1972"/>
      <c r="U287" s="1972"/>
      <c r="V287" s="2389">
        <f>V289</f>
        <v>320</v>
      </c>
      <c r="W287" s="2389">
        <f>W289</f>
        <v>320</v>
      </c>
    </row>
    <row r="288" spans="1:26" ht="26" x14ac:dyDescent="0.25">
      <c r="A288" s="32"/>
      <c r="B288" s="49" t="s">
        <v>1048</v>
      </c>
      <c r="C288" s="9"/>
      <c r="D288" s="9"/>
      <c r="E288" s="9"/>
      <c r="F288" s="9" t="s">
        <v>229</v>
      </c>
      <c r="G288" s="88">
        <v>200</v>
      </c>
      <c r="H288" s="88"/>
      <c r="I288" s="9"/>
      <c r="J288" s="1063"/>
      <c r="K288" s="1063"/>
      <c r="L288" s="1063"/>
      <c r="M288" s="1125"/>
      <c r="N288" s="2389">
        <f>N289</f>
        <v>270</v>
      </c>
      <c r="O288" s="2485"/>
      <c r="P288" s="2486"/>
      <c r="Q288" s="2487"/>
      <c r="R288" s="2488"/>
      <c r="S288" s="1972"/>
      <c r="T288" s="1972"/>
      <c r="U288" s="1972"/>
      <c r="V288" s="2389">
        <f t="shared" ref="V288:W288" si="180">V289</f>
        <v>320</v>
      </c>
      <c r="W288" s="2389">
        <f t="shared" si="180"/>
        <v>320</v>
      </c>
    </row>
    <row r="289" spans="1:26" ht="25.15" customHeight="1" x14ac:dyDescent="0.25">
      <c r="A289" s="32"/>
      <c r="B289" s="1993" t="s">
        <v>4</v>
      </c>
      <c r="C289" s="9"/>
      <c r="D289" s="9" t="s">
        <v>168</v>
      </c>
      <c r="E289" s="9" t="s">
        <v>166</v>
      </c>
      <c r="F289" s="9" t="s">
        <v>229</v>
      </c>
      <c r="G289" s="88">
        <v>240</v>
      </c>
      <c r="H289" s="88"/>
      <c r="I289" s="9"/>
      <c r="J289" s="1063">
        <f>J290</f>
        <v>200</v>
      </c>
      <c r="K289" s="1063"/>
      <c r="L289" s="1063">
        <v>200</v>
      </c>
      <c r="M289" s="1125">
        <v>200</v>
      </c>
      <c r="N289" s="2389">
        <f t="shared" si="178"/>
        <v>270</v>
      </c>
      <c r="O289" s="2485">
        <f t="shared" si="178"/>
        <v>186</v>
      </c>
      <c r="P289" s="2486">
        <f t="shared" si="178"/>
        <v>306</v>
      </c>
      <c r="Q289" s="2487">
        <f t="shared" si="178"/>
        <v>230</v>
      </c>
      <c r="R289" s="2488">
        <f t="shared" si="178"/>
        <v>239.2</v>
      </c>
      <c r="S289" s="1972"/>
      <c r="T289" s="1972"/>
      <c r="U289" s="1972"/>
      <c r="V289" s="2389">
        <f t="shared" ref="V289:W289" si="181">V290</f>
        <v>320</v>
      </c>
      <c r="W289" s="2389">
        <f t="shared" si="181"/>
        <v>320</v>
      </c>
    </row>
    <row r="290" spans="1:26" ht="26" x14ac:dyDescent="0.3">
      <c r="A290" s="32"/>
      <c r="B290" s="336" t="s">
        <v>1207</v>
      </c>
      <c r="C290" s="9"/>
      <c r="D290" s="9"/>
      <c r="E290" s="9"/>
      <c r="F290" s="9" t="s">
        <v>229</v>
      </c>
      <c r="G290" s="88">
        <v>240</v>
      </c>
      <c r="H290" s="9" t="s">
        <v>495</v>
      </c>
      <c r="I290" s="9" t="s">
        <v>496</v>
      </c>
      <c r="J290" s="1063">
        <v>200</v>
      </c>
      <c r="K290" s="1063"/>
      <c r="L290" s="1063">
        <v>200</v>
      </c>
      <c r="M290" s="1125">
        <v>200</v>
      </c>
      <c r="N290" s="2389">
        <v>270</v>
      </c>
      <c r="O290" s="2485">
        <v>186</v>
      </c>
      <c r="P290" s="2486">
        <v>306</v>
      </c>
      <c r="Q290" s="2487">
        <v>230</v>
      </c>
      <c r="R290" s="2488">
        <v>239.2</v>
      </c>
      <c r="S290" s="1972"/>
      <c r="T290" s="1972"/>
      <c r="U290" s="1972"/>
      <c r="V290" s="2389">
        <v>320</v>
      </c>
      <c r="W290" s="2389">
        <v>320</v>
      </c>
    </row>
    <row r="291" spans="1:26" ht="52" x14ac:dyDescent="0.25">
      <c r="A291" s="32"/>
      <c r="B291" s="157" t="s">
        <v>783</v>
      </c>
      <c r="C291" s="34"/>
      <c r="D291" s="9" t="s">
        <v>168</v>
      </c>
      <c r="E291" s="9" t="s">
        <v>166</v>
      </c>
      <c r="F291" s="9" t="s">
        <v>227</v>
      </c>
      <c r="G291" s="9"/>
      <c r="H291" s="9"/>
      <c r="I291" s="9"/>
      <c r="J291" s="1063">
        <f>J293</f>
        <v>686</v>
      </c>
      <c r="K291" s="1063"/>
      <c r="L291" s="1063">
        <f>L293</f>
        <v>686</v>
      </c>
      <c r="M291" s="1125">
        <f>M293</f>
        <v>686</v>
      </c>
      <c r="N291" s="2389">
        <f t="shared" ref="N291:R292" si="182">N292</f>
        <v>501</v>
      </c>
      <c r="O291" s="2485">
        <f t="shared" si="182"/>
        <v>696</v>
      </c>
      <c r="P291" s="2486">
        <f t="shared" si="182"/>
        <v>30</v>
      </c>
      <c r="Q291" s="2487">
        <f t="shared" si="182"/>
        <v>596</v>
      </c>
      <c r="R291" s="2488">
        <f t="shared" si="182"/>
        <v>619.84</v>
      </c>
      <c r="S291" s="1972"/>
      <c r="T291" s="1972"/>
      <c r="U291" s="1972"/>
      <c r="V291" s="2389">
        <f t="shared" ref="V291:W292" si="183">V292</f>
        <v>242</v>
      </c>
      <c r="W291" s="2389">
        <f t="shared" si="183"/>
        <v>251</v>
      </c>
    </row>
    <row r="292" spans="1:26" ht="52" x14ac:dyDescent="0.25">
      <c r="A292" s="32"/>
      <c r="B292" s="1093" t="s">
        <v>226</v>
      </c>
      <c r="C292" s="34"/>
      <c r="D292" s="9"/>
      <c r="E292" s="9"/>
      <c r="F292" s="9" t="s">
        <v>225</v>
      </c>
      <c r="G292" s="9"/>
      <c r="H292" s="9"/>
      <c r="I292" s="9"/>
      <c r="J292" s="1063">
        <f>J291</f>
        <v>686</v>
      </c>
      <c r="K292" s="1063"/>
      <c r="L292" s="1063"/>
      <c r="M292" s="1125"/>
      <c r="N292" s="2389">
        <f t="shared" si="182"/>
        <v>501</v>
      </c>
      <c r="O292" s="2485">
        <f t="shared" si="182"/>
        <v>696</v>
      </c>
      <c r="P292" s="2486">
        <f t="shared" si="182"/>
        <v>30</v>
      </c>
      <c r="Q292" s="2487">
        <f t="shared" si="182"/>
        <v>596</v>
      </c>
      <c r="R292" s="2488">
        <f t="shared" si="182"/>
        <v>619.84</v>
      </c>
      <c r="S292" s="1972"/>
      <c r="T292" s="1972"/>
      <c r="U292" s="1972"/>
      <c r="V292" s="2389">
        <f t="shared" si="183"/>
        <v>242</v>
      </c>
      <c r="W292" s="2389">
        <f t="shared" si="183"/>
        <v>251</v>
      </c>
    </row>
    <row r="293" spans="1:26" ht="13" x14ac:dyDescent="0.25">
      <c r="A293" s="32"/>
      <c r="B293" s="1098" t="s">
        <v>224</v>
      </c>
      <c r="C293" s="34"/>
      <c r="D293" s="9" t="s">
        <v>168</v>
      </c>
      <c r="E293" s="9" t="s">
        <v>166</v>
      </c>
      <c r="F293" s="9" t="s">
        <v>220</v>
      </c>
      <c r="G293" s="34"/>
      <c r="H293" s="34"/>
      <c r="I293" s="9"/>
      <c r="J293" s="1063">
        <f>J296</f>
        <v>686</v>
      </c>
      <c r="K293" s="1063"/>
      <c r="L293" s="1063">
        <f t="shared" ref="L293:R293" si="184">L296</f>
        <v>686</v>
      </c>
      <c r="M293" s="1125">
        <f t="shared" si="184"/>
        <v>686</v>
      </c>
      <c r="N293" s="2389">
        <f t="shared" si="184"/>
        <v>501</v>
      </c>
      <c r="O293" s="2485">
        <f t="shared" si="184"/>
        <v>696</v>
      </c>
      <c r="P293" s="2486">
        <f t="shared" si="184"/>
        <v>30</v>
      </c>
      <c r="Q293" s="2487">
        <f t="shared" si="184"/>
        <v>596</v>
      </c>
      <c r="R293" s="2488">
        <f t="shared" si="184"/>
        <v>619.84</v>
      </c>
      <c r="S293" s="1972"/>
      <c r="T293" s="1972"/>
      <c r="U293" s="1972"/>
      <c r="V293" s="2389">
        <f t="shared" ref="V293:W293" si="185">V296</f>
        <v>242</v>
      </c>
      <c r="W293" s="2389">
        <f t="shared" si="185"/>
        <v>251</v>
      </c>
    </row>
    <row r="294" spans="1:26" ht="40.5" hidden="1" customHeight="1" x14ac:dyDescent="0.25">
      <c r="A294" s="32"/>
      <c r="B294" s="42" t="s">
        <v>223</v>
      </c>
      <c r="C294" s="160"/>
      <c r="D294" s="31" t="s">
        <v>168</v>
      </c>
      <c r="E294" s="31" t="s">
        <v>166</v>
      </c>
      <c r="F294" s="31" t="s">
        <v>222</v>
      </c>
      <c r="G294" s="161"/>
      <c r="H294" s="161"/>
      <c r="I294" s="31" t="s">
        <v>166</v>
      </c>
      <c r="J294" s="1069"/>
      <c r="K294" s="1069"/>
      <c r="L294" s="1069"/>
      <c r="M294" s="1436"/>
      <c r="N294" s="2389"/>
      <c r="O294" s="2485"/>
      <c r="P294" s="2485"/>
      <c r="Q294" s="2536"/>
      <c r="R294" s="2488"/>
      <c r="S294" s="1972"/>
      <c r="T294" s="1972"/>
      <c r="U294" s="1972"/>
      <c r="V294" s="2389"/>
      <c r="W294" s="2389"/>
    </row>
    <row r="295" spans="1:26" ht="40.5" customHeight="1" x14ac:dyDescent="0.25">
      <c r="A295" s="32"/>
      <c r="B295" s="49" t="s">
        <v>1048</v>
      </c>
      <c r="C295" s="160"/>
      <c r="D295" s="31"/>
      <c r="E295" s="31"/>
      <c r="F295" s="9" t="s">
        <v>220</v>
      </c>
      <c r="G295" s="88">
        <v>200</v>
      </c>
      <c r="H295" s="161"/>
      <c r="I295" s="31"/>
      <c r="J295" s="1069"/>
      <c r="K295" s="1069"/>
      <c r="L295" s="1069"/>
      <c r="M295" s="1436"/>
      <c r="N295" s="2389">
        <f>N296</f>
        <v>501</v>
      </c>
      <c r="O295" s="2485"/>
      <c r="P295" s="2485"/>
      <c r="Q295" s="2536"/>
      <c r="R295" s="2488"/>
      <c r="S295" s="1972"/>
      <c r="T295" s="1972"/>
      <c r="U295" s="1972"/>
      <c r="V295" s="2389">
        <f t="shared" ref="V295:W295" si="186">V296</f>
        <v>242</v>
      </c>
      <c r="W295" s="2389">
        <f t="shared" si="186"/>
        <v>251</v>
      </c>
    </row>
    <row r="296" spans="1:26" ht="25.15" customHeight="1" x14ac:dyDescent="0.25">
      <c r="A296" s="32"/>
      <c r="B296" s="1993" t="s">
        <v>4</v>
      </c>
      <c r="C296" s="160"/>
      <c r="D296" s="9" t="s">
        <v>168</v>
      </c>
      <c r="E296" s="9" t="s">
        <v>166</v>
      </c>
      <c r="F296" s="9" t="s">
        <v>220</v>
      </c>
      <c r="G296" s="33" t="s">
        <v>1</v>
      </c>
      <c r="H296" s="33"/>
      <c r="I296" s="9"/>
      <c r="J296" s="1063">
        <v>686</v>
      </c>
      <c r="K296" s="1069"/>
      <c r="L296" s="1063">
        <v>686</v>
      </c>
      <c r="M296" s="1125">
        <v>686</v>
      </c>
      <c r="N296" s="2389">
        <f>N297</f>
        <v>501</v>
      </c>
      <c r="O296" s="2485">
        <f>O297</f>
        <v>696</v>
      </c>
      <c r="P296" s="2486">
        <f>P297</f>
        <v>30</v>
      </c>
      <c r="Q296" s="2487">
        <f>Q297</f>
        <v>596</v>
      </c>
      <c r="R296" s="2488">
        <f>R297</f>
        <v>619.84</v>
      </c>
      <c r="S296" s="1972"/>
      <c r="T296" s="1972"/>
      <c r="U296" s="1972"/>
      <c r="V296" s="2389">
        <f>V297</f>
        <v>242</v>
      </c>
      <c r="W296" s="2389">
        <f>W297</f>
        <v>251</v>
      </c>
    </row>
    <row r="297" spans="1:26" ht="27.65" customHeight="1" x14ac:dyDescent="0.3">
      <c r="A297" s="32"/>
      <c r="B297" s="336" t="s">
        <v>221</v>
      </c>
      <c r="C297" s="160"/>
      <c r="D297" s="9"/>
      <c r="E297" s="9"/>
      <c r="F297" s="9" t="s">
        <v>220</v>
      </c>
      <c r="G297" s="33" t="s">
        <v>1</v>
      </c>
      <c r="H297" s="9" t="s">
        <v>495</v>
      </c>
      <c r="I297" s="9" t="s">
        <v>496</v>
      </c>
      <c r="J297" s="1063">
        <v>686</v>
      </c>
      <c r="K297" s="1069"/>
      <c r="L297" s="1063">
        <v>686</v>
      </c>
      <c r="M297" s="1125">
        <v>686</v>
      </c>
      <c r="N297" s="2389">
        <f>232+269</f>
        <v>501</v>
      </c>
      <c r="O297" s="2485">
        <v>696</v>
      </c>
      <c r="P297" s="2486">
        <v>30</v>
      </c>
      <c r="Q297" s="2487">
        <v>596</v>
      </c>
      <c r="R297" s="2488">
        <v>619.84</v>
      </c>
      <c r="S297" s="1972"/>
      <c r="T297" s="1972"/>
      <c r="U297" s="1972"/>
      <c r="V297" s="2389">
        <v>242</v>
      </c>
      <c r="W297" s="2389">
        <v>251</v>
      </c>
    </row>
    <row r="298" spans="1:26" s="83" customFormat="1" ht="38.25" customHeight="1" x14ac:dyDescent="0.3">
      <c r="A298" s="91">
        <v>5</v>
      </c>
      <c r="B298" s="52" t="s">
        <v>914</v>
      </c>
      <c r="C298" s="89"/>
      <c r="D298" s="89" t="s">
        <v>52</v>
      </c>
      <c r="E298" s="89" t="s">
        <v>58</v>
      </c>
      <c r="F298" s="89" t="s">
        <v>218</v>
      </c>
      <c r="G298" s="131"/>
      <c r="H298" s="131"/>
      <c r="I298" s="89"/>
      <c r="J298" s="51">
        <f>J299+J318</f>
        <v>1600</v>
      </c>
      <c r="K298" s="158"/>
      <c r="L298" s="51">
        <f t="shared" ref="L298:R298" si="187">L299+L318</f>
        <v>11444.685000000001</v>
      </c>
      <c r="M298" s="1553">
        <f t="shared" si="187"/>
        <v>14038.547</v>
      </c>
      <c r="N298" s="2481">
        <f t="shared" si="187"/>
        <v>6521.2556699999996</v>
      </c>
      <c r="O298" s="2498">
        <f t="shared" si="187"/>
        <v>5740</v>
      </c>
      <c r="P298" s="2499">
        <f t="shared" si="187"/>
        <v>5980</v>
      </c>
      <c r="Q298" s="2500">
        <f t="shared" si="187"/>
        <v>3908.3220000000001</v>
      </c>
      <c r="R298" s="2501">
        <f t="shared" si="187"/>
        <v>3021.3209999999999</v>
      </c>
      <c r="S298" s="2502"/>
      <c r="T298" s="2502"/>
      <c r="U298" s="2502"/>
      <c r="V298" s="2481">
        <f t="shared" ref="V298:W298" si="188">V299+V318</f>
        <v>35761.637650000004</v>
      </c>
      <c r="W298" s="2481">
        <f t="shared" si="188"/>
        <v>1941.52</v>
      </c>
      <c r="X298" s="84"/>
      <c r="Z298" s="2141"/>
    </row>
    <row r="299" spans="1:26" s="83" customFormat="1" ht="26" x14ac:dyDescent="0.3">
      <c r="A299" s="85"/>
      <c r="B299" s="157" t="s">
        <v>217</v>
      </c>
      <c r="C299" s="33"/>
      <c r="D299" s="33" t="s">
        <v>52</v>
      </c>
      <c r="E299" s="33" t="s">
        <v>58</v>
      </c>
      <c r="F299" s="33" t="s">
        <v>216</v>
      </c>
      <c r="G299" s="33"/>
      <c r="H299" s="33"/>
      <c r="I299" s="33"/>
      <c r="J299" s="1061">
        <f>J300</f>
        <v>800</v>
      </c>
      <c r="K299" s="1063"/>
      <c r="L299" s="1063">
        <f>L301</f>
        <v>10777.685000000001</v>
      </c>
      <c r="M299" s="1550">
        <f>M301</f>
        <v>13305.547</v>
      </c>
      <c r="N299" s="2389">
        <f>N300</f>
        <v>5601.0556699999997</v>
      </c>
      <c r="O299" s="2485">
        <f>O300</f>
        <v>0</v>
      </c>
      <c r="P299" s="2486">
        <f>P300</f>
        <v>0</v>
      </c>
      <c r="Q299" s="2487">
        <f>Q300</f>
        <v>1726.1220000000001</v>
      </c>
      <c r="R299" s="2488">
        <f>R300</f>
        <v>1726.1220000000001</v>
      </c>
      <c r="S299" s="2502"/>
      <c r="T299" s="2502"/>
      <c r="U299" s="2502"/>
      <c r="V299" s="2389">
        <f>V300</f>
        <v>35761.637650000004</v>
      </c>
      <c r="W299" s="2509">
        <f>W300</f>
        <v>948.3</v>
      </c>
      <c r="X299" s="84"/>
      <c r="Z299" s="2141"/>
    </row>
    <row r="300" spans="1:26" s="83" customFormat="1" ht="59.15" customHeight="1" x14ac:dyDescent="0.3">
      <c r="A300" s="85"/>
      <c r="B300" s="1093" t="s">
        <v>1040</v>
      </c>
      <c r="C300" s="33"/>
      <c r="D300" s="33"/>
      <c r="E300" s="33"/>
      <c r="F300" s="33" t="s">
        <v>214</v>
      </c>
      <c r="G300" s="89"/>
      <c r="H300" s="89"/>
      <c r="I300" s="33"/>
      <c r="J300" s="1061">
        <f>J304+J309+J313+J317</f>
        <v>800</v>
      </c>
      <c r="K300" s="1063"/>
      <c r="L300" s="1063"/>
      <c r="M300" s="1550"/>
      <c r="N300" s="2541">
        <f>N304+N309+N317</f>
        <v>5601.0556699999997</v>
      </c>
      <c r="O300" s="2542">
        <f>O304+O309+O317</f>
        <v>0</v>
      </c>
      <c r="P300" s="2543">
        <f>P304+P309+P317</f>
        <v>0</v>
      </c>
      <c r="Q300" s="2544">
        <f>Q304+Q309+Q317</f>
        <v>1726.1220000000001</v>
      </c>
      <c r="R300" s="2545">
        <f>R304+R309+R317</f>
        <v>1726.1220000000001</v>
      </c>
      <c r="S300" s="2546"/>
      <c r="T300" s="2546"/>
      <c r="U300" s="2546"/>
      <c r="V300" s="2541">
        <f>V304+V309+V317+V313</f>
        <v>35761.637650000004</v>
      </c>
      <c r="W300" s="2521">
        <f>W304+W309+W317</f>
        <v>948.3</v>
      </c>
      <c r="X300" s="84"/>
      <c r="Z300" s="2141"/>
    </row>
    <row r="301" spans="1:26" s="83" customFormat="1" ht="13" hidden="1" x14ac:dyDescent="0.3">
      <c r="A301" s="85"/>
      <c r="B301" s="1098" t="s">
        <v>201</v>
      </c>
      <c r="C301" s="33"/>
      <c r="D301" s="33" t="s">
        <v>52</v>
      </c>
      <c r="E301" s="33" t="s">
        <v>58</v>
      </c>
      <c r="F301" s="33" t="s">
        <v>213</v>
      </c>
      <c r="G301" s="33"/>
      <c r="H301" s="33"/>
      <c r="I301" s="33"/>
      <c r="J301" s="1061">
        <f>J303</f>
        <v>0</v>
      </c>
      <c r="K301" s="1063"/>
      <c r="L301" s="1061">
        <f>L307</f>
        <v>10777.685000000001</v>
      </c>
      <c r="M301" s="1550">
        <f>M307</f>
        <v>13305.547</v>
      </c>
      <c r="N301" s="2541">
        <f>N303</f>
        <v>0</v>
      </c>
      <c r="O301" s="2542">
        <f>O303</f>
        <v>0</v>
      </c>
      <c r="P301" s="2543">
        <f>P303</f>
        <v>0</v>
      </c>
      <c r="Q301" s="2544">
        <f>Q303</f>
        <v>0</v>
      </c>
      <c r="R301" s="2545">
        <f>R303</f>
        <v>0</v>
      </c>
      <c r="S301" s="2546"/>
      <c r="T301" s="2546"/>
      <c r="U301" s="2546"/>
      <c r="V301" s="2541">
        <f>V303</f>
        <v>0</v>
      </c>
      <c r="W301" s="2521">
        <f>W303</f>
        <v>0</v>
      </c>
      <c r="X301" s="84"/>
      <c r="Z301" s="2141"/>
    </row>
    <row r="302" spans="1:26" s="83" customFormat="1" ht="26" hidden="1" x14ac:dyDescent="0.3">
      <c r="A302" s="85"/>
      <c r="B302" s="49" t="s">
        <v>1048</v>
      </c>
      <c r="C302" s="33"/>
      <c r="D302" s="33"/>
      <c r="E302" s="33"/>
      <c r="F302" s="33" t="s">
        <v>213</v>
      </c>
      <c r="G302" s="33" t="s">
        <v>955</v>
      </c>
      <c r="H302" s="33"/>
      <c r="I302" s="33"/>
      <c r="J302" s="1061"/>
      <c r="K302" s="1063"/>
      <c r="L302" s="1061"/>
      <c r="M302" s="1550"/>
      <c r="N302" s="2541">
        <f>N303</f>
        <v>0</v>
      </c>
      <c r="O302" s="2542"/>
      <c r="P302" s="2543"/>
      <c r="Q302" s="2544"/>
      <c r="R302" s="2545"/>
      <c r="S302" s="2546"/>
      <c r="T302" s="2546"/>
      <c r="U302" s="2546"/>
      <c r="V302" s="2541">
        <f>V303</f>
        <v>0</v>
      </c>
      <c r="W302" s="2521">
        <f>W303</f>
        <v>0</v>
      </c>
      <c r="X302" s="84"/>
      <c r="Z302" s="2141"/>
    </row>
    <row r="303" spans="1:26" s="83" customFormat="1" ht="26" hidden="1" x14ac:dyDescent="0.3">
      <c r="A303" s="85"/>
      <c r="B303" s="1993" t="s">
        <v>4</v>
      </c>
      <c r="C303" s="33"/>
      <c r="D303" s="33"/>
      <c r="E303" s="33"/>
      <c r="F303" s="33" t="s">
        <v>213</v>
      </c>
      <c r="G303" s="33" t="s">
        <v>1</v>
      </c>
      <c r="H303" s="33"/>
      <c r="I303" s="33"/>
      <c r="J303" s="1061">
        <f>J304</f>
        <v>0</v>
      </c>
      <c r="K303" s="1063"/>
      <c r="L303" s="1061"/>
      <c r="M303" s="1550"/>
      <c r="N303" s="2541">
        <v>0</v>
      </c>
      <c r="O303" s="2542">
        <f t="shared" ref="O303:R303" si="189">O304</f>
        <v>0</v>
      </c>
      <c r="P303" s="2543">
        <f t="shared" si="189"/>
        <v>0</v>
      </c>
      <c r="Q303" s="2544">
        <f t="shared" si="189"/>
        <v>0</v>
      </c>
      <c r="R303" s="2545">
        <f t="shared" si="189"/>
        <v>0</v>
      </c>
      <c r="S303" s="2546"/>
      <c r="T303" s="2546"/>
      <c r="U303" s="2546"/>
      <c r="V303" s="2541">
        <f t="shared" ref="V303:W303" si="190">V304</f>
        <v>0</v>
      </c>
      <c r="W303" s="2521">
        <f t="shared" si="190"/>
        <v>0</v>
      </c>
      <c r="X303" s="84"/>
      <c r="Z303" s="2141"/>
    </row>
    <row r="304" spans="1:26" s="83" customFormat="1" ht="13" hidden="1" x14ac:dyDescent="0.3">
      <c r="A304" s="85"/>
      <c r="B304" s="744" t="s">
        <v>60</v>
      </c>
      <c r="C304" s="33"/>
      <c r="D304" s="33"/>
      <c r="E304" s="33"/>
      <c r="F304" s="33" t="s">
        <v>213</v>
      </c>
      <c r="G304" s="33" t="s">
        <v>1</v>
      </c>
      <c r="H304" s="9" t="s">
        <v>452</v>
      </c>
      <c r="I304" s="9" t="s">
        <v>539</v>
      </c>
      <c r="J304" s="1061"/>
      <c r="K304" s="1063"/>
      <c r="L304" s="1061"/>
      <c r="M304" s="1550"/>
      <c r="N304" s="2541">
        <v>0</v>
      </c>
      <c r="O304" s="2542"/>
      <c r="P304" s="2543"/>
      <c r="Q304" s="2544"/>
      <c r="R304" s="2545"/>
      <c r="S304" s="2546"/>
      <c r="T304" s="2546"/>
      <c r="U304" s="2546"/>
      <c r="V304" s="2541">
        <v>0</v>
      </c>
      <c r="W304" s="2521">
        <v>0</v>
      </c>
      <c r="X304" s="84"/>
      <c r="Z304" s="2141"/>
    </row>
    <row r="305" spans="1:26" s="83" customFormat="1" ht="26" x14ac:dyDescent="0.3">
      <c r="A305" s="85"/>
      <c r="B305" s="1098" t="s">
        <v>212</v>
      </c>
      <c r="C305" s="33"/>
      <c r="D305" s="33"/>
      <c r="E305" s="33"/>
      <c r="F305" s="33" t="s">
        <v>984</v>
      </c>
      <c r="G305" s="33"/>
      <c r="H305" s="33"/>
      <c r="I305" s="33"/>
      <c r="J305" s="1061">
        <f>J307</f>
        <v>800</v>
      </c>
      <c r="K305" s="1063"/>
      <c r="L305" s="1061"/>
      <c r="M305" s="1550"/>
      <c r="N305" s="2541">
        <f>N307</f>
        <v>725</v>
      </c>
      <c r="O305" s="2542">
        <f>O307</f>
        <v>0</v>
      </c>
      <c r="P305" s="2543">
        <f>P307</f>
        <v>0</v>
      </c>
      <c r="Q305" s="2544">
        <f>Q307</f>
        <v>1726.1220000000001</v>
      </c>
      <c r="R305" s="2545">
        <f>R307</f>
        <v>1726.1220000000001</v>
      </c>
      <c r="S305" s="2546"/>
      <c r="T305" s="2546"/>
      <c r="U305" s="2546"/>
      <c r="V305" s="2521">
        <f>V307</f>
        <v>0</v>
      </c>
      <c r="W305" s="2521">
        <f>W307</f>
        <v>0</v>
      </c>
      <c r="X305" s="84"/>
      <c r="Z305" s="2141"/>
    </row>
    <row r="306" spans="1:26" s="83" customFormat="1" ht="26" x14ac:dyDescent="0.3">
      <c r="A306" s="85"/>
      <c r="B306" s="49" t="s">
        <v>1048</v>
      </c>
      <c r="C306" s="33"/>
      <c r="D306" s="33"/>
      <c r="E306" s="33"/>
      <c r="F306" s="33" t="s">
        <v>984</v>
      </c>
      <c r="G306" s="33" t="s">
        <v>955</v>
      </c>
      <c r="H306" s="33"/>
      <c r="I306" s="33"/>
      <c r="J306" s="1061"/>
      <c r="K306" s="1063"/>
      <c r="L306" s="1061"/>
      <c r="M306" s="1550"/>
      <c r="N306" s="2541">
        <f>N307</f>
        <v>725</v>
      </c>
      <c r="O306" s="2542"/>
      <c r="P306" s="2543"/>
      <c r="Q306" s="2544"/>
      <c r="R306" s="2545"/>
      <c r="S306" s="2546"/>
      <c r="T306" s="2546"/>
      <c r="U306" s="2546"/>
      <c r="V306" s="2521">
        <f>V307</f>
        <v>0</v>
      </c>
      <c r="W306" s="2521">
        <f>W307</f>
        <v>0</v>
      </c>
      <c r="X306" s="84"/>
      <c r="Z306" s="2141"/>
    </row>
    <row r="307" spans="1:26" s="83" customFormat="1" ht="25.15" customHeight="1" x14ac:dyDescent="0.3">
      <c r="A307" s="85"/>
      <c r="B307" s="1993" t="s">
        <v>4</v>
      </c>
      <c r="C307" s="33"/>
      <c r="D307" s="33" t="s">
        <v>52</v>
      </c>
      <c r="E307" s="33" t="s">
        <v>58</v>
      </c>
      <c r="F307" s="33" t="s">
        <v>984</v>
      </c>
      <c r="G307" s="33" t="s">
        <v>1</v>
      </c>
      <c r="H307" s="33"/>
      <c r="I307" s="33"/>
      <c r="J307" s="1061">
        <f>J309</f>
        <v>800</v>
      </c>
      <c r="K307" s="1063"/>
      <c r="L307" s="1061">
        <f>22480.2-11702.515</f>
        <v>10777.685000000001</v>
      </c>
      <c r="M307" s="1550">
        <v>13305.547</v>
      </c>
      <c r="N307" s="2541">
        <f>N309</f>
        <v>725</v>
      </c>
      <c r="O307" s="2542">
        <f>O309</f>
        <v>0</v>
      </c>
      <c r="P307" s="2543">
        <f>P309</f>
        <v>0</v>
      </c>
      <c r="Q307" s="2544">
        <f>Q309</f>
        <v>1726.1220000000001</v>
      </c>
      <c r="R307" s="2545">
        <f>R309</f>
        <v>1726.1220000000001</v>
      </c>
      <c r="S307" s="2546"/>
      <c r="T307" s="2546"/>
      <c r="U307" s="2546"/>
      <c r="V307" s="2521">
        <f>V309</f>
        <v>0</v>
      </c>
      <c r="W307" s="2521">
        <f>W309</f>
        <v>0</v>
      </c>
      <c r="X307" s="84"/>
      <c r="Z307" s="2141"/>
    </row>
    <row r="308" spans="1:26" s="83" customFormat="1" ht="52" hidden="1" x14ac:dyDescent="0.3">
      <c r="A308" s="85"/>
      <c r="B308" s="90" t="s">
        <v>211</v>
      </c>
      <c r="C308" s="89"/>
      <c r="D308" s="33" t="s">
        <v>52</v>
      </c>
      <c r="E308" s="33" t="s">
        <v>58</v>
      </c>
      <c r="F308" s="33" t="s">
        <v>210</v>
      </c>
      <c r="G308" s="89"/>
      <c r="H308" s="89"/>
      <c r="I308" s="33" t="s">
        <v>58</v>
      </c>
      <c r="J308" s="1063"/>
      <c r="K308" s="1063"/>
      <c r="L308" s="1063"/>
      <c r="M308" s="1125"/>
      <c r="N308" s="2541"/>
      <c r="O308" s="2542"/>
      <c r="P308" s="2543"/>
      <c r="Q308" s="2544"/>
      <c r="R308" s="2545"/>
      <c r="S308" s="2546"/>
      <c r="T308" s="2546"/>
      <c r="U308" s="2546"/>
      <c r="V308" s="2521"/>
      <c r="W308" s="2521"/>
      <c r="X308" s="84"/>
      <c r="Z308" s="2141"/>
    </row>
    <row r="309" spans="1:26" s="83" customFormat="1" ht="13" x14ac:dyDescent="0.3">
      <c r="A309" s="85"/>
      <c r="B309" s="744" t="s">
        <v>60</v>
      </c>
      <c r="C309" s="89"/>
      <c r="D309" s="33"/>
      <c r="E309" s="33"/>
      <c r="F309" s="33" t="s">
        <v>984</v>
      </c>
      <c r="G309" s="33" t="s">
        <v>1</v>
      </c>
      <c r="H309" s="9" t="s">
        <v>452</v>
      </c>
      <c r="I309" s="9" t="s">
        <v>539</v>
      </c>
      <c r="J309" s="1061">
        <v>800</v>
      </c>
      <c r="K309" s="1063"/>
      <c r="L309" s="1061">
        <f>22480.2-11702.515</f>
        <v>10777.685000000001</v>
      </c>
      <c r="M309" s="1550">
        <v>13305.547</v>
      </c>
      <c r="N309" s="2541">
        <v>725</v>
      </c>
      <c r="O309" s="2542"/>
      <c r="P309" s="2543"/>
      <c r="Q309" s="2544">
        <v>1726.1220000000001</v>
      </c>
      <c r="R309" s="2545">
        <v>1726.1220000000001</v>
      </c>
      <c r="S309" s="2546"/>
      <c r="T309" s="2546"/>
      <c r="U309" s="2546"/>
      <c r="V309" s="2521">
        <v>0</v>
      </c>
      <c r="W309" s="2521">
        <v>0</v>
      </c>
      <c r="X309" s="84"/>
      <c r="Z309" s="2141"/>
    </row>
    <row r="310" spans="1:26" s="83" customFormat="1" ht="52" x14ac:dyDescent="0.3">
      <c r="A310" s="85"/>
      <c r="B310" s="1098" t="s">
        <v>1230</v>
      </c>
      <c r="C310" s="89"/>
      <c r="D310" s="33"/>
      <c r="E310" s="33"/>
      <c r="F310" s="33" t="s">
        <v>1229</v>
      </c>
      <c r="G310" s="33"/>
      <c r="H310" s="33"/>
      <c r="I310" s="33"/>
      <c r="J310" s="1061">
        <f>J312</f>
        <v>0</v>
      </c>
      <c r="K310" s="1063"/>
      <c r="L310" s="1061"/>
      <c r="M310" s="1550"/>
      <c r="N310" s="2541">
        <f>N312</f>
        <v>0</v>
      </c>
      <c r="O310" s="2542">
        <f>O312</f>
        <v>0</v>
      </c>
      <c r="P310" s="2543">
        <f>P312</f>
        <v>0</v>
      </c>
      <c r="Q310" s="2544">
        <f>Q312</f>
        <v>0</v>
      </c>
      <c r="R310" s="2545">
        <f>R312</f>
        <v>0</v>
      </c>
      <c r="S310" s="2546"/>
      <c r="T310" s="2546"/>
      <c r="U310" s="2546"/>
      <c r="V310" s="2541">
        <f>V312</f>
        <v>34813.337650000001</v>
      </c>
      <c r="W310" s="2541">
        <f>W312</f>
        <v>0</v>
      </c>
      <c r="X310" s="84"/>
      <c r="Z310" s="2141"/>
    </row>
    <row r="311" spans="1:26" s="83" customFormat="1" ht="29.5" customHeight="1" x14ac:dyDescent="0.3">
      <c r="A311" s="85"/>
      <c r="B311" s="49" t="s">
        <v>1048</v>
      </c>
      <c r="C311" s="89"/>
      <c r="D311" s="33"/>
      <c r="E311" s="33"/>
      <c r="F311" s="33" t="s">
        <v>1229</v>
      </c>
      <c r="G311" s="33" t="s">
        <v>955</v>
      </c>
      <c r="H311" s="33"/>
      <c r="I311" s="33"/>
      <c r="J311" s="1061"/>
      <c r="K311" s="1063"/>
      <c r="L311" s="1061"/>
      <c r="M311" s="1550"/>
      <c r="N311" s="2541">
        <f>N312</f>
        <v>0</v>
      </c>
      <c r="O311" s="2542"/>
      <c r="P311" s="2543"/>
      <c r="Q311" s="2544"/>
      <c r="R311" s="2545"/>
      <c r="S311" s="2546"/>
      <c r="T311" s="2546"/>
      <c r="U311" s="2546"/>
      <c r="V311" s="2541">
        <f>V312</f>
        <v>34813.337650000001</v>
      </c>
      <c r="W311" s="2541">
        <f>W312</f>
        <v>0</v>
      </c>
      <c r="X311" s="84"/>
      <c r="Z311" s="2141"/>
    </row>
    <row r="312" spans="1:26" s="83" customFormat="1" ht="26" x14ac:dyDescent="0.3">
      <c r="A312" s="85"/>
      <c r="B312" s="1993" t="s">
        <v>4</v>
      </c>
      <c r="C312" s="89"/>
      <c r="D312" s="33"/>
      <c r="E312" s="33"/>
      <c r="F312" s="33" t="s">
        <v>1229</v>
      </c>
      <c r="G312" s="33" t="s">
        <v>1</v>
      </c>
      <c r="H312" s="33"/>
      <c r="I312" s="33"/>
      <c r="J312" s="1061">
        <f>J313</f>
        <v>0</v>
      </c>
      <c r="K312" s="1063"/>
      <c r="L312" s="1061"/>
      <c r="M312" s="1550"/>
      <c r="N312" s="2541">
        <f t="shared" ref="N312:R312" si="191">N313</f>
        <v>0</v>
      </c>
      <c r="O312" s="2542">
        <f t="shared" si="191"/>
        <v>0</v>
      </c>
      <c r="P312" s="2543">
        <f t="shared" si="191"/>
        <v>0</v>
      </c>
      <c r="Q312" s="2544">
        <f t="shared" si="191"/>
        <v>0</v>
      </c>
      <c r="R312" s="2545">
        <f t="shared" si="191"/>
        <v>0</v>
      </c>
      <c r="S312" s="2546"/>
      <c r="T312" s="2546"/>
      <c r="U312" s="2546"/>
      <c r="V312" s="2541">
        <f t="shared" ref="V312:W312" si="192">V313</f>
        <v>34813.337650000001</v>
      </c>
      <c r="W312" s="2541">
        <f t="shared" si="192"/>
        <v>0</v>
      </c>
      <c r="X312" s="84"/>
      <c r="Z312" s="2141"/>
    </row>
    <row r="313" spans="1:26" s="83" customFormat="1" ht="13" x14ac:dyDescent="0.3">
      <c r="A313" s="85"/>
      <c r="B313" s="744" t="s">
        <v>60</v>
      </c>
      <c r="C313" s="89"/>
      <c r="D313" s="33"/>
      <c r="E313" s="33"/>
      <c r="F313" s="33" t="s">
        <v>1229</v>
      </c>
      <c r="G313" s="33" t="s">
        <v>1</v>
      </c>
      <c r="H313" s="33" t="s">
        <v>452</v>
      </c>
      <c r="I313" s="33" t="s">
        <v>539</v>
      </c>
      <c r="J313" s="1061"/>
      <c r="K313" s="1063"/>
      <c r="L313" s="1061"/>
      <c r="M313" s="1550"/>
      <c r="N313" s="2541">
        <v>0</v>
      </c>
      <c r="O313" s="2542"/>
      <c r="P313" s="2543"/>
      <c r="Q313" s="2544"/>
      <c r="R313" s="2545"/>
      <c r="S313" s="2546"/>
      <c r="T313" s="2546"/>
      <c r="U313" s="2546"/>
      <c r="V313" s="2541">
        <v>34813.337650000001</v>
      </c>
      <c r="W313" s="2541">
        <v>0</v>
      </c>
      <c r="X313" s="84"/>
      <c r="Z313" s="2141"/>
    </row>
    <row r="314" spans="1:26" s="83" customFormat="1" ht="13" x14ac:dyDescent="0.3">
      <c r="A314" s="85" t="s">
        <v>106</v>
      </c>
      <c r="B314" s="1098" t="s">
        <v>201</v>
      </c>
      <c r="C314" s="89"/>
      <c r="D314" s="33"/>
      <c r="E314" s="33"/>
      <c r="F314" s="33" t="s">
        <v>213</v>
      </c>
      <c r="G314" s="33"/>
      <c r="H314" s="33"/>
      <c r="I314" s="33"/>
      <c r="J314" s="1061">
        <f>J316</f>
        <v>0</v>
      </c>
      <c r="K314" s="1063"/>
      <c r="L314" s="1061"/>
      <c r="M314" s="1550"/>
      <c r="N314" s="2541">
        <f>N316</f>
        <v>4876.0556699999997</v>
      </c>
      <c r="O314" s="2542">
        <f>O316</f>
        <v>0</v>
      </c>
      <c r="P314" s="2543">
        <f>P316</f>
        <v>0</v>
      </c>
      <c r="Q314" s="2544">
        <f>Q316</f>
        <v>0</v>
      </c>
      <c r="R314" s="2545">
        <f>R316</f>
        <v>0</v>
      </c>
      <c r="S314" s="2546"/>
      <c r="T314" s="2546"/>
      <c r="U314" s="2546"/>
      <c r="V314" s="2541">
        <f>V316</f>
        <v>948.3</v>
      </c>
      <c r="W314" s="2521">
        <f>W316</f>
        <v>948.3</v>
      </c>
      <c r="X314" s="84"/>
      <c r="Z314" s="2141"/>
    </row>
    <row r="315" spans="1:26" s="83" customFormat="1" ht="26" x14ac:dyDescent="0.3">
      <c r="A315" s="85"/>
      <c r="B315" s="49" t="s">
        <v>1048</v>
      </c>
      <c r="C315" s="89"/>
      <c r="D315" s="33"/>
      <c r="E315" s="33"/>
      <c r="F315" s="33" t="s">
        <v>213</v>
      </c>
      <c r="G315" s="33" t="s">
        <v>955</v>
      </c>
      <c r="H315" s="33"/>
      <c r="I315" s="33"/>
      <c r="J315" s="1061"/>
      <c r="K315" s="1063"/>
      <c r="L315" s="1061"/>
      <c r="M315" s="1550"/>
      <c r="N315" s="2541">
        <f>N316</f>
        <v>4876.0556699999997</v>
      </c>
      <c r="O315" s="2542"/>
      <c r="P315" s="2543"/>
      <c r="Q315" s="2544"/>
      <c r="R315" s="2545"/>
      <c r="S315" s="2546"/>
      <c r="T315" s="2546"/>
      <c r="U315" s="2546"/>
      <c r="V315" s="2541">
        <f>V316</f>
        <v>948.3</v>
      </c>
      <c r="W315" s="2521">
        <f>W316</f>
        <v>948.3</v>
      </c>
      <c r="X315" s="84"/>
      <c r="Z315" s="2141"/>
    </row>
    <row r="316" spans="1:26" s="83" customFormat="1" ht="26" x14ac:dyDescent="0.3">
      <c r="A316" s="85"/>
      <c r="B316" s="1993" t="s">
        <v>4</v>
      </c>
      <c r="C316" s="89"/>
      <c r="D316" s="33"/>
      <c r="E316" s="33"/>
      <c r="F316" s="33" t="s">
        <v>213</v>
      </c>
      <c r="G316" s="33" t="s">
        <v>1</v>
      </c>
      <c r="H316" s="33"/>
      <c r="I316" s="33"/>
      <c r="J316" s="1061">
        <f>J317</f>
        <v>0</v>
      </c>
      <c r="K316" s="1063"/>
      <c r="L316" s="1061"/>
      <c r="M316" s="1550"/>
      <c r="N316" s="2541">
        <f t="shared" ref="N316:R316" si="193">N317</f>
        <v>4876.0556699999997</v>
      </c>
      <c r="O316" s="2542">
        <f t="shared" si="193"/>
        <v>0</v>
      </c>
      <c r="P316" s="2543">
        <f t="shared" si="193"/>
        <v>0</v>
      </c>
      <c r="Q316" s="2544">
        <f t="shared" si="193"/>
        <v>0</v>
      </c>
      <c r="R316" s="2545">
        <f t="shared" si="193"/>
        <v>0</v>
      </c>
      <c r="S316" s="2546"/>
      <c r="T316" s="2546"/>
      <c r="U316" s="2546"/>
      <c r="V316" s="2541">
        <f t="shared" ref="V316:W316" si="194">V317</f>
        <v>948.3</v>
      </c>
      <c r="W316" s="2521">
        <f t="shared" si="194"/>
        <v>948.3</v>
      </c>
      <c r="X316" s="84"/>
      <c r="Z316" s="2141"/>
    </row>
    <row r="317" spans="1:26" s="83" customFormat="1" ht="13" x14ac:dyDescent="0.3">
      <c r="A317" s="85"/>
      <c r="B317" s="744" t="s">
        <v>60</v>
      </c>
      <c r="C317" s="89"/>
      <c r="D317" s="33"/>
      <c r="E317" s="33"/>
      <c r="F317" s="33" t="s">
        <v>213</v>
      </c>
      <c r="G317" s="33" t="s">
        <v>1</v>
      </c>
      <c r="H317" s="9" t="s">
        <v>452</v>
      </c>
      <c r="I317" s="9" t="s">
        <v>539</v>
      </c>
      <c r="J317" s="1061"/>
      <c r="K317" s="1063"/>
      <c r="L317" s="1061"/>
      <c r="M317" s="1550"/>
      <c r="N317" s="2541">
        <f>875.8+0.25567+4000</f>
        <v>4876.0556699999997</v>
      </c>
      <c r="O317" s="2542"/>
      <c r="P317" s="2543"/>
      <c r="Q317" s="2544"/>
      <c r="R317" s="2545"/>
      <c r="S317" s="2546"/>
      <c r="T317" s="2546"/>
      <c r="U317" s="2546"/>
      <c r="V317" s="2541">
        <v>948.3</v>
      </c>
      <c r="W317" s="2521">
        <v>948.3</v>
      </c>
      <c r="X317" s="84"/>
      <c r="Z317" s="2141"/>
    </row>
    <row r="318" spans="1:26" s="83" customFormat="1" ht="39" x14ac:dyDescent="0.3">
      <c r="A318" s="85"/>
      <c r="B318" s="157" t="s">
        <v>837</v>
      </c>
      <c r="C318" s="89"/>
      <c r="D318" s="33" t="s">
        <v>52</v>
      </c>
      <c r="E318" s="33" t="s">
        <v>58</v>
      </c>
      <c r="F318" s="33" t="s">
        <v>204</v>
      </c>
      <c r="G318" s="33"/>
      <c r="H318" s="33"/>
      <c r="I318" s="33"/>
      <c r="J318" s="1063">
        <f>J319</f>
        <v>800</v>
      </c>
      <c r="K318" s="1063"/>
      <c r="L318" s="1063">
        <f>L319</f>
        <v>667</v>
      </c>
      <c r="M318" s="1125">
        <f>M319</f>
        <v>733</v>
      </c>
      <c r="N318" s="2541">
        <f>N319</f>
        <v>920.2</v>
      </c>
      <c r="O318" s="2542">
        <f>O322+O326</f>
        <v>5740</v>
      </c>
      <c r="P318" s="2543">
        <f>P322+P326</f>
        <v>5980</v>
      </c>
      <c r="Q318" s="2544">
        <f>Q322+Q326</f>
        <v>2182.1999999999998</v>
      </c>
      <c r="R318" s="2545">
        <f>R322+R326</f>
        <v>1295.1990000000001</v>
      </c>
      <c r="S318" s="2546"/>
      <c r="T318" s="2546"/>
      <c r="U318" s="2546"/>
      <c r="V318" s="2541">
        <f>V319</f>
        <v>0</v>
      </c>
      <c r="W318" s="2541">
        <f>W319</f>
        <v>993.22</v>
      </c>
      <c r="X318" s="84"/>
      <c r="Z318" s="2141"/>
    </row>
    <row r="319" spans="1:26" s="83" customFormat="1" ht="26" x14ac:dyDescent="0.3">
      <c r="A319" s="85"/>
      <c r="B319" s="1093" t="s">
        <v>203</v>
      </c>
      <c r="C319" s="89"/>
      <c r="D319" s="33" t="s">
        <v>52</v>
      </c>
      <c r="E319" s="33" t="s">
        <v>58</v>
      </c>
      <c r="F319" s="33" t="s">
        <v>202</v>
      </c>
      <c r="G319" s="88"/>
      <c r="H319" s="88"/>
      <c r="I319" s="33"/>
      <c r="J319" s="1063">
        <f>J323</f>
        <v>800</v>
      </c>
      <c r="K319" s="1063"/>
      <c r="L319" s="1063">
        <f>L325</f>
        <v>667</v>
      </c>
      <c r="M319" s="1125">
        <f>M325</f>
        <v>733</v>
      </c>
      <c r="N319" s="2541">
        <f>N322+N326</f>
        <v>920.2</v>
      </c>
      <c r="O319" s="2542">
        <f>O323</f>
        <v>500</v>
      </c>
      <c r="P319" s="2543">
        <f>P323</f>
        <v>600</v>
      </c>
      <c r="Q319" s="2544">
        <f>Q323+Q322</f>
        <v>2182.1999999999998</v>
      </c>
      <c r="R319" s="2545">
        <f>R323+R322</f>
        <v>1295.1990000000001</v>
      </c>
      <c r="S319" s="2546"/>
      <c r="T319" s="2546"/>
      <c r="U319" s="2546"/>
      <c r="V319" s="2541">
        <f>V322+V326</f>
        <v>0</v>
      </c>
      <c r="W319" s="2541">
        <f>W322+W326</f>
        <v>993.22</v>
      </c>
      <c r="X319" s="84"/>
      <c r="Z319" s="2141"/>
    </row>
    <row r="320" spans="1:26" s="83" customFormat="1" ht="13" hidden="1" x14ac:dyDescent="0.3">
      <c r="A320" s="85"/>
      <c r="B320" s="1098" t="s">
        <v>201</v>
      </c>
      <c r="C320" s="89"/>
      <c r="D320" s="33"/>
      <c r="E320" s="33"/>
      <c r="F320" s="33" t="s">
        <v>200</v>
      </c>
      <c r="G320" s="88"/>
      <c r="H320" s="88"/>
      <c r="I320" s="33"/>
      <c r="J320" s="1063"/>
      <c r="K320" s="1063"/>
      <c r="L320" s="1063"/>
      <c r="M320" s="1125"/>
      <c r="N320" s="2541">
        <f t="shared" ref="N320:R321" si="195">N321</f>
        <v>0</v>
      </c>
      <c r="O320" s="2542">
        <f t="shared" si="195"/>
        <v>5240</v>
      </c>
      <c r="P320" s="2543">
        <f t="shared" si="195"/>
        <v>5380</v>
      </c>
      <c r="Q320" s="2544">
        <f t="shared" si="195"/>
        <v>1722.2</v>
      </c>
      <c r="R320" s="2545">
        <f t="shared" si="195"/>
        <v>775.19899999999996</v>
      </c>
      <c r="S320" s="2546"/>
      <c r="T320" s="2546"/>
      <c r="U320" s="2546"/>
      <c r="V320" s="2541">
        <f t="shared" ref="V320:W321" si="196">V321</f>
        <v>0</v>
      </c>
      <c r="W320" s="2541">
        <f t="shared" si="196"/>
        <v>0</v>
      </c>
      <c r="X320" s="84"/>
      <c r="Z320" s="2141"/>
    </row>
    <row r="321" spans="1:256" s="83" customFormat="1" ht="26" hidden="1" x14ac:dyDescent="0.3">
      <c r="A321" s="85"/>
      <c r="B321" s="1993" t="s">
        <v>4</v>
      </c>
      <c r="C321" s="89"/>
      <c r="D321" s="33"/>
      <c r="E321" s="33"/>
      <c r="F321" s="33" t="s">
        <v>200</v>
      </c>
      <c r="G321" s="88">
        <v>240</v>
      </c>
      <c r="H321" s="88"/>
      <c r="I321" s="33"/>
      <c r="J321" s="1063"/>
      <c r="K321" s="1063"/>
      <c r="L321" s="1063"/>
      <c r="M321" s="1125"/>
      <c r="N321" s="2541">
        <f t="shared" si="195"/>
        <v>0</v>
      </c>
      <c r="O321" s="2542">
        <f t="shared" si="195"/>
        <v>5240</v>
      </c>
      <c r="P321" s="2543">
        <f t="shared" si="195"/>
        <v>5380</v>
      </c>
      <c r="Q321" s="2544">
        <f t="shared" si="195"/>
        <v>1722.2</v>
      </c>
      <c r="R321" s="2545">
        <f t="shared" si="195"/>
        <v>775.19899999999996</v>
      </c>
      <c r="S321" s="2546"/>
      <c r="T321" s="2546"/>
      <c r="U321" s="2546"/>
      <c r="V321" s="2541">
        <f t="shared" si="196"/>
        <v>0</v>
      </c>
      <c r="W321" s="2541">
        <f t="shared" si="196"/>
        <v>0</v>
      </c>
      <c r="X321" s="84"/>
      <c r="Z321" s="2141"/>
    </row>
    <row r="322" spans="1:256" s="83" customFormat="1" ht="13" hidden="1" x14ac:dyDescent="0.3">
      <c r="A322" s="85"/>
      <c r="B322" s="744" t="s">
        <v>60</v>
      </c>
      <c r="C322" s="89"/>
      <c r="D322" s="33"/>
      <c r="E322" s="33"/>
      <c r="F322" s="33" t="s">
        <v>200</v>
      </c>
      <c r="G322" s="88">
        <v>240</v>
      </c>
      <c r="H322" s="9" t="s">
        <v>452</v>
      </c>
      <c r="I322" s="9" t="s">
        <v>539</v>
      </c>
      <c r="J322" s="1063"/>
      <c r="K322" s="1063"/>
      <c r="L322" s="1063"/>
      <c r="M322" s="1125"/>
      <c r="N322" s="2541"/>
      <c r="O322" s="2542">
        <v>5240</v>
      </c>
      <c r="P322" s="2543">
        <v>5380</v>
      </c>
      <c r="Q322" s="2544">
        <v>1722.2</v>
      </c>
      <c r="R322" s="2545">
        <v>775.19899999999996</v>
      </c>
      <c r="S322" s="2546"/>
      <c r="T322" s="2546"/>
      <c r="U322" s="2546"/>
      <c r="V322" s="2541"/>
      <c r="W322" s="2541"/>
      <c r="X322" s="84"/>
      <c r="Z322" s="2141"/>
    </row>
    <row r="323" spans="1:256" s="83" customFormat="1" ht="26" x14ac:dyDescent="0.3">
      <c r="A323" s="85"/>
      <c r="B323" s="1098" t="s">
        <v>199</v>
      </c>
      <c r="C323" s="89"/>
      <c r="D323" s="33"/>
      <c r="E323" s="33"/>
      <c r="F323" s="33" t="s">
        <v>198</v>
      </c>
      <c r="G323" s="88"/>
      <c r="H323" s="88"/>
      <c r="I323" s="33"/>
      <c r="J323" s="1063">
        <f>J325</f>
        <v>800</v>
      </c>
      <c r="K323" s="1063"/>
      <c r="L323" s="1063"/>
      <c r="M323" s="1125"/>
      <c r="N323" s="2541">
        <f>N325</f>
        <v>920.2</v>
      </c>
      <c r="O323" s="2542">
        <f>O325</f>
        <v>500</v>
      </c>
      <c r="P323" s="2543">
        <f>P325</f>
        <v>600</v>
      </c>
      <c r="Q323" s="2544">
        <f>Q325</f>
        <v>460</v>
      </c>
      <c r="R323" s="2545">
        <f>R325</f>
        <v>520</v>
      </c>
      <c r="S323" s="2546"/>
      <c r="T323" s="2546"/>
      <c r="U323" s="2546"/>
      <c r="V323" s="2541">
        <f>V325</f>
        <v>0</v>
      </c>
      <c r="W323" s="2541">
        <f>W325</f>
        <v>993.22</v>
      </c>
      <c r="X323" s="84"/>
      <c r="Z323" s="2141"/>
    </row>
    <row r="324" spans="1:256" s="83" customFormat="1" ht="26" x14ac:dyDescent="0.3">
      <c r="A324" s="85"/>
      <c r="B324" s="49" t="s">
        <v>1048</v>
      </c>
      <c r="C324" s="89"/>
      <c r="D324" s="33"/>
      <c r="E324" s="33"/>
      <c r="F324" s="33" t="s">
        <v>198</v>
      </c>
      <c r="G324" s="88">
        <v>200</v>
      </c>
      <c r="H324" s="88"/>
      <c r="I324" s="33"/>
      <c r="J324" s="1063"/>
      <c r="K324" s="1063"/>
      <c r="L324" s="1063"/>
      <c r="M324" s="1125"/>
      <c r="N324" s="2541">
        <f>N325</f>
        <v>920.2</v>
      </c>
      <c r="O324" s="2542"/>
      <c r="P324" s="2543"/>
      <c r="Q324" s="2544"/>
      <c r="R324" s="2545"/>
      <c r="S324" s="2546"/>
      <c r="T324" s="2546"/>
      <c r="U324" s="2546"/>
      <c r="V324" s="2541">
        <f>V325</f>
        <v>0</v>
      </c>
      <c r="W324" s="2541">
        <f>W325</f>
        <v>993.22</v>
      </c>
      <c r="X324" s="84"/>
      <c r="Z324" s="2141"/>
    </row>
    <row r="325" spans="1:256" s="83" customFormat="1" ht="25.15" customHeight="1" x14ac:dyDescent="0.3">
      <c r="A325" s="85"/>
      <c r="B325" s="1993" t="s">
        <v>4</v>
      </c>
      <c r="C325" s="89"/>
      <c r="D325" s="33" t="s">
        <v>52</v>
      </c>
      <c r="E325" s="33" t="s">
        <v>58</v>
      </c>
      <c r="F325" s="33" t="s">
        <v>198</v>
      </c>
      <c r="G325" s="88">
        <v>240</v>
      </c>
      <c r="H325" s="88"/>
      <c r="I325" s="33"/>
      <c r="J325" s="1063">
        <f>J326</f>
        <v>800</v>
      </c>
      <c r="K325" s="1063"/>
      <c r="L325" s="1063">
        <v>667</v>
      </c>
      <c r="M325" s="1125">
        <v>733</v>
      </c>
      <c r="N325" s="2541">
        <f t="shared" ref="N325:R325" si="197">N326</f>
        <v>920.2</v>
      </c>
      <c r="O325" s="2542">
        <f t="shared" si="197"/>
        <v>500</v>
      </c>
      <c r="P325" s="2543">
        <f t="shared" si="197"/>
        <v>600</v>
      </c>
      <c r="Q325" s="2544">
        <f t="shared" si="197"/>
        <v>460</v>
      </c>
      <c r="R325" s="2545">
        <f t="shared" si="197"/>
        <v>520</v>
      </c>
      <c r="S325" s="2546"/>
      <c r="T325" s="2546"/>
      <c r="U325" s="2546"/>
      <c r="V325" s="2541">
        <f t="shared" ref="V325:W325" si="198">V326</f>
        <v>0</v>
      </c>
      <c r="W325" s="2541">
        <f t="shared" si="198"/>
        <v>993.22</v>
      </c>
      <c r="X325" s="84"/>
      <c r="Z325" s="2141"/>
    </row>
    <row r="326" spans="1:256" s="83" customFormat="1" ht="13" x14ac:dyDescent="0.3">
      <c r="A326" s="85"/>
      <c r="B326" s="744" t="s">
        <v>60</v>
      </c>
      <c r="C326" s="89"/>
      <c r="D326" s="33"/>
      <c r="E326" s="33"/>
      <c r="F326" s="33" t="s">
        <v>198</v>
      </c>
      <c r="G326" s="88">
        <v>240</v>
      </c>
      <c r="H326" s="9" t="s">
        <v>452</v>
      </c>
      <c r="I326" s="9" t="s">
        <v>539</v>
      </c>
      <c r="J326" s="1063">
        <v>800</v>
      </c>
      <c r="K326" s="1063"/>
      <c r="L326" s="1063">
        <v>667</v>
      </c>
      <c r="M326" s="1125">
        <v>733</v>
      </c>
      <c r="N326" s="2541">
        <v>920.2</v>
      </c>
      <c r="O326" s="2542">
        <v>500</v>
      </c>
      <c r="P326" s="2543">
        <v>600</v>
      </c>
      <c r="Q326" s="2544">
        <v>460</v>
      </c>
      <c r="R326" s="2545">
        <v>520</v>
      </c>
      <c r="S326" s="2546"/>
      <c r="T326" s="2546"/>
      <c r="U326" s="2546"/>
      <c r="V326" s="2541">
        <v>0</v>
      </c>
      <c r="W326" s="2541">
        <f>610+383.22</f>
        <v>993.22</v>
      </c>
      <c r="X326" s="84"/>
      <c r="Z326" s="2141"/>
    </row>
    <row r="327" spans="1:256" ht="39" x14ac:dyDescent="0.25">
      <c r="A327" s="156">
        <v>6</v>
      </c>
      <c r="B327" s="155" t="s">
        <v>884</v>
      </c>
      <c r="C327" s="152"/>
      <c r="D327" s="154" t="s">
        <v>15</v>
      </c>
      <c r="E327" s="152" t="s">
        <v>13</v>
      </c>
      <c r="F327" s="152" t="s">
        <v>196</v>
      </c>
      <c r="G327" s="153"/>
      <c r="H327" s="153"/>
      <c r="I327" s="152"/>
      <c r="J327" s="150">
        <f>J328</f>
        <v>3497.6120000000001</v>
      </c>
      <c r="K327" s="151"/>
      <c r="L327" s="150">
        <f>L329</f>
        <v>4000</v>
      </c>
      <c r="M327" s="1559">
        <f>M329</f>
        <v>0</v>
      </c>
      <c r="N327" s="2547">
        <f>N333+N341+N337</f>
        <v>9302.8870000000006</v>
      </c>
      <c r="O327" s="2548">
        <f t="shared" ref="O327:R328" si="199">O328</f>
        <v>48</v>
      </c>
      <c r="P327" s="2548">
        <f t="shared" si="199"/>
        <v>816.12</v>
      </c>
      <c r="Q327" s="2549">
        <f t="shared" si="199"/>
        <v>4981.808</v>
      </c>
      <c r="R327" s="2550">
        <f>R328+R341</f>
        <v>5143</v>
      </c>
      <c r="S327" s="2515"/>
      <c r="T327" s="2515"/>
      <c r="U327" s="2515"/>
      <c r="V327" s="2547">
        <f>V333+V341</f>
        <v>5415.5620000000008</v>
      </c>
      <c r="W327" s="2547">
        <f>W333+W341</f>
        <v>2492.16</v>
      </c>
    </row>
    <row r="328" spans="1:256" s="2" customFormat="1" ht="31.15" customHeight="1" x14ac:dyDescent="0.25">
      <c r="A328" s="1099"/>
      <c r="B328" s="1092" t="s">
        <v>195</v>
      </c>
      <c r="C328" s="1092"/>
      <c r="D328" s="1092"/>
      <c r="E328" s="1092"/>
      <c r="F328" s="9" t="s">
        <v>194</v>
      </c>
      <c r="G328" s="1092"/>
      <c r="H328" s="1092"/>
      <c r="I328" s="1092"/>
      <c r="J328" s="1100">
        <f>J329</f>
        <v>3497.6120000000001</v>
      </c>
      <c r="K328" s="1092"/>
      <c r="L328" s="1092"/>
      <c r="M328" s="1560"/>
      <c r="N328" s="2510">
        <f>N329+N341</f>
        <v>9302.8870000000006</v>
      </c>
      <c r="O328" s="2855">
        <f t="shared" si="199"/>
        <v>48</v>
      </c>
      <c r="P328" s="2856">
        <f t="shared" si="199"/>
        <v>816.12</v>
      </c>
      <c r="Q328" s="2857">
        <f t="shared" si="199"/>
        <v>4981.808</v>
      </c>
      <c r="R328" s="2858">
        <f t="shared" si="199"/>
        <v>3543</v>
      </c>
      <c r="S328" s="2859"/>
      <c r="T328" s="2859"/>
      <c r="U328" s="2859"/>
      <c r="V328" s="2628">
        <f>V329</f>
        <v>0</v>
      </c>
      <c r="W328" s="2628">
        <f>W329</f>
        <v>0</v>
      </c>
      <c r="X328" s="1102"/>
      <c r="Y328" s="1102"/>
      <c r="Z328" s="2860"/>
      <c r="AA328" s="1102"/>
      <c r="AB328" s="1102"/>
      <c r="AC328" s="1102"/>
      <c r="AD328" s="1102"/>
      <c r="AE328" s="1102"/>
      <c r="AF328" s="1102"/>
      <c r="AG328" s="1102"/>
      <c r="AH328" s="1102"/>
      <c r="AI328" s="1102"/>
      <c r="AJ328" s="1102"/>
      <c r="AK328" s="1102"/>
      <c r="AL328" s="1102"/>
      <c r="AM328" s="1102"/>
      <c r="AN328" s="1102"/>
      <c r="AO328" s="1102"/>
      <c r="AP328" s="1102"/>
      <c r="AQ328" s="1102"/>
      <c r="AR328" s="1102"/>
      <c r="AS328" s="1102"/>
      <c r="AT328" s="1102"/>
      <c r="AU328" s="1102"/>
      <c r="AV328" s="1102"/>
      <c r="AW328" s="1102"/>
      <c r="AX328" s="1102"/>
      <c r="AY328" s="1102"/>
      <c r="AZ328" s="1102"/>
      <c r="BA328" s="1102"/>
      <c r="BB328" s="1102"/>
      <c r="BC328" s="1102"/>
      <c r="BD328" s="1102"/>
      <c r="BE328" s="1102"/>
      <c r="BF328" s="1102"/>
      <c r="BG328" s="1102"/>
      <c r="BH328" s="1102"/>
      <c r="BI328" s="1102"/>
      <c r="BJ328" s="1102"/>
      <c r="BK328" s="1102"/>
      <c r="BL328" s="1102"/>
      <c r="BM328" s="1102"/>
      <c r="BN328" s="1102"/>
      <c r="BO328" s="1102"/>
      <c r="BP328" s="1102"/>
      <c r="BQ328" s="1102"/>
      <c r="BR328" s="1102"/>
      <c r="BS328" s="1102"/>
      <c r="BT328" s="1102"/>
      <c r="BU328" s="1102"/>
      <c r="BV328" s="1102"/>
      <c r="BW328" s="1102"/>
      <c r="BX328" s="1102"/>
      <c r="BY328" s="1102"/>
      <c r="BZ328" s="1102"/>
      <c r="CA328" s="1102"/>
      <c r="CB328" s="1102"/>
      <c r="CC328" s="1102"/>
      <c r="CD328" s="1102"/>
      <c r="CE328" s="1102"/>
      <c r="CF328" s="1102"/>
      <c r="CG328" s="1102"/>
      <c r="CH328" s="1102"/>
      <c r="CI328" s="1102"/>
      <c r="CJ328" s="1102"/>
      <c r="CK328" s="1102"/>
      <c r="CL328" s="1102"/>
      <c r="CM328" s="1102"/>
      <c r="CN328" s="1102"/>
      <c r="CO328" s="1102"/>
      <c r="CP328" s="1102"/>
      <c r="CQ328" s="1102"/>
      <c r="CR328" s="1102"/>
      <c r="CS328" s="1102"/>
      <c r="CT328" s="1102"/>
      <c r="CU328" s="1102"/>
      <c r="CV328" s="1102"/>
      <c r="CW328" s="1102"/>
      <c r="CX328" s="1102"/>
      <c r="CY328" s="1102"/>
      <c r="CZ328" s="1102"/>
      <c r="DA328" s="1102"/>
      <c r="DB328" s="1102"/>
      <c r="DC328" s="1102"/>
      <c r="DD328" s="1102"/>
      <c r="DE328" s="1102"/>
      <c r="DF328" s="1102"/>
      <c r="DG328" s="1102"/>
      <c r="DH328" s="1102"/>
      <c r="DI328" s="1102"/>
      <c r="DJ328" s="1102"/>
      <c r="DK328" s="1102"/>
      <c r="DL328" s="1102"/>
      <c r="DM328" s="1102"/>
      <c r="DN328" s="1102"/>
      <c r="DO328" s="1102"/>
      <c r="DP328" s="1102"/>
      <c r="DQ328" s="1102"/>
      <c r="DR328" s="1102"/>
      <c r="DS328" s="1102"/>
      <c r="DT328" s="1102"/>
      <c r="DU328" s="1102"/>
      <c r="DV328" s="1102"/>
      <c r="DW328" s="1102"/>
      <c r="DX328" s="1102"/>
      <c r="DY328" s="1102"/>
      <c r="DZ328" s="1102"/>
      <c r="EA328" s="1102"/>
      <c r="EB328" s="1102"/>
      <c r="EC328" s="1102"/>
      <c r="ED328" s="1102"/>
      <c r="EE328" s="1102"/>
      <c r="EF328" s="1102"/>
      <c r="EG328" s="1102"/>
      <c r="EH328" s="1102"/>
      <c r="EI328" s="1102"/>
      <c r="EJ328" s="1102"/>
      <c r="EK328" s="1102"/>
      <c r="EL328" s="1102"/>
      <c r="EM328" s="1102"/>
      <c r="EN328" s="1102"/>
      <c r="EO328" s="1102"/>
      <c r="EP328" s="1102"/>
      <c r="EQ328" s="1102"/>
      <c r="ER328" s="1102"/>
      <c r="ES328" s="1102"/>
      <c r="ET328" s="1102"/>
      <c r="EU328" s="1102"/>
      <c r="EV328" s="1102"/>
      <c r="EW328" s="1102"/>
      <c r="EX328" s="1102"/>
      <c r="EY328" s="1102"/>
      <c r="EZ328" s="1102"/>
      <c r="FA328" s="1102"/>
      <c r="FB328" s="1102"/>
      <c r="FC328" s="1102"/>
      <c r="FD328" s="1102"/>
      <c r="FE328" s="1102"/>
      <c r="FF328" s="1102"/>
      <c r="FG328" s="1102"/>
      <c r="FH328" s="1102"/>
      <c r="FI328" s="1102"/>
      <c r="FJ328" s="1102"/>
      <c r="FK328" s="1102"/>
      <c r="FL328" s="1102"/>
      <c r="FM328" s="1102"/>
      <c r="FN328" s="1102"/>
      <c r="FO328" s="1102"/>
      <c r="FP328" s="1102"/>
      <c r="FQ328" s="1102"/>
      <c r="FR328" s="1102"/>
      <c r="FS328" s="1102"/>
      <c r="FT328" s="1102"/>
      <c r="FU328" s="1102"/>
      <c r="FV328" s="1102"/>
      <c r="FW328" s="1102"/>
      <c r="FX328" s="1102"/>
      <c r="FY328" s="1102"/>
      <c r="FZ328" s="1102"/>
      <c r="GA328" s="1102"/>
      <c r="GB328" s="1102"/>
      <c r="GC328" s="1102"/>
      <c r="GD328" s="1102"/>
      <c r="GE328" s="1102"/>
      <c r="GF328" s="1102"/>
      <c r="GG328" s="1102"/>
      <c r="GH328" s="1102"/>
      <c r="GI328" s="1102"/>
      <c r="GJ328" s="1102"/>
      <c r="GK328" s="1102"/>
      <c r="GL328" s="1102"/>
      <c r="GM328" s="1102"/>
      <c r="GN328" s="1102"/>
      <c r="GO328" s="1102"/>
      <c r="GP328" s="1102"/>
      <c r="GQ328" s="1102"/>
      <c r="GR328" s="1102"/>
      <c r="GS328" s="1102"/>
      <c r="GT328" s="1102"/>
      <c r="GU328" s="1102"/>
      <c r="GV328" s="1102"/>
      <c r="GW328" s="1102"/>
      <c r="GX328" s="1102"/>
      <c r="GY328" s="1102"/>
      <c r="GZ328" s="1102"/>
      <c r="HA328" s="1102"/>
      <c r="HB328" s="1102"/>
      <c r="HC328" s="1102"/>
      <c r="HD328" s="1102"/>
      <c r="HE328" s="1102"/>
      <c r="HF328" s="1102"/>
      <c r="HG328" s="1102"/>
      <c r="HH328" s="1102"/>
      <c r="HI328" s="1102"/>
      <c r="HJ328" s="1102"/>
      <c r="HK328" s="1102"/>
      <c r="HL328" s="1102"/>
      <c r="HM328" s="1102"/>
      <c r="HN328" s="1102"/>
      <c r="HO328" s="1102"/>
      <c r="HP328" s="1102"/>
      <c r="HQ328" s="1102"/>
      <c r="HR328" s="1102"/>
      <c r="HS328" s="1102"/>
      <c r="HT328" s="1102"/>
      <c r="HU328" s="1102"/>
      <c r="HV328" s="1102"/>
      <c r="HW328" s="1102"/>
      <c r="HX328" s="1102"/>
      <c r="HY328" s="1102"/>
      <c r="HZ328" s="1102"/>
      <c r="IA328" s="1102"/>
      <c r="IB328" s="1102"/>
      <c r="IC328" s="1102"/>
      <c r="ID328" s="1102"/>
      <c r="IE328" s="1102"/>
      <c r="IF328" s="1102"/>
      <c r="IG328" s="1102"/>
      <c r="IH328" s="1102"/>
      <c r="II328" s="1102"/>
      <c r="IJ328" s="1102"/>
      <c r="IK328" s="1102"/>
      <c r="IL328" s="1102"/>
      <c r="IM328" s="1102"/>
      <c r="IN328" s="1102"/>
      <c r="IO328" s="1102"/>
      <c r="IP328" s="1102"/>
      <c r="IQ328" s="1102"/>
      <c r="IR328" s="1102"/>
      <c r="IS328" s="1102"/>
      <c r="IT328" s="1102"/>
      <c r="IU328" s="1102"/>
      <c r="IV328" s="1102"/>
    </row>
    <row r="329" spans="1:256" ht="31" hidden="1" customHeight="1" x14ac:dyDescent="0.25">
      <c r="A329" s="145"/>
      <c r="B329" s="144" t="s">
        <v>1191</v>
      </c>
      <c r="C329" s="142"/>
      <c r="D329" s="143" t="s">
        <v>15</v>
      </c>
      <c r="E329" s="142" t="s">
        <v>13</v>
      </c>
      <c r="F329" s="142" t="s">
        <v>191</v>
      </c>
      <c r="G329" s="142"/>
      <c r="H329" s="142"/>
      <c r="I329" s="142"/>
      <c r="J329" s="1103">
        <f>J331</f>
        <v>3497.6120000000001</v>
      </c>
      <c r="K329" s="1104"/>
      <c r="L329" s="1104">
        <f t="shared" ref="L329:R329" si="200">L331</f>
        <v>4000</v>
      </c>
      <c r="M329" s="1561">
        <f t="shared" si="200"/>
        <v>0</v>
      </c>
      <c r="N329" s="2551">
        <f>N331+N337</f>
        <v>1426.097</v>
      </c>
      <c r="O329" s="2552">
        <f t="shared" si="200"/>
        <v>48</v>
      </c>
      <c r="P329" s="2553">
        <f t="shared" si="200"/>
        <v>816.12</v>
      </c>
      <c r="Q329" s="2554">
        <f t="shared" si="200"/>
        <v>4981.808</v>
      </c>
      <c r="R329" s="2555">
        <f t="shared" si="200"/>
        <v>3543</v>
      </c>
      <c r="S329" s="2515"/>
      <c r="T329" s="2515"/>
      <c r="U329" s="2515"/>
      <c r="V329" s="2551">
        <f t="shared" ref="V329:W329" si="201">V331</f>
        <v>0</v>
      </c>
      <c r="W329" s="2551">
        <f t="shared" si="201"/>
        <v>0</v>
      </c>
    </row>
    <row r="330" spans="1:256" ht="26" hidden="1" x14ac:dyDescent="0.25">
      <c r="A330" s="145"/>
      <c r="B330" s="49" t="s">
        <v>1048</v>
      </c>
      <c r="C330" s="142"/>
      <c r="D330" s="143"/>
      <c r="E330" s="142"/>
      <c r="F330" s="142" t="s">
        <v>191</v>
      </c>
      <c r="G330" s="142" t="s">
        <v>955</v>
      </c>
      <c r="H330" s="142"/>
      <c r="I330" s="142"/>
      <c r="J330" s="1103"/>
      <c r="K330" s="1104"/>
      <c r="L330" s="1104"/>
      <c r="M330" s="1561"/>
      <c r="N330" s="2551">
        <f>N331</f>
        <v>0</v>
      </c>
      <c r="O330" s="2552"/>
      <c r="P330" s="2553"/>
      <c r="Q330" s="2554"/>
      <c r="R330" s="2555"/>
      <c r="S330" s="2515"/>
      <c r="T330" s="2515"/>
      <c r="U330" s="2515"/>
      <c r="V330" s="2551">
        <f>V331</f>
        <v>0</v>
      </c>
      <c r="W330" s="2551">
        <f>W331</f>
        <v>0</v>
      </c>
    </row>
    <row r="331" spans="1:256" ht="26" hidden="1" x14ac:dyDescent="0.25">
      <c r="A331" s="32"/>
      <c r="B331" s="1993" t="s">
        <v>4</v>
      </c>
      <c r="C331" s="9"/>
      <c r="D331" s="88" t="s">
        <v>15</v>
      </c>
      <c r="E331" s="9" t="s">
        <v>13</v>
      </c>
      <c r="F331" s="9" t="s">
        <v>191</v>
      </c>
      <c r="G331" s="9" t="s">
        <v>1</v>
      </c>
      <c r="H331" s="9"/>
      <c r="I331" s="9"/>
      <c r="J331" s="1061">
        <f>J333</f>
        <v>3497.6120000000001</v>
      </c>
      <c r="K331" s="1075"/>
      <c r="L331" s="1066">
        <v>4000</v>
      </c>
      <c r="M331" s="1552"/>
      <c r="N331" s="2521">
        <f>N333</f>
        <v>0</v>
      </c>
      <c r="O331" s="2542">
        <f>O333</f>
        <v>48</v>
      </c>
      <c r="P331" s="2543">
        <f>P333</f>
        <v>816.12</v>
      </c>
      <c r="Q331" s="2544">
        <f>Q333</f>
        <v>4981.808</v>
      </c>
      <c r="R331" s="2545">
        <f>R333</f>
        <v>3543</v>
      </c>
      <c r="S331" s="2515"/>
      <c r="T331" s="2515"/>
      <c r="U331" s="2515"/>
      <c r="V331" s="2521">
        <f>V333</f>
        <v>0</v>
      </c>
      <c r="W331" s="2521">
        <f>W333</f>
        <v>0</v>
      </c>
    </row>
    <row r="332" spans="1:256" ht="52" hidden="1" x14ac:dyDescent="0.25">
      <c r="A332" s="32"/>
      <c r="B332" s="58" t="s">
        <v>192</v>
      </c>
      <c r="C332" s="9"/>
      <c r="D332" s="88" t="s">
        <v>15</v>
      </c>
      <c r="E332" s="9" t="s">
        <v>13</v>
      </c>
      <c r="F332" s="9" t="s">
        <v>191</v>
      </c>
      <c r="G332" s="9"/>
      <c r="H332" s="9"/>
      <c r="I332" s="9" t="s">
        <v>13</v>
      </c>
      <c r="J332" s="1065"/>
      <c r="K332" s="1065"/>
      <c r="L332" s="1065"/>
      <c r="M332" s="1552"/>
      <c r="N332" s="2556"/>
      <c r="O332" s="2557"/>
      <c r="P332" s="2558"/>
      <c r="Q332" s="2559"/>
      <c r="R332" s="2560"/>
      <c r="S332" s="2515"/>
      <c r="T332" s="2515"/>
      <c r="U332" s="2515"/>
      <c r="V332" s="2556"/>
      <c r="W332" s="2556"/>
    </row>
    <row r="333" spans="1:256" ht="13" hidden="1" x14ac:dyDescent="0.25">
      <c r="A333" s="32"/>
      <c r="B333" s="58" t="s">
        <v>39</v>
      </c>
      <c r="C333" s="9"/>
      <c r="D333" s="88"/>
      <c r="E333" s="9"/>
      <c r="F333" s="9" t="s">
        <v>191</v>
      </c>
      <c r="G333" s="9" t="s">
        <v>1</v>
      </c>
      <c r="H333" s="9" t="s">
        <v>463</v>
      </c>
      <c r="I333" s="9" t="s">
        <v>488</v>
      </c>
      <c r="J333" s="1061">
        <v>3497.6120000000001</v>
      </c>
      <c r="K333" s="1065"/>
      <c r="L333" s="1065"/>
      <c r="M333" s="1552"/>
      <c r="N333" s="2521">
        <v>0</v>
      </c>
      <c r="O333" s="2542">
        <v>48</v>
      </c>
      <c r="P333" s="2543">
        <v>816.12</v>
      </c>
      <c r="Q333" s="2544">
        <v>4981.808</v>
      </c>
      <c r="R333" s="2545">
        <f>3700-157</f>
        <v>3543</v>
      </c>
      <c r="S333" s="2515"/>
      <c r="T333" s="2515"/>
      <c r="U333" s="2515"/>
      <c r="V333" s="2521">
        <v>0</v>
      </c>
      <c r="W333" s="2521">
        <v>0</v>
      </c>
    </row>
    <row r="334" spans="1:256" ht="30" customHeight="1" x14ac:dyDescent="0.25">
      <c r="A334" s="32"/>
      <c r="B334" s="144" t="s">
        <v>1191</v>
      </c>
      <c r="C334" s="9"/>
      <c r="D334" s="88"/>
      <c r="E334" s="9"/>
      <c r="F334" s="9" t="s">
        <v>191</v>
      </c>
      <c r="G334" s="9"/>
      <c r="H334" s="9"/>
      <c r="I334" s="9"/>
      <c r="J334" s="1061"/>
      <c r="K334" s="1065"/>
      <c r="L334" s="1065"/>
      <c r="M334" s="1552"/>
      <c r="N334" s="2521"/>
      <c r="O334" s="2542"/>
      <c r="P334" s="2543"/>
      <c r="Q334" s="2544"/>
      <c r="R334" s="2545"/>
      <c r="S334" s="2515"/>
      <c r="T334" s="2515"/>
      <c r="U334" s="2515"/>
      <c r="V334" s="2541"/>
      <c r="W334" s="2541"/>
    </row>
    <row r="335" spans="1:256" ht="26" x14ac:dyDescent="0.25">
      <c r="A335" s="32"/>
      <c r="B335" s="144" t="s">
        <v>1061</v>
      </c>
      <c r="C335" s="9"/>
      <c r="D335" s="88"/>
      <c r="E335" s="9"/>
      <c r="F335" s="9" t="s">
        <v>191</v>
      </c>
      <c r="G335" s="9" t="s">
        <v>1060</v>
      </c>
      <c r="H335" s="9"/>
      <c r="I335" s="9"/>
      <c r="J335" s="1061"/>
      <c r="K335" s="1065"/>
      <c r="L335" s="1065"/>
      <c r="M335" s="1552"/>
      <c r="N335" s="2521">
        <f>N336</f>
        <v>1426.097</v>
      </c>
      <c r="O335" s="2542"/>
      <c r="P335" s="2543"/>
      <c r="Q335" s="2544"/>
      <c r="R335" s="2545"/>
      <c r="S335" s="2515"/>
      <c r="T335" s="2515"/>
      <c r="U335" s="2515"/>
      <c r="V335" s="2521">
        <f>V336</f>
        <v>0</v>
      </c>
      <c r="W335" s="2521">
        <f>W336</f>
        <v>0</v>
      </c>
    </row>
    <row r="336" spans="1:256" ht="13" x14ac:dyDescent="0.25">
      <c r="A336" s="32"/>
      <c r="B336" s="58" t="s">
        <v>28</v>
      </c>
      <c r="C336" s="9"/>
      <c r="D336" s="88"/>
      <c r="E336" s="9"/>
      <c r="F336" s="9" t="s">
        <v>191</v>
      </c>
      <c r="G336" s="9" t="s">
        <v>26</v>
      </c>
      <c r="H336" s="9"/>
      <c r="I336" s="9"/>
      <c r="J336" s="1061"/>
      <c r="K336" s="1065"/>
      <c r="L336" s="1065"/>
      <c r="M336" s="1552"/>
      <c r="N336" s="2521">
        <f>N337</f>
        <v>1426.097</v>
      </c>
      <c r="O336" s="2542"/>
      <c r="P336" s="2543"/>
      <c r="Q336" s="2544"/>
      <c r="R336" s="2545"/>
      <c r="S336" s="2515"/>
      <c r="T336" s="2515"/>
      <c r="U336" s="2515"/>
      <c r="V336" s="2521">
        <f>V337</f>
        <v>0</v>
      </c>
      <c r="W336" s="2521">
        <f>W337</f>
        <v>0</v>
      </c>
    </row>
    <row r="337" spans="1:23" ht="13" x14ac:dyDescent="0.25">
      <c r="A337" s="32"/>
      <c r="B337" s="58" t="s">
        <v>39</v>
      </c>
      <c r="C337" s="9"/>
      <c r="D337" s="88"/>
      <c r="E337" s="9"/>
      <c r="F337" s="9" t="s">
        <v>191</v>
      </c>
      <c r="G337" s="9" t="s">
        <v>26</v>
      </c>
      <c r="H337" s="9" t="s">
        <v>463</v>
      </c>
      <c r="I337" s="9" t="s">
        <v>488</v>
      </c>
      <c r="J337" s="1061"/>
      <c r="K337" s="1065"/>
      <c r="L337" s="1065"/>
      <c r="M337" s="1552"/>
      <c r="N337" s="2521">
        <f>600+606+220.097</f>
        <v>1426.097</v>
      </c>
      <c r="O337" s="2542"/>
      <c r="P337" s="2543"/>
      <c r="Q337" s="2544"/>
      <c r="R337" s="2545"/>
      <c r="S337" s="2515"/>
      <c r="T337" s="2515"/>
      <c r="U337" s="2515"/>
      <c r="V337" s="2521">
        <v>0</v>
      </c>
      <c r="W337" s="2521">
        <v>0</v>
      </c>
    </row>
    <row r="338" spans="1:23" ht="26" x14ac:dyDescent="0.25">
      <c r="A338" s="32"/>
      <c r="B338" s="144" t="s">
        <v>193</v>
      </c>
      <c r="C338" s="9"/>
      <c r="D338" s="88"/>
      <c r="E338" s="9"/>
      <c r="F338" s="2026" t="s">
        <v>1008</v>
      </c>
      <c r="G338" s="9"/>
      <c r="H338" s="9"/>
      <c r="I338" s="9"/>
      <c r="J338" s="1061"/>
      <c r="K338" s="1065"/>
      <c r="L338" s="1065"/>
      <c r="M338" s="1552"/>
      <c r="N338" s="2541">
        <f>N340</f>
        <v>7876.79</v>
      </c>
      <c r="O338" s="2542"/>
      <c r="P338" s="2543"/>
      <c r="Q338" s="2544"/>
      <c r="R338" s="2545">
        <f>R340</f>
        <v>1600</v>
      </c>
      <c r="S338" s="2515"/>
      <c r="T338" s="2515"/>
      <c r="U338" s="2515"/>
      <c r="V338" s="2541">
        <f>V340</f>
        <v>5415.5620000000008</v>
      </c>
      <c r="W338" s="2541">
        <f>W340</f>
        <v>2492.16</v>
      </c>
    </row>
    <row r="339" spans="1:23" ht="26" x14ac:dyDescent="0.25">
      <c r="A339" s="32"/>
      <c r="B339" s="144" t="s">
        <v>1061</v>
      </c>
      <c r="C339" s="9"/>
      <c r="D339" s="88"/>
      <c r="E339" s="9"/>
      <c r="F339" s="2026" t="s">
        <v>1008</v>
      </c>
      <c r="G339" s="9" t="s">
        <v>1060</v>
      </c>
      <c r="H339" s="9"/>
      <c r="I339" s="9"/>
      <c r="J339" s="1061"/>
      <c r="K339" s="1065"/>
      <c r="L339" s="1065"/>
      <c r="M339" s="1552"/>
      <c r="N339" s="2541">
        <f>N340</f>
        <v>7876.79</v>
      </c>
      <c r="O339" s="2542"/>
      <c r="P339" s="2543"/>
      <c r="Q339" s="2544"/>
      <c r="R339" s="2545"/>
      <c r="S339" s="2515"/>
      <c r="T339" s="2515"/>
      <c r="U339" s="2515"/>
      <c r="V339" s="2541">
        <f>V340</f>
        <v>5415.5620000000008</v>
      </c>
      <c r="W339" s="2541">
        <f>W340</f>
        <v>2492.16</v>
      </c>
    </row>
    <row r="340" spans="1:23" ht="13" x14ac:dyDescent="0.25">
      <c r="A340" s="32"/>
      <c r="B340" s="58" t="s">
        <v>28</v>
      </c>
      <c r="C340" s="9"/>
      <c r="D340" s="88"/>
      <c r="E340" s="9"/>
      <c r="F340" s="2026" t="s">
        <v>1008</v>
      </c>
      <c r="G340" s="9" t="s">
        <v>26</v>
      </c>
      <c r="H340" s="9"/>
      <c r="I340" s="9"/>
      <c r="J340" s="1061"/>
      <c r="K340" s="1065"/>
      <c r="L340" s="1065"/>
      <c r="M340" s="1552"/>
      <c r="N340" s="2541">
        <f>N341</f>
        <v>7876.79</v>
      </c>
      <c r="O340" s="2542"/>
      <c r="P340" s="2543"/>
      <c r="Q340" s="2544"/>
      <c r="R340" s="2545">
        <f>R341</f>
        <v>1600</v>
      </c>
      <c r="S340" s="2515"/>
      <c r="T340" s="2515"/>
      <c r="U340" s="2515"/>
      <c r="V340" s="2541">
        <f>V341</f>
        <v>5415.5620000000008</v>
      </c>
      <c r="W340" s="2541">
        <f>W341</f>
        <v>2492.16</v>
      </c>
    </row>
    <row r="341" spans="1:23" ht="13" x14ac:dyDescent="0.25">
      <c r="A341" s="32"/>
      <c r="B341" s="58" t="s">
        <v>39</v>
      </c>
      <c r="C341" s="9"/>
      <c r="D341" s="88"/>
      <c r="E341" s="9"/>
      <c r="F341" s="2026" t="s">
        <v>1008</v>
      </c>
      <c r="G341" s="9" t="s">
        <v>26</v>
      </c>
      <c r="H341" s="9" t="s">
        <v>463</v>
      </c>
      <c r="I341" s="9" t="s">
        <v>488</v>
      </c>
      <c r="J341" s="1061"/>
      <c r="K341" s="1065"/>
      <c r="L341" s="1065"/>
      <c r="M341" s="1552"/>
      <c r="N341" s="2541">
        <f>6022.622+1854.168</f>
        <v>7876.79</v>
      </c>
      <c r="O341" s="2542"/>
      <c r="P341" s="2543"/>
      <c r="Q341" s="2544"/>
      <c r="R341" s="2545">
        <f>1443+157</f>
        <v>1600</v>
      </c>
      <c r="S341" s="2515"/>
      <c r="T341" s="2515"/>
      <c r="U341" s="2515"/>
      <c r="V341" s="2541">
        <f>15947.492-11122-1375.022+1328.89+636.202</f>
        <v>5415.5620000000008</v>
      </c>
      <c r="W341" s="2541">
        <f>23.92+2468.24</f>
        <v>2492.16</v>
      </c>
    </row>
    <row r="342" spans="1:23" ht="42" customHeight="1" x14ac:dyDescent="0.25">
      <c r="A342" s="91">
        <v>7</v>
      </c>
      <c r="B342" s="132" t="s">
        <v>915</v>
      </c>
      <c r="C342" s="9"/>
      <c r="D342" s="34" t="s">
        <v>15</v>
      </c>
      <c r="E342" s="34" t="s">
        <v>32</v>
      </c>
      <c r="F342" s="34" t="s">
        <v>189</v>
      </c>
      <c r="G342" s="131"/>
      <c r="H342" s="131"/>
      <c r="I342" s="34"/>
      <c r="J342" s="51">
        <f>J343</f>
        <v>7617.2000000000007</v>
      </c>
      <c r="K342" s="131"/>
      <c r="L342" s="51">
        <f>L344+L348</f>
        <v>7617.2</v>
      </c>
      <c r="M342" s="1562">
        <f>M344+M348</f>
        <v>7463.8</v>
      </c>
      <c r="N342" s="2516">
        <f>N343+N353</f>
        <v>30255.654000000002</v>
      </c>
      <c r="O342" s="2517">
        <f>O343</f>
        <v>32518.875</v>
      </c>
      <c r="P342" s="2518">
        <f>P343</f>
        <v>31004.17</v>
      </c>
      <c r="Q342" s="2519">
        <f>Q343</f>
        <v>33058.639999999999</v>
      </c>
      <c r="R342" s="2520">
        <f>R343</f>
        <v>34696.880000000005</v>
      </c>
      <c r="S342" s="2515"/>
      <c r="T342" s="2515"/>
      <c r="U342" s="2515"/>
      <c r="V342" s="2516">
        <f>V343+V353</f>
        <v>28925.802</v>
      </c>
      <c r="W342" s="2516">
        <f>W343+W353</f>
        <v>27887.218000000001</v>
      </c>
    </row>
    <row r="343" spans="1:23" ht="56.5" customHeight="1" x14ac:dyDescent="0.25">
      <c r="A343" s="91"/>
      <c r="B343" s="1098" t="s">
        <v>188</v>
      </c>
      <c r="C343" s="9"/>
      <c r="D343" s="34"/>
      <c r="E343" s="34"/>
      <c r="F343" s="9" t="s">
        <v>187</v>
      </c>
      <c r="G343" s="131"/>
      <c r="H343" s="131"/>
      <c r="I343" s="34"/>
      <c r="J343" s="47">
        <f>J344+J348</f>
        <v>7617.2000000000007</v>
      </c>
      <c r="K343" s="131"/>
      <c r="L343" s="51"/>
      <c r="M343" s="1562"/>
      <c r="N343" s="2389">
        <f>N347+N352</f>
        <v>29939.864000000001</v>
      </c>
      <c r="O343" s="2561">
        <f>O344+O348</f>
        <v>32518.875</v>
      </c>
      <c r="P343" s="2562">
        <f>P344+P348</f>
        <v>31004.17</v>
      </c>
      <c r="Q343" s="2563">
        <f>Q344+Q348</f>
        <v>33058.639999999999</v>
      </c>
      <c r="R343" s="2564">
        <f>R344+R348</f>
        <v>34696.880000000005</v>
      </c>
      <c r="S343" s="1972"/>
      <c r="T343" s="1972"/>
      <c r="U343" s="1972"/>
      <c r="V343" s="2389">
        <f>V347+V352</f>
        <v>28875.802</v>
      </c>
      <c r="W343" s="2389">
        <f>W347+W352</f>
        <v>27837.218000000001</v>
      </c>
    </row>
    <row r="344" spans="1:23" ht="39" x14ac:dyDescent="0.25">
      <c r="A344" s="32"/>
      <c r="B344" s="49" t="s">
        <v>186</v>
      </c>
      <c r="C344" s="9"/>
      <c r="D344" s="34" t="s">
        <v>15</v>
      </c>
      <c r="E344" s="34" t="s">
        <v>32</v>
      </c>
      <c r="F344" s="9" t="s">
        <v>185</v>
      </c>
      <c r="G344" s="9"/>
      <c r="H344" s="9"/>
      <c r="I344" s="34"/>
      <c r="J344" s="1061">
        <f>J346</f>
        <v>5253.4660000000003</v>
      </c>
      <c r="K344" s="1065"/>
      <c r="L344" s="1065">
        <f t="shared" ref="L344:R344" si="202">L346</f>
        <v>5406.2</v>
      </c>
      <c r="M344" s="1552">
        <f t="shared" si="202"/>
        <v>5230.3</v>
      </c>
      <c r="N344" s="2389">
        <f t="shared" si="202"/>
        <v>850</v>
      </c>
      <c r="O344" s="2485">
        <f t="shared" si="202"/>
        <v>10043.379999999999</v>
      </c>
      <c r="P344" s="2486">
        <f t="shared" si="202"/>
        <v>6288.7259999999997</v>
      </c>
      <c r="Q344" s="2487">
        <f t="shared" si="202"/>
        <v>2500</v>
      </c>
      <c r="R344" s="2488">
        <f t="shared" si="202"/>
        <v>2800</v>
      </c>
      <c r="S344" s="1972"/>
      <c r="T344" s="1972"/>
      <c r="U344" s="1972"/>
      <c r="V344" s="2389">
        <f t="shared" ref="V344:W344" si="203">V346</f>
        <v>2539.3449999999998</v>
      </c>
      <c r="W344" s="2389">
        <f t="shared" si="203"/>
        <v>1105.6199999999999</v>
      </c>
    </row>
    <row r="345" spans="1:23" ht="26" x14ac:dyDescent="0.25">
      <c r="A345" s="32"/>
      <c r="B345" s="49" t="s">
        <v>1048</v>
      </c>
      <c r="C345" s="9"/>
      <c r="D345" s="34"/>
      <c r="E345" s="34"/>
      <c r="F345" s="9" t="s">
        <v>185</v>
      </c>
      <c r="G345" s="9" t="s">
        <v>955</v>
      </c>
      <c r="H345" s="9"/>
      <c r="I345" s="34"/>
      <c r="J345" s="1061"/>
      <c r="K345" s="1065"/>
      <c r="L345" s="1065"/>
      <c r="M345" s="1552"/>
      <c r="N345" s="2389"/>
      <c r="O345" s="2485"/>
      <c r="P345" s="2486"/>
      <c r="Q345" s="2487"/>
      <c r="R345" s="2488"/>
      <c r="S345" s="1972"/>
      <c r="T345" s="1972"/>
      <c r="U345" s="1972"/>
      <c r="V345" s="2389"/>
      <c r="W345" s="2389"/>
    </row>
    <row r="346" spans="1:23" ht="25.15" customHeight="1" x14ac:dyDescent="0.25">
      <c r="A346" s="32"/>
      <c r="B346" s="1993" t="s">
        <v>4</v>
      </c>
      <c r="C346" s="9"/>
      <c r="D346" s="9" t="s">
        <v>15</v>
      </c>
      <c r="E346" s="9" t="s">
        <v>32</v>
      </c>
      <c r="F346" s="9" t="s">
        <v>185</v>
      </c>
      <c r="G346" s="9" t="s">
        <v>1</v>
      </c>
      <c r="H346" s="9"/>
      <c r="I346" s="9"/>
      <c r="J346" s="1061">
        <f>J347</f>
        <v>5253.4660000000003</v>
      </c>
      <c r="K346" s="1065"/>
      <c r="L346" s="1061">
        <v>5406.2</v>
      </c>
      <c r="M346" s="1550">
        <v>5230.3</v>
      </c>
      <c r="N346" s="2389">
        <f>N347</f>
        <v>850</v>
      </c>
      <c r="O346" s="2485">
        <f>O347</f>
        <v>10043.379999999999</v>
      </c>
      <c r="P346" s="2486">
        <f>P347</f>
        <v>6288.7259999999997</v>
      </c>
      <c r="Q346" s="2487">
        <f>Q347</f>
        <v>2500</v>
      </c>
      <c r="R346" s="2488">
        <f>R347</f>
        <v>2800</v>
      </c>
      <c r="S346" s="1972"/>
      <c r="T346" s="1972"/>
      <c r="U346" s="1972"/>
      <c r="V346" s="2389">
        <f>V347</f>
        <v>2539.3449999999998</v>
      </c>
      <c r="W346" s="2389">
        <f>W347</f>
        <v>1105.6199999999999</v>
      </c>
    </row>
    <row r="347" spans="1:23" ht="13" x14ac:dyDescent="0.3">
      <c r="A347" s="32"/>
      <c r="B347" s="744" t="s">
        <v>34</v>
      </c>
      <c r="C347" s="9"/>
      <c r="D347" s="9"/>
      <c r="E347" s="9"/>
      <c r="F347" s="9" t="s">
        <v>185</v>
      </c>
      <c r="G347" s="9" t="s">
        <v>1</v>
      </c>
      <c r="H347" s="9" t="s">
        <v>463</v>
      </c>
      <c r="I347" s="9" t="s">
        <v>495</v>
      </c>
      <c r="J347" s="1061">
        <v>5253.4660000000003</v>
      </c>
      <c r="K347" s="1065"/>
      <c r="L347" s="1061"/>
      <c r="M347" s="1550"/>
      <c r="N347" s="2389">
        <f>1850-1000</f>
        <v>850</v>
      </c>
      <c r="O347" s="2485">
        <v>10043.379999999999</v>
      </c>
      <c r="P347" s="2486">
        <v>6288.7259999999997</v>
      </c>
      <c r="Q347" s="2565">
        <v>2500</v>
      </c>
      <c r="R347" s="2566">
        <v>2800</v>
      </c>
      <c r="S347" s="1972"/>
      <c r="T347" s="1972"/>
      <c r="U347" s="1972"/>
      <c r="V347" s="2389">
        <v>2539.3449999999998</v>
      </c>
      <c r="W347" s="2389">
        <v>1105.6199999999999</v>
      </c>
    </row>
    <row r="348" spans="1:23" ht="39" x14ac:dyDescent="0.25">
      <c r="A348" s="32"/>
      <c r="B348" s="49" t="s">
        <v>184</v>
      </c>
      <c r="C348" s="9"/>
      <c r="D348" s="34" t="s">
        <v>15</v>
      </c>
      <c r="E348" s="34" t="s">
        <v>32</v>
      </c>
      <c r="F348" s="9" t="s">
        <v>183</v>
      </c>
      <c r="G348" s="9"/>
      <c r="H348" s="9"/>
      <c r="I348" s="34"/>
      <c r="J348" s="1061">
        <f>J350</f>
        <v>2363.7339999999999</v>
      </c>
      <c r="K348" s="1064"/>
      <c r="L348" s="1064">
        <f>L350</f>
        <v>2211</v>
      </c>
      <c r="M348" s="1563">
        <f>M350</f>
        <v>2233.5</v>
      </c>
      <c r="N348" s="2389">
        <f>N350</f>
        <v>29089.864000000001</v>
      </c>
      <c r="O348" s="2485">
        <f>O350</f>
        <v>22475.494999999999</v>
      </c>
      <c r="P348" s="2486">
        <f>P350</f>
        <v>24715.444</v>
      </c>
      <c r="Q348" s="2487">
        <f>Q350+Q354</f>
        <v>30558.639999999999</v>
      </c>
      <c r="R348" s="2488">
        <f>R350+R354</f>
        <v>31896.880000000001</v>
      </c>
      <c r="S348" s="1972"/>
      <c r="T348" s="1972"/>
      <c r="U348" s="1972"/>
      <c r="V348" s="2389">
        <f>V350</f>
        <v>26336.456999999999</v>
      </c>
      <c r="W348" s="2389">
        <f>W350</f>
        <v>26731.598000000002</v>
      </c>
    </row>
    <row r="349" spans="1:23" ht="26" x14ac:dyDescent="0.25">
      <c r="A349" s="32"/>
      <c r="B349" s="49" t="s">
        <v>1048</v>
      </c>
      <c r="C349" s="9"/>
      <c r="D349" s="34"/>
      <c r="E349" s="34"/>
      <c r="F349" s="9" t="s">
        <v>183</v>
      </c>
      <c r="G349" s="9" t="s">
        <v>955</v>
      </c>
      <c r="H349" s="9"/>
      <c r="I349" s="34"/>
      <c r="J349" s="1061"/>
      <c r="K349" s="1064"/>
      <c r="L349" s="1064"/>
      <c r="M349" s="1563"/>
      <c r="N349" s="2389">
        <f>N350</f>
        <v>29089.864000000001</v>
      </c>
      <c r="O349" s="2485"/>
      <c r="P349" s="2486"/>
      <c r="Q349" s="2487"/>
      <c r="R349" s="2488"/>
      <c r="S349" s="1972"/>
      <c r="T349" s="1972"/>
      <c r="U349" s="1972"/>
      <c r="V349" s="2389">
        <f>V350</f>
        <v>26336.456999999999</v>
      </c>
      <c r="W349" s="2389">
        <f>W350</f>
        <v>26731.598000000002</v>
      </c>
    </row>
    <row r="350" spans="1:23" ht="25.15" customHeight="1" x14ac:dyDescent="0.25">
      <c r="A350" s="32"/>
      <c r="B350" s="1993" t="s">
        <v>4</v>
      </c>
      <c r="C350" s="9"/>
      <c r="D350" s="9" t="s">
        <v>15</v>
      </c>
      <c r="E350" s="9" t="s">
        <v>32</v>
      </c>
      <c r="F350" s="9" t="s">
        <v>183</v>
      </c>
      <c r="G350" s="9" t="s">
        <v>1</v>
      </c>
      <c r="H350" s="9"/>
      <c r="I350" s="9"/>
      <c r="J350" s="1061">
        <f>J352</f>
        <v>2363.7339999999999</v>
      </c>
      <c r="K350" s="1064"/>
      <c r="L350" s="1064">
        <v>2211</v>
      </c>
      <c r="M350" s="1563">
        <v>2233.5</v>
      </c>
      <c r="N350" s="2389">
        <f>N352</f>
        <v>29089.864000000001</v>
      </c>
      <c r="O350" s="2485">
        <f>O352</f>
        <v>22475.494999999999</v>
      </c>
      <c r="P350" s="2486">
        <f>P352</f>
        <v>24715.444</v>
      </c>
      <c r="Q350" s="2487">
        <f>Q352</f>
        <v>30558.639999999999</v>
      </c>
      <c r="R350" s="2488">
        <f>R352</f>
        <v>31896.880000000001</v>
      </c>
      <c r="S350" s="1972"/>
      <c r="T350" s="1972"/>
      <c r="U350" s="1972"/>
      <c r="V350" s="2389">
        <f>V352</f>
        <v>26336.456999999999</v>
      </c>
      <c r="W350" s="2389">
        <f>W352</f>
        <v>26731.598000000002</v>
      </c>
    </row>
    <row r="351" spans="1:23" ht="18.649999999999999" hidden="1" customHeight="1" x14ac:dyDescent="0.3">
      <c r="A351" s="32"/>
      <c r="B351" s="2003"/>
      <c r="C351" s="9"/>
      <c r="D351" s="9"/>
      <c r="E351" s="9"/>
      <c r="F351" s="9"/>
      <c r="G351" s="9"/>
      <c r="H351" s="9"/>
      <c r="I351" s="9"/>
      <c r="J351" s="1061"/>
      <c r="K351" s="1064"/>
      <c r="L351" s="1064"/>
      <c r="M351" s="1563"/>
      <c r="N351" s="2389"/>
      <c r="O351" s="2485"/>
      <c r="P351" s="2486"/>
      <c r="Q351" s="2487"/>
      <c r="R351" s="2488"/>
      <c r="S351" s="1972"/>
      <c r="T351" s="1972"/>
      <c r="U351" s="1972"/>
      <c r="V351" s="2389"/>
      <c r="W351" s="2389"/>
    </row>
    <row r="352" spans="1:23" ht="13" x14ac:dyDescent="0.3">
      <c r="A352" s="32"/>
      <c r="B352" s="744" t="s">
        <v>34</v>
      </c>
      <c r="C352" s="9"/>
      <c r="D352" s="9"/>
      <c r="E352" s="9"/>
      <c r="F352" s="9" t="s">
        <v>183</v>
      </c>
      <c r="G352" s="9" t="s">
        <v>1</v>
      </c>
      <c r="H352" s="9" t="s">
        <v>463</v>
      </c>
      <c r="I352" s="9" t="s">
        <v>495</v>
      </c>
      <c r="J352" s="1061">
        <v>2363.7339999999999</v>
      </c>
      <c r="K352" s="1064"/>
      <c r="L352" s="1064"/>
      <c r="M352" s="1563"/>
      <c r="N352" s="2389">
        <f>26264.21+17.544+2808.11</f>
        <v>29089.864000000001</v>
      </c>
      <c r="O352" s="2485">
        <v>22475.494999999999</v>
      </c>
      <c r="P352" s="2486">
        <v>24715.444</v>
      </c>
      <c r="Q352" s="2487">
        <v>30558.639999999999</v>
      </c>
      <c r="R352" s="2488">
        <v>31896.880000000001</v>
      </c>
      <c r="S352" s="1972"/>
      <c r="T352" s="1972"/>
      <c r="U352" s="1972"/>
      <c r="V352" s="2389">
        <v>26336.456999999999</v>
      </c>
      <c r="W352" s="2389">
        <v>26731.598000000002</v>
      </c>
    </row>
    <row r="353" spans="1:256" ht="31" customHeight="1" x14ac:dyDescent="0.3">
      <c r="A353" s="32"/>
      <c r="B353" s="2012" t="s">
        <v>1117</v>
      </c>
      <c r="C353" s="9"/>
      <c r="D353" s="9"/>
      <c r="E353" s="9"/>
      <c r="F353" s="9" t="s">
        <v>1116</v>
      </c>
      <c r="G353" s="9"/>
      <c r="H353" s="9"/>
      <c r="I353" s="9"/>
      <c r="J353" s="1061"/>
      <c r="K353" s="1064"/>
      <c r="L353" s="1064"/>
      <c r="M353" s="1563"/>
      <c r="N353" s="2389">
        <f>N354</f>
        <v>315.79000000000002</v>
      </c>
      <c r="O353" s="2485"/>
      <c r="P353" s="2486"/>
      <c r="Q353" s="2487"/>
      <c r="R353" s="2488"/>
      <c r="S353" s="1972"/>
      <c r="T353" s="1972"/>
      <c r="U353" s="1972"/>
      <c r="V353" s="2389">
        <f>V354</f>
        <v>50</v>
      </c>
      <c r="W353" s="2389">
        <f>W354</f>
        <v>50</v>
      </c>
    </row>
    <row r="354" spans="1:256" s="2" customFormat="1" ht="31" customHeight="1" x14ac:dyDescent="0.25">
      <c r="A354" s="32"/>
      <c r="B354" s="2238" t="s">
        <v>1118</v>
      </c>
      <c r="C354" s="9"/>
      <c r="D354" s="9"/>
      <c r="E354" s="9"/>
      <c r="F354" s="9" t="s">
        <v>1115</v>
      </c>
      <c r="G354" s="9"/>
      <c r="H354" s="9"/>
      <c r="I354" s="9"/>
      <c r="J354" s="1061"/>
      <c r="K354" s="1064"/>
      <c r="L354" s="1064"/>
      <c r="M354" s="1563"/>
      <c r="N354" s="2389">
        <f>N356</f>
        <v>315.79000000000002</v>
      </c>
      <c r="O354" s="2485"/>
      <c r="P354" s="2486"/>
      <c r="Q354" s="2487">
        <f>Q356</f>
        <v>0</v>
      </c>
      <c r="R354" s="2488">
        <f>R356</f>
        <v>0</v>
      </c>
      <c r="S354" s="1972"/>
      <c r="T354" s="1972"/>
      <c r="U354" s="1972"/>
      <c r="V354" s="2389">
        <f>V356</f>
        <v>50</v>
      </c>
      <c r="W354" s="2389">
        <f>W356</f>
        <v>50</v>
      </c>
      <c r="Y354" s="1"/>
      <c r="Z354" s="237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</row>
    <row r="355" spans="1:256" s="2" customFormat="1" ht="26" x14ac:dyDescent="0.25">
      <c r="A355" s="32"/>
      <c r="B355" s="49" t="s">
        <v>1048</v>
      </c>
      <c r="C355" s="9"/>
      <c r="D355" s="9"/>
      <c r="E355" s="9"/>
      <c r="F355" s="9" t="s">
        <v>1115</v>
      </c>
      <c r="G355" s="9" t="s">
        <v>955</v>
      </c>
      <c r="H355" s="9"/>
      <c r="I355" s="9"/>
      <c r="J355" s="1061"/>
      <c r="K355" s="1064"/>
      <c r="L355" s="1064"/>
      <c r="M355" s="1563"/>
      <c r="N355" s="2389">
        <f>N356</f>
        <v>315.79000000000002</v>
      </c>
      <c r="O355" s="2485"/>
      <c r="P355" s="2486"/>
      <c r="Q355" s="2487"/>
      <c r="R355" s="2488"/>
      <c r="S355" s="1972"/>
      <c r="T355" s="1972"/>
      <c r="U355" s="1972"/>
      <c r="V355" s="2389">
        <f>V356</f>
        <v>50</v>
      </c>
      <c r="W355" s="2389">
        <f>W356</f>
        <v>50</v>
      </c>
      <c r="Y355" s="1"/>
      <c r="Z355" s="237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</row>
    <row r="356" spans="1:256" s="2" customFormat="1" ht="26" x14ac:dyDescent="0.25">
      <c r="A356" s="32"/>
      <c r="B356" s="1993" t="s">
        <v>4</v>
      </c>
      <c r="C356" s="9"/>
      <c r="D356" s="9"/>
      <c r="E356" s="9"/>
      <c r="F356" s="9" t="s">
        <v>1115</v>
      </c>
      <c r="G356" s="9" t="s">
        <v>1</v>
      </c>
      <c r="H356" s="9"/>
      <c r="I356" s="9"/>
      <c r="J356" s="1061"/>
      <c r="K356" s="1064"/>
      <c r="L356" s="1064"/>
      <c r="M356" s="1563"/>
      <c r="N356" s="2389">
        <f>N357</f>
        <v>315.79000000000002</v>
      </c>
      <c r="O356" s="2485"/>
      <c r="P356" s="2486"/>
      <c r="Q356" s="2487">
        <v>0</v>
      </c>
      <c r="R356" s="2488">
        <v>0</v>
      </c>
      <c r="S356" s="1972"/>
      <c r="T356" s="1972"/>
      <c r="U356" s="1972"/>
      <c r="V356" s="2389">
        <f>V357</f>
        <v>50</v>
      </c>
      <c r="W356" s="2389">
        <f>W357</f>
        <v>50</v>
      </c>
      <c r="Y356" s="1"/>
      <c r="Z356" s="237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</row>
    <row r="357" spans="1:256" s="2" customFormat="1" ht="13" x14ac:dyDescent="0.3">
      <c r="A357" s="32"/>
      <c r="B357" s="744" t="s">
        <v>34</v>
      </c>
      <c r="C357" s="9"/>
      <c r="D357" s="9"/>
      <c r="E357" s="9"/>
      <c r="F357" s="9" t="s">
        <v>1115</v>
      </c>
      <c r="G357" s="9" t="s">
        <v>1</v>
      </c>
      <c r="H357" s="9" t="s">
        <v>463</v>
      </c>
      <c r="I357" s="9" t="s">
        <v>495</v>
      </c>
      <c r="J357" s="1061"/>
      <c r="K357" s="1064"/>
      <c r="L357" s="1064"/>
      <c r="M357" s="1563"/>
      <c r="N357" s="2389">
        <f>333.334-17.544</f>
        <v>315.79000000000002</v>
      </c>
      <c r="O357" s="2485"/>
      <c r="P357" s="2486"/>
      <c r="Q357" s="2487"/>
      <c r="R357" s="2488"/>
      <c r="S357" s="1972"/>
      <c r="T357" s="1972"/>
      <c r="U357" s="1972"/>
      <c r="V357" s="2389">
        <v>50</v>
      </c>
      <c r="W357" s="2389">
        <v>50</v>
      </c>
      <c r="Y357" s="1"/>
      <c r="Z357" s="237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</row>
    <row r="358" spans="1:256" s="2" customFormat="1" ht="65" x14ac:dyDescent="0.25">
      <c r="A358" s="91">
        <v>8</v>
      </c>
      <c r="B358" s="2033" t="s">
        <v>917</v>
      </c>
      <c r="C358" s="9"/>
      <c r="D358" s="9"/>
      <c r="E358" s="9"/>
      <c r="F358" s="34" t="s">
        <v>181</v>
      </c>
      <c r="G358" s="9"/>
      <c r="H358" s="9"/>
      <c r="I358" s="9"/>
      <c r="J358" s="1061"/>
      <c r="K358" s="1064"/>
      <c r="L358" s="1064"/>
      <c r="M358" s="1563"/>
      <c r="N358" s="2481">
        <f>N359+N365+N396</f>
        <v>743.23500000000013</v>
      </c>
      <c r="O358" s="2495">
        <f>O359</f>
        <v>402.59899999999999</v>
      </c>
      <c r="P358" s="2496">
        <f>P359</f>
        <v>442.85899999999998</v>
      </c>
      <c r="Q358" s="2497">
        <f>Q359</f>
        <v>0</v>
      </c>
      <c r="R358" s="2484">
        <f>R359</f>
        <v>0</v>
      </c>
      <c r="S358" s="1972"/>
      <c r="T358" s="1972"/>
      <c r="U358" s="1972"/>
      <c r="V358" s="2481">
        <f>V369+V372+V396</f>
        <v>1000</v>
      </c>
      <c r="W358" s="2481">
        <f>W369+W372+W396</f>
        <v>1328.232</v>
      </c>
      <c r="Y358" s="1"/>
      <c r="Z358" s="237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</row>
    <row r="359" spans="1:256" s="2" customFormat="1" ht="39" hidden="1" x14ac:dyDescent="0.25">
      <c r="A359" s="32"/>
      <c r="B359" s="1093" t="s">
        <v>180</v>
      </c>
      <c r="C359" s="9"/>
      <c r="D359" s="9"/>
      <c r="E359" s="9"/>
      <c r="F359" s="9" t="s">
        <v>179</v>
      </c>
      <c r="G359" s="9"/>
      <c r="H359" s="9"/>
      <c r="I359" s="9"/>
      <c r="J359" s="1061"/>
      <c r="K359" s="1064"/>
      <c r="L359" s="1064"/>
      <c r="M359" s="1563"/>
      <c r="N359" s="2389">
        <f>N360</f>
        <v>0</v>
      </c>
      <c r="O359" s="2485">
        <f>O366+O360</f>
        <v>402.59899999999999</v>
      </c>
      <c r="P359" s="2486">
        <f>P366+P360</f>
        <v>442.85899999999998</v>
      </c>
      <c r="Q359" s="2487">
        <f>Q366+Q360</f>
        <v>0</v>
      </c>
      <c r="R359" s="2488">
        <f>R366+R360</f>
        <v>0</v>
      </c>
      <c r="S359" s="1972"/>
      <c r="T359" s="1972"/>
      <c r="U359" s="1972"/>
      <c r="V359" s="2389">
        <f>V360</f>
        <v>0</v>
      </c>
      <c r="W359" s="2389">
        <f>W360</f>
        <v>0</v>
      </c>
      <c r="Y359" s="1"/>
      <c r="Z359" s="237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</row>
    <row r="360" spans="1:256" s="2" customFormat="1" ht="26" hidden="1" x14ac:dyDescent="0.25">
      <c r="A360" s="32"/>
      <c r="B360" s="1098" t="s">
        <v>23</v>
      </c>
      <c r="C360" s="9"/>
      <c r="D360" s="9"/>
      <c r="E360" s="9"/>
      <c r="F360" s="9" t="s">
        <v>178</v>
      </c>
      <c r="G360" s="9"/>
      <c r="H360" s="9"/>
      <c r="I360" s="9"/>
      <c r="J360" s="1061"/>
      <c r="K360" s="1064"/>
      <c r="L360" s="1064"/>
      <c r="M360" s="1563"/>
      <c r="N360" s="2389">
        <f>N362+N364</f>
        <v>0</v>
      </c>
      <c r="O360" s="2485">
        <f t="shared" ref="O360:R360" si="204">O363</f>
        <v>0</v>
      </c>
      <c r="P360" s="2486">
        <f t="shared" si="204"/>
        <v>0</v>
      </c>
      <c r="Q360" s="2487">
        <f t="shared" si="204"/>
        <v>0</v>
      </c>
      <c r="R360" s="2488">
        <f t="shared" si="204"/>
        <v>0</v>
      </c>
      <c r="S360" s="1972"/>
      <c r="T360" s="1972"/>
      <c r="U360" s="1972"/>
      <c r="V360" s="2389">
        <f>V362+V364</f>
        <v>0</v>
      </c>
      <c r="W360" s="2389">
        <f>W362+W364</f>
        <v>0</v>
      </c>
      <c r="Y360" s="1"/>
      <c r="Z360" s="237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</row>
    <row r="361" spans="1:256" s="2" customFormat="1" ht="26" hidden="1" x14ac:dyDescent="0.25">
      <c r="A361" s="32"/>
      <c r="B361" s="1544" t="s">
        <v>454</v>
      </c>
      <c r="C361" s="9"/>
      <c r="D361" s="9"/>
      <c r="E361" s="9"/>
      <c r="F361" s="9" t="s">
        <v>178</v>
      </c>
      <c r="G361" s="9" t="s">
        <v>1</v>
      </c>
      <c r="H361" s="9"/>
      <c r="I361" s="9"/>
      <c r="J361" s="1061"/>
      <c r="K361" s="1064"/>
      <c r="L361" s="1064"/>
      <c r="M361" s="1563"/>
      <c r="N361" s="2389">
        <f>N362</f>
        <v>0</v>
      </c>
      <c r="O361" s="2485"/>
      <c r="P361" s="2486"/>
      <c r="Q361" s="2487"/>
      <c r="R361" s="2488"/>
      <c r="S361" s="1972"/>
      <c r="T361" s="1972"/>
      <c r="U361" s="1972"/>
      <c r="V361" s="2389">
        <f>V362</f>
        <v>0</v>
      </c>
      <c r="W361" s="2389">
        <f>W362</f>
        <v>0</v>
      </c>
      <c r="Y361" s="1"/>
      <c r="Z361" s="237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</row>
    <row r="362" spans="1:256" s="2" customFormat="1" ht="13" hidden="1" x14ac:dyDescent="0.3">
      <c r="A362" s="32"/>
      <c r="B362" s="744" t="s">
        <v>39</v>
      </c>
      <c r="C362" s="9"/>
      <c r="D362" s="9"/>
      <c r="E362" s="9"/>
      <c r="F362" s="9" t="s">
        <v>178</v>
      </c>
      <c r="G362" s="9" t="s">
        <v>1</v>
      </c>
      <c r="H362" s="9" t="s">
        <v>463</v>
      </c>
      <c r="I362" s="9" t="s">
        <v>488</v>
      </c>
      <c r="J362" s="1061"/>
      <c r="K362" s="1064"/>
      <c r="L362" s="1064"/>
      <c r="M362" s="1563"/>
      <c r="N362" s="2389"/>
      <c r="O362" s="2485"/>
      <c r="P362" s="2486"/>
      <c r="Q362" s="2487"/>
      <c r="R362" s="2488"/>
      <c r="S362" s="1972"/>
      <c r="T362" s="1972"/>
      <c r="U362" s="1972"/>
      <c r="V362" s="2389"/>
      <c r="W362" s="2389"/>
      <c r="Y362" s="1"/>
      <c r="Z362" s="237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</row>
    <row r="363" spans="1:256" s="2" customFormat="1" ht="13" hidden="1" x14ac:dyDescent="0.25">
      <c r="A363" s="32"/>
      <c r="B363" s="1544" t="s">
        <v>481</v>
      </c>
      <c r="C363" s="9"/>
      <c r="D363" s="9"/>
      <c r="E363" s="9"/>
      <c r="F363" s="9" t="s">
        <v>178</v>
      </c>
      <c r="G363" s="9" t="s">
        <v>26</v>
      </c>
      <c r="H363" s="9"/>
      <c r="I363" s="9"/>
      <c r="J363" s="1061"/>
      <c r="K363" s="1064"/>
      <c r="L363" s="1064"/>
      <c r="M363" s="1563"/>
      <c r="N363" s="2567">
        <f>N364</f>
        <v>0</v>
      </c>
      <c r="O363" s="2485">
        <f>O364</f>
        <v>0</v>
      </c>
      <c r="P363" s="2486">
        <f>P364</f>
        <v>0</v>
      </c>
      <c r="Q363" s="2487">
        <f>Q364</f>
        <v>0</v>
      </c>
      <c r="R363" s="2488">
        <f>R364</f>
        <v>0</v>
      </c>
      <c r="S363" s="1972"/>
      <c r="T363" s="1972"/>
      <c r="U363" s="1972"/>
      <c r="V363" s="2567">
        <f>V364</f>
        <v>0</v>
      </c>
      <c r="W363" s="2567">
        <f>W364</f>
        <v>0</v>
      </c>
      <c r="Y363" s="1"/>
      <c r="Z363" s="237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</row>
    <row r="364" spans="1:256" s="2" customFormat="1" ht="13" hidden="1" x14ac:dyDescent="0.3">
      <c r="A364" s="32"/>
      <c r="B364" s="744" t="s">
        <v>39</v>
      </c>
      <c r="C364" s="9"/>
      <c r="D364" s="9"/>
      <c r="E364" s="9"/>
      <c r="F364" s="9" t="s">
        <v>178</v>
      </c>
      <c r="G364" s="9" t="s">
        <v>26</v>
      </c>
      <c r="H364" s="9" t="s">
        <v>463</v>
      </c>
      <c r="I364" s="9" t="s">
        <v>488</v>
      </c>
      <c r="J364" s="1061"/>
      <c r="K364" s="1064"/>
      <c r="L364" s="1064"/>
      <c r="M364" s="1563"/>
      <c r="N364" s="2503"/>
      <c r="O364" s="2504"/>
      <c r="P364" s="2505"/>
      <c r="Q364" s="2506"/>
      <c r="R364" s="2507"/>
      <c r="S364" s="1972"/>
      <c r="T364" s="1972"/>
      <c r="U364" s="1972"/>
      <c r="V364" s="2503"/>
      <c r="W364" s="2503"/>
      <c r="Y364" s="1"/>
      <c r="Z364" s="237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</row>
    <row r="365" spans="1:256" s="2" customFormat="1" ht="25" customHeight="1" x14ac:dyDescent="0.25">
      <c r="A365" s="32"/>
      <c r="B365" s="337" t="s">
        <v>1009</v>
      </c>
      <c r="C365" s="9"/>
      <c r="D365" s="9"/>
      <c r="E365" s="9"/>
      <c r="F365" s="9" t="s">
        <v>1010</v>
      </c>
      <c r="G365" s="9"/>
      <c r="H365" s="9"/>
      <c r="I365" s="9"/>
      <c r="J365" s="1061"/>
      <c r="K365" s="1064"/>
      <c r="L365" s="1064"/>
      <c r="M365" s="1563"/>
      <c r="N365" s="2503">
        <f>N366</f>
        <v>743.23500000000013</v>
      </c>
      <c r="O365" s="2504"/>
      <c r="P365" s="2505"/>
      <c r="Q365" s="2506"/>
      <c r="R365" s="2507"/>
      <c r="S365" s="1972"/>
      <c r="T365" s="1972"/>
      <c r="U365" s="1972"/>
      <c r="V365" s="2503">
        <f>V366</f>
        <v>1000</v>
      </c>
      <c r="W365" s="2503">
        <f>W366</f>
        <v>1000</v>
      </c>
      <c r="Y365" s="1"/>
      <c r="Z365" s="237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</row>
    <row r="366" spans="1:256" s="2" customFormat="1" ht="26" x14ac:dyDescent="0.25">
      <c r="A366" s="32"/>
      <c r="B366" s="1108" t="s">
        <v>1011</v>
      </c>
      <c r="C366" s="9"/>
      <c r="D366" s="9"/>
      <c r="E366" s="9"/>
      <c r="F366" s="9" t="s">
        <v>1012</v>
      </c>
      <c r="G366" s="9"/>
      <c r="H366" s="9"/>
      <c r="I366" s="9"/>
      <c r="J366" s="1061"/>
      <c r="K366" s="1064"/>
      <c r="L366" s="1064"/>
      <c r="M366" s="1563"/>
      <c r="N366" s="2503">
        <f>N371</f>
        <v>743.23500000000013</v>
      </c>
      <c r="O366" s="2504">
        <f>O371</f>
        <v>402.59899999999999</v>
      </c>
      <c r="P366" s="2505">
        <f>P371</f>
        <v>442.85899999999998</v>
      </c>
      <c r="Q366" s="2506">
        <f>Q371</f>
        <v>0</v>
      </c>
      <c r="R366" s="2507">
        <f>R371</f>
        <v>0</v>
      </c>
      <c r="S366" s="1972"/>
      <c r="T366" s="1972"/>
      <c r="U366" s="1972"/>
      <c r="V366" s="2503">
        <f>V371+V369</f>
        <v>1000</v>
      </c>
      <c r="W366" s="2503">
        <f>W371+W369</f>
        <v>1000</v>
      </c>
      <c r="Y366" s="1"/>
      <c r="Z366" s="237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</row>
    <row r="367" spans="1:256" s="2" customFormat="1" ht="26" hidden="1" x14ac:dyDescent="0.25">
      <c r="A367" s="32"/>
      <c r="B367" s="49" t="s">
        <v>1048</v>
      </c>
      <c r="C367" s="9"/>
      <c r="D367" s="9"/>
      <c r="E367" s="9"/>
      <c r="F367" s="9" t="s">
        <v>1012</v>
      </c>
      <c r="G367" s="9" t="s">
        <v>955</v>
      </c>
      <c r="H367" s="9"/>
      <c r="I367" s="9"/>
      <c r="J367" s="1061"/>
      <c r="K367" s="1064"/>
      <c r="L367" s="1064"/>
      <c r="M367" s="1563"/>
      <c r="N367" s="2537">
        <f>N368</f>
        <v>0</v>
      </c>
      <c r="O367" s="2504"/>
      <c r="P367" s="2505"/>
      <c r="Q367" s="2506"/>
      <c r="R367" s="2507"/>
      <c r="S367" s="1972"/>
      <c r="T367" s="1972"/>
      <c r="U367" s="1972"/>
      <c r="V367" s="2537">
        <f t="shared" ref="V367:W368" si="205">V368</f>
        <v>0</v>
      </c>
      <c r="W367" s="2537">
        <f t="shared" si="205"/>
        <v>0</v>
      </c>
      <c r="Y367" s="1"/>
      <c r="Z367" s="237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</row>
    <row r="368" spans="1:256" s="2" customFormat="1" ht="26" hidden="1" x14ac:dyDescent="0.25">
      <c r="A368" s="32"/>
      <c r="B368" s="1544" t="s">
        <v>454</v>
      </c>
      <c r="C368" s="9"/>
      <c r="D368" s="9"/>
      <c r="E368" s="9"/>
      <c r="F368" s="9" t="s">
        <v>1012</v>
      </c>
      <c r="G368" s="9" t="s">
        <v>1</v>
      </c>
      <c r="H368" s="9"/>
      <c r="I368" s="9"/>
      <c r="J368" s="1061"/>
      <c r="K368" s="1064"/>
      <c r="L368" s="1064"/>
      <c r="M368" s="1563"/>
      <c r="N368" s="2537">
        <f>N369</f>
        <v>0</v>
      </c>
      <c r="O368" s="2504"/>
      <c r="P368" s="2505"/>
      <c r="Q368" s="2506"/>
      <c r="R368" s="2507"/>
      <c r="S368" s="1972"/>
      <c r="T368" s="1972"/>
      <c r="U368" s="1972"/>
      <c r="V368" s="2537">
        <f t="shared" si="205"/>
        <v>0</v>
      </c>
      <c r="W368" s="2537">
        <f t="shared" si="205"/>
        <v>0</v>
      </c>
      <c r="Y368" s="1"/>
      <c r="Z368" s="237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</row>
    <row r="369" spans="1:256" s="2" customFormat="1" ht="13" hidden="1" x14ac:dyDescent="0.3">
      <c r="A369" s="32"/>
      <c r="B369" s="744" t="s">
        <v>39</v>
      </c>
      <c r="C369" s="9"/>
      <c r="D369" s="9"/>
      <c r="E369" s="9"/>
      <c r="F369" s="9" t="s">
        <v>1012</v>
      </c>
      <c r="G369" s="9" t="s">
        <v>1</v>
      </c>
      <c r="H369" s="9" t="s">
        <v>463</v>
      </c>
      <c r="I369" s="9" t="s">
        <v>488</v>
      </c>
      <c r="J369" s="1061"/>
      <c r="K369" s="1064"/>
      <c r="L369" s="1064"/>
      <c r="M369" s="1563"/>
      <c r="N369" s="2537">
        <v>0</v>
      </c>
      <c r="O369" s="2504"/>
      <c r="P369" s="2505"/>
      <c r="Q369" s="2506"/>
      <c r="R369" s="2507"/>
      <c r="S369" s="1972"/>
      <c r="T369" s="1972"/>
      <c r="U369" s="1972"/>
      <c r="V369" s="2537">
        <v>0</v>
      </c>
      <c r="W369" s="2537">
        <v>0</v>
      </c>
      <c r="Y369" s="1"/>
      <c r="Z369" s="237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</row>
    <row r="370" spans="1:256" s="2" customFormat="1" ht="13" x14ac:dyDescent="0.25">
      <c r="A370" s="32"/>
      <c r="B370" s="2152" t="s">
        <v>1065</v>
      </c>
      <c r="C370" s="9"/>
      <c r="D370" s="9"/>
      <c r="E370" s="9"/>
      <c r="F370" s="9" t="s">
        <v>1012</v>
      </c>
      <c r="G370" s="9" t="s">
        <v>1064</v>
      </c>
      <c r="H370" s="9"/>
      <c r="I370" s="9"/>
      <c r="J370" s="1061"/>
      <c r="K370" s="1064"/>
      <c r="L370" s="1064"/>
      <c r="M370" s="1563"/>
      <c r="N370" s="2537">
        <f>N371</f>
        <v>743.23500000000013</v>
      </c>
      <c r="O370" s="2568"/>
      <c r="P370" s="2569"/>
      <c r="Q370" s="2570"/>
      <c r="R370" s="2571"/>
      <c r="S370" s="2572"/>
      <c r="T370" s="2572"/>
      <c r="U370" s="2572"/>
      <c r="V370" s="2573">
        <f>V371</f>
        <v>1000</v>
      </c>
      <c r="W370" s="2573">
        <f>W371</f>
        <v>1000</v>
      </c>
      <c r="Y370" s="1"/>
      <c r="Z370" s="237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</row>
    <row r="371" spans="1:256" s="2" customFormat="1" ht="26" x14ac:dyDescent="0.25">
      <c r="A371" s="32"/>
      <c r="B371" s="1544" t="s">
        <v>523</v>
      </c>
      <c r="C371" s="9"/>
      <c r="D371" s="9"/>
      <c r="E371" s="9"/>
      <c r="F371" s="9" t="s">
        <v>1012</v>
      </c>
      <c r="G371" s="9" t="s">
        <v>521</v>
      </c>
      <c r="H371" s="9"/>
      <c r="I371" s="9"/>
      <c r="J371" s="1061"/>
      <c r="K371" s="1064"/>
      <c r="L371" s="1064"/>
      <c r="M371" s="1563"/>
      <c r="N371" s="2503">
        <f>N372</f>
        <v>743.23500000000013</v>
      </c>
      <c r="O371" s="2504">
        <f t="shared" ref="O371:R371" si="206">O372</f>
        <v>402.59899999999999</v>
      </c>
      <c r="P371" s="2505">
        <f t="shared" si="206"/>
        <v>442.85899999999998</v>
      </c>
      <c r="Q371" s="2506">
        <f t="shared" si="206"/>
        <v>0</v>
      </c>
      <c r="R371" s="2507">
        <f t="shared" si="206"/>
        <v>0</v>
      </c>
      <c r="S371" s="1972"/>
      <c r="T371" s="1972"/>
      <c r="U371" s="1972"/>
      <c r="V371" s="2503">
        <f>V372</f>
        <v>1000</v>
      </c>
      <c r="W371" s="2503">
        <f>W372</f>
        <v>1000</v>
      </c>
      <c r="Y371" s="1"/>
      <c r="Z371" s="237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</row>
    <row r="372" spans="1:256" s="2" customFormat="1" ht="13" x14ac:dyDescent="0.3">
      <c r="A372" s="32"/>
      <c r="B372" s="744" t="s">
        <v>39</v>
      </c>
      <c r="C372" s="9"/>
      <c r="D372" s="9"/>
      <c r="E372" s="9"/>
      <c r="F372" s="9" t="s">
        <v>1012</v>
      </c>
      <c r="G372" s="9" t="s">
        <v>521</v>
      </c>
      <c r="H372" s="9" t="s">
        <v>463</v>
      </c>
      <c r="I372" s="9" t="s">
        <v>488</v>
      </c>
      <c r="J372" s="1061"/>
      <c r="K372" s="1064"/>
      <c r="L372" s="1064"/>
      <c r="M372" s="1563"/>
      <c r="N372" s="2389">
        <f>2243.235-1500</f>
        <v>743.23500000000013</v>
      </c>
      <c r="O372" s="2485">
        <v>402.59899999999999</v>
      </c>
      <c r="P372" s="2486">
        <v>442.85899999999998</v>
      </c>
      <c r="Q372" s="2487">
        <v>0</v>
      </c>
      <c r="R372" s="2488">
        <v>0</v>
      </c>
      <c r="S372" s="1972"/>
      <c r="T372" s="1972"/>
      <c r="U372" s="1972"/>
      <c r="V372" s="2389">
        <v>1000</v>
      </c>
      <c r="W372" s="2389">
        <v>1000</v>
      </c>
      <c r="Y372" s="1"/>
      <c r="Z372" s="237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</row>
    <row r="373" spans="1:256" s="2" customFormat="1" ht="39" hidden="1" x14ac:dyDescent="0.25">
      <c r="A373" s="91">
        <v>9</v>
      </c>
      <c r="B373" s="2033" t="s">
        <v>861</v>
      </c>
      <c r="C373" s="9"/>
      <c r="D373" s="9"/>
      <c r="E373" s="9"/>
      <c r="F373" s="2035" t="s">
        <v>468</v>
      </c>
      <c r="G373" s="2035" t="s">
        <v>106</v>
      </c>
      <c r="H373" s="2035"/>
      <c r="I373" s="9"/>
      <c r="J373" s="1061"/>
      <c r="K373" s="1064"/>
      <c r="L373" s="1064"/>
      <c r="M373" s="1563"/>
      <c r="N373" s="1982">
        <f>N379+N385</f>
        <v>0</v>
      </c>
      <c r="O373" s="1947"/>
      <c r="P373" s="1941"/>
      <c r="Q373" s="2036"/>
      <c r="R373" s="2037"/>
      <c r="V373" s="1982">
        <f>V379+V385</f>
        <v>0</v>
      </c>
      <c r="W373" s="1982">
        <f>W379+W385</f>
        <v>0</v>
      </c>
      <c r="Y373" s="1"/>
      <c r="Z373" s="237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</row>
    <row r="374" spans="1:256" s="2" customFormat="1" ht="13.5" hidden="1" x14ac:dyDescent="0.25">
      <c r="A374" s="32"/>
      <c r="B374" s="1109" t="s">
        <v>849</v>
      </c>
      <c r="C374" s="9"/>
      <c r="D374" s="9"/>
      <c r="E374" s="9"/>
      <c r="F374" s="2038" t="s">
        <v>854</v>
      </c>
      <c r="G374" s="2039"/>
      <c r="H374" s="2039"/>
      <c r="I374" s="9"/>
      <c r="J374" s="1061"/>
      <c r="K374" s="1064"/>
      <c r="L374" s="1064"/>
      <c r="M374" s="1563"/>
      <c r="N374" s="1986">
        <f t="shared" ref="N374:N427" si="207">N375</f>
        <v>0</v>
      </c>
      <c r="O374" s="1947"/>
      <c r="P374" s="1941"/>
      <c r="Q374" s="2040"/>
      <c r="R374" s="2041"/>
      <c r="V374" s="1986">
        <f t="shared" ref="V374:W427" si="208">V375</f>
        <v>0</v>
      </c>
      <c r="W374" s="1986">
        <f t="shared" si="208"/>
        <v>0</v>
      </c>
      <c r="Y374" s="1"/>
      <c r="Z374" s="237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</row>
    <row r="375" spans="1:256" s="2" customFormat="1" ht="26" hidden="1" x14ac:dyDescent="0.25">
      <c r="A375" s="32"/>
      <c r="B375" s="1092" t="s">
        <v>850</v>
      </c>
      <c r="C375" s="9"/>
      <c r="D375" s="9"/>
      <c r="E375" s="9"/>
      <c r="F375" s="2038" t="s">
        <v>855</v>
      </c>
      <c r="G375" s="2042"/>
      <c r="H375" s="2042"/>
      <c r="I375" s="9"/>
      <c r="J375" s="1061"/>
      <c r="K375" s="1064"/>
      <c r="L375" s="1064"/>
      <c r="M375" s="1563"/>
      <c r="N375" s="1986">
        <f t="shared" si="207"/>
        <v>0</v>
      </c>
      <c r="O375" s="1947"/>
      <c r="P375" s="1941"/>
      <c r="Q375" s="2040"/>
      <c r="R375" s="2041"/>
      <c r="V375" s="1986">
        <f t="shared" si="208"/>
        <v>0</v>
      </c>
      <c r="W375" s="1986">
        <f t="shared" si="208"/>
        <v>0</v>
      </c>
      <c r="Y375" s="1"/>
      <c r="Z375" s="237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</row>
    <row r="376" spans="1:256" s="2" customFormat="1" ht="41.5" hidden="1" customHeight="1" x14ac:dyDescent="0.25">
      <c r="A376" s="32"/>
      <c r="B376" s="1110" t="s">
        <v>851</v>
      </c>
      <c r="C376" s="9"/>
      <c r="D376" s="9"/>
      <c r="E376" s="9"/>
      <c r="F376" s="2038" t="s">
        <v>856</v>
      </c>
      <c r="G376" s="2043"/>
      <c r="H376" s="2043"/>
      <c r="I376" s="9"/>
      <c r="J376" s="1061"/>
      <c r="K376" s="1064"/>
      <c r="L376" s="1064"/>
      <c r="M376" s="1563"/>
      <c r="N376" s="1986">
        <f t="shared" si="207"/>
        <v>0</v>
      </c>
      <c r="O376" s="1947"/>
      <c r="P376" s="1941"/>
      <c r="Q376" s="2040"/>
      <c r="R376" s="2041"/>
      <c r="V376" s="1986">
        <f t="shared" si="208"/>
        <v>0</v>
      </c>
      <c r="W376" s="1986">
        <f t="shared" si="208"/>
        <v>0</v>
      </c>
      <c r="Y376" s="1"/>
      <c r="Z376" s="237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</row>
    <row r="377" spans="1:256" s="2" customFormat="1" ht="13" hidden="1" x14ac:dyDescent="0.25">
      <c r="A377" s="32"/>
      <c r="B377" s="1203" t="s">
        <v>852</v>
      </c>
      <c r="C377" s="9"/>
      <c r="D377" s="9"/>
      <c r="E377" s="9"/>
      <c r="F377" s="2043" t="s">
        <v>856</v>
      </c>
      <c r="G377" s="2044" t="s">
        <v>860</v>
      </c>
      <c r="H377" s="2044"/>
      <c r="I377" s="9"/>
      <c r="J377" s="1061"/>
      <c r="K377" s="1064"/>
      <c r="L377" s="1064"/>
      <c r="M377" s="1563"/>
      <c r="N377" s="1986">
        <f t="shared" si="207"/>
        <v>0</v>
      </c>
      <c r="O377" s="1947"/>
      <c r="P377" s="1941"/>
      <c r="Q377" s="2040"/>
      <c r="R377" s="2041"/>
      <c r="V377" s="1986">
        <f t="shared" si="208"/>
        <v>0</v>
      </c>
      <c r="W377" s="1986">
        <f t="shared" si="208"/>
        <v>0</v>
      </c>
      <c r="Y377" s="1"/>
      <c r="Z377" s="237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</row>
    <row r="378" spans="1:256" s="2" customFormat="1" ht="13" hidden="1" x14ac:dyDescent="0.25">
      <c r="A378" s="32"/>
      <c r="B378" s="1203" t="s">
        <v>80</v>
      </c>
      <c r="C378" s="9"/>
      <c r="D378" s="9"/>
      <c r="E378" s="9"/>
      <c r="F378" s="2043" t="s">
        <v>856</v>
      </c>
      <c r="G378" s="2044" t="s">
        <v>77</v>
      </c>
      <c r="H378" s="2044"/>
      <c r="I378" s="9"/>
      <c r="J378" s="1061"/>
      <c r="K378" s="1064"/>
      <c r="L378" s="1064"/>
      <c r="M378" s="1563"/>
      <c r="N378" s="1986">
        <f t="shared" si="207"/>
        <v>0</v>
      </c>
      <c r="O378" s="1947"/>
      <c r="P378" s="1941"/>
      <c r="Q378" s="2040"/>
      <c r="R378" s="2041"/>
      <c r="V378" s="1986">
        <f t="shared" si="208"/>
        <v>0</v>
      </c>
      <c r="W378" s="1986">
        <f t="shared" si="208"/>
        <v>0</v>
      </c>
      <c r="Y378" s="1"/>
      <c r="Z378" s="237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</row>
    <row r="379" spans="1:256" s="2" customFormat="1" ht="13" hidden="1" x14ac:dyDescent="0.25">
      <c r="A379" s="32"/>
      <c r="B379" s="1184" t="s">
        <v>45</v>
      </c>
      <c r="C379" s="9"/>
      <c r="D379" s="9"/>
      <c r="E379" s="9"/>
      <c r="F379" s="2043" t="s">
        <v>856</v>
      </c>
      <c r="G379" s="2044" t="s">
        <v>77</v>
      </c>
      <c r="H379" s="2044" t="s">
        <v>496</v>
      </c>
      <c r="I379" s="9" t="s">
        <v>495</v>
      </c>
      <c r="J379" s="1061"/>
      <c r="K379" s="1064"/>
      <c r="L379" s="1064"/>
      <c r="M379" s="1563"/>
      <c r="N379" s="1986"/>
      <c r="O379" s="1947"/>
      <c r="P379" s="1941"/>
      <c r="Q379" s="2040"/>
      <c r="R379" s="2041"/>
      <c r="V379" s="1986"/>
      <c r="W379" s="1986"/>
      <c r="Y379" s="1"/>
      <c r="Z379" s="237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</row>
    <row r="380" spans="1:256" s="2" customFormat="1" ht="40.5" hidden="1" x14ac:dyDescent="0.25">
      <c r="A380" s="32"/>
      <c r="B380" s="1109" t="s">
        <v>853</v>
      </c>
      <c r="C380" s="9"/>
      <c r="D380" s="9"/>
      <c r="E380" s="9"/>
      <c r="F380" s="2038" t="s">
        <v>857</v>
      </c>
      <c r="G380" s="2039"/>
      <c r="H380" s="2039"/>
      <c r="I380" s="9"/>
      <c r="J380" s="1061"/>
      <c r="K380" s="1064"/>
      <c r="L380" s="1064"/>
      <c r="M380" s="1563"/>
      <c r="N380" s="1986">
        <f t="shared" si="207"/>
        <v>0</v>
      </c>
      <c r="O380" s="1947"/>
      <c r="P380" s="1941"/>
      <c r="Q380" s="2040"/>
      <c r="R380" s="2041"/>
      <c r="V380" s="1986">
        <f t="shared" si="208"/>
        <v>0</v>
      </c>
      <c r="W380" s="1986">
        <f t="shared" si="208"/>
        <v>0</v>
      </c>
      <c r="Y380" s="1"/>
      <c r="Z380" s="237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</row>
    <row r="381" spans="1:256" s="2" customFormat="1" ht="26" hidden="1" x14ac:dyDescent="0.25">
      <c r="A381" s="32"/>
      <c r="B381" s="1092" t="s">
        <v>850</v>
      </c>
      <c r="C381" s="9"/>
      <c r="D381" s="9"/>
      <c r="E381" s="9"/>
      <c r="F381" s="2038" t="s">
        <v>858</v>
      </c>
      <c r="G381" s="2042"/>
      <c r="H381" s="2042"/>
      <c r="I381" s="9"/>
      <c r="J381" s="1061"/>
      <c r="K381" s="1064"/>
      <c r="L381" s="1064"/>
      <c r="M381" s="1563"/>
      <c r="N381" s="1986">
        <f t="shared" si="207"/>
        <v>0</v>
      </c>
      <c r="O381" s="1947"/>
      <c r="P381" s="1941"/>
      <c r="Q381" s="2040"/>
      <c r="R381" s="2041"/>
      <c r="V381" s="1986">
        <f t="shared" si="208"/>
        <v>0</v>
      </c>
      <c r="W381" s="1986">
        <f t="shared" si="208"/>
        <v>0</v>
      </c>
      <c r="Y381" s="1"/>
      <c r="Z381" s="237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</row>
    <row r="382" spans="1:256" s="2" customFormat="1" ht="39" hidden="1" x14ac:dyDescent="0.25">
      <c r="A382" s="32"/>
      <c r="B382" s="1110" t="s">
        <v>851</v>
      </c>
      <c r="C382" s="9"/>
      <c r="D382" s="9"/>
      <c r="E382" s="9"/>
      <c r="F382" s="2038" t="s">
        <v>859</v>
      </c>
      <c r="G382" s="2043"/>
      <c r="H382" s="2043"/>
      <c r="I382" s="9"/>
      <c r="J382" s="1061"/>
      <c r="K382" s="1064"/>
      <c r="L382" s="1064"/>
      <c r="M382" s="1563"/>
      <c r="N382" s="1986">
        <f t="shared" si="207"/>
        <v>0</v>
      </c>
      <c r="O382" s="1947"/>
      <c r="P382" s="1941"/>
      <c r="Q382" s="2040"/>
      <c r="R382" s="2041"/>
      <c r="V382" s="1986">
        <f t="shared" si="208"/>
        <v>0</v>
      </c>
      <c r="W382" s="1986">
        <f t="shared" si="208"/>
        <v>0</v>
      </c>
      <c r="Y382" s="1"/>
      <c r="Z382" s="237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</row>
    <row r="383" spans="1:256" s="2" customFormat="1" ht="13" hidden="1" x14ac:dyDescent="0.25">
      <c r="A383" s="32"/>
      <c r="B383" s="1203" t="s">
        <v>852</v>
      </c>
      <c r="C383" s="9"/>
      <c r="D383" s="9"/>
      <c r="E383" s="9"/>
      <c r="F383" s="2038" t="s">
        <v>859</v>
      </c>
      <c r="G383" s="2044" t="s">
        <v>860</v>
      </c>
      <c r="H383" s="2044"/>
      <c r="I383" s="9"/>
      <c r="J383" s="1061"/>
      <c r="K383" s="1064"/>
      <c r="L383" s="1064"/>
      <c r="M383" s="1563"/>
      <c r="N383" s="1986">
        <f t="shared" si="207"/>
        <v>0</v>
      </c>
      <c r="O383" s="1947"/>
      <c r="P383" s="1941"/>
      <c r="Q383" s="2040"/>
      <c r="R383" s="2041"/>
      <c r="V383" s="1986">
        <f t="shared" si="208"/>
        <v>0</v>
      </c>
      <c r="W383" s="1986">
        <f t="shared" si="208"/>
        <v>0</v>
      </c>
      <c r="Y383" s="1"/>
      <c r="Z383" s="237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</row>
    <row r="384" spans="1:256" s="2" customFormat="1" ht="13" hidden="1" x14ac:dyDescent="0.25">
      <c r="A384" s="32"/>
      <c r="B384" s="1203" t="s">
        <v>80</v>
      </c>
      <c r="C384" s="9"/>
      <c r="D384" s="9"/>
      <c r="E384" s="9"/>
      <c r="F384" s="2043" t="s">
        <v>859</v>
      </c>
      <c r="G384" s="2044" t="s">
        <v>77</v>
      </c>
      <c r="H384" s="2044"/>
      <c r="I384" s="9"/>
      <c r="J384" s="1061"/>
      <c r="K384" s="1064"/>
      <c r="L384" s="1064"/>
      <c r="M384" s="1563"/>
      <c r="N384" s="1986">
        <f>N385</f>
        <v>0</v>
      </c>
      <c r="O384" s="1947"/>
      <c r="P384" s="1941"/>
      <c r="Q384" s="2040"/>
      <c r="R384" s="2041"/>
      <c r="V384" s="1986">
        <f>V385</f>
        <v>0</v>
      </c>
      <c r="W384" s="1986">
        <f>W385</f>
        <v>0</v>
      </c>
      <c r="Y384" s="1"/>
      <c r="Z384" s="237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</row>
    <row r="385" spans="1:256" s="2" customFormat="1" ht="13" hidden="1" x14ac:dyDescent="0.25">
      <c r="A385" s="32"/>
      <c r="B385" s="1184" t="s">
        <v>45</v>
      </c>
      <c r="C385" s="1508"/>
      <c r="D385" s="1508"/>
      <c r="E385" s="1508"/>
      <c r="F385" s="2045" t="s">
        <v>859</v>
      </c>
      <c r="G385" s="2046" t="s">
        <v>77</v>
      </c>
      <c r="H385" s="2046" t="s">
        <v>496</v>
      </c>
      <c r="I385" s="1508" t="s">
        <v>495</v>
      </c>
      <c r="J385" s="1061"/>
      <c r="K385" s="1064"/>
      <c r="L385" s="1064"/>
      <c r="M385" s="1563"/>
      <c r="N385" s="1986"/>
      <c r="O385" s="1947"/>
      <c r="P385" s="1941"/>
      <c r="Q385" s="2040"/>
      <c r="R385" s="2041"/>
      <c r="V385" s="1986"/>
      <c r="W385" s="1986"/>
      <c r="Y385" s="1"/>
      <c r="Z385" s="237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</row>
    <row r="386" spans="1:256" s="2" customFormat="1" ht="52" hidden="1" x14ac:dyDescent="0.25">
      <c r="A386" s="1504">
        <v>10</v>
      </c>
      <c r="B386" s="2047" t="s">
        <v>1013</v>
      </c>
      <c r="C386" s="1508"/>
      <c r="D386" s="1508"/>
      <c r="E386" s="1508"/>
      <c r="F386" s="2048" t="s">
        <v>1014</v>
      </c>
      <c r="G386" s="2046"/>
      <c r="H386" s="2046"/>
      <c r="I386" s="1508"/>
      <c r="J386" s="1087"/>
      <c r="K386" s="1064"/>
      <c r="L386" s="1064"/>
      <c r="M386" s="1563"/>
      <c r="N386" s="1982">
        <f>N387</f>
        <v>0</v>
      </c>
      <c r="O386" s="1947"/>
      <c r="P386" s="1941"/>
      <c r="Q386" s="2040"/>
      <c r="R386" s="2041"/>
      <c r="V386" s="1982">
        <f t="shared" ref="V386:W390" si="209">V387</f>
        <v>0</v>
      </c>
      <c r="W386" s="1982">
        <f t="shared" si="209"/>
        <v>0</v>
      </c>
      <c r="Y386" s="1"/>
      <c r="Z386" s="237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</row>
    <row r="387" spans="1:256" s="2" customFormat="1" ht="39" hidden="1" x14ac:dyDescent="0.25">
      <c r="A387" s="1505"/>
      <c r="B387" s="2049" t="s">
        <v>1015</v>
      </c>
      <c r="C387" s="1508"/>
      <c r="D387" s="1508"/>
      <c r="E387" s="1508"/>
      <c r="F387" s="2045" t="s">
        <v>1016</v>
      </c>
      <c r="G387" s="2046"/>
      <c r="H387" s="2046"/>
      <c r="I387" s="1508"/>
      <c r="J387" s="1087"/>
      <c r="K387" s="1064"/>
      <c r="L387" s="1064"/>
      <c r="M387" s="1563"/>
      <c r="N387" s="1986">
        <f>N388</f>
        <v>0</v>
      </c>
      <c r="O387" s="1947"/>
      <c r="P387" s="1941"/>
      <c r="Q387" s="2040"/>
      <c r="R387" s="2041"/>
      <c r="V387" s="1986">
        <f t="shared" si="209"/>
        <v>0</v>
      </c>
      <c r="W387" s="1986">
        <f t="shared" si="209"/>
        <v>0</v>
      </c>
      <c r="Y387" s="1"/>
      <c r="Z387" s="237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</row>
    <row r="388" spans="1:256" s="2" customFormat="1" ht="34.5" hidden="1" x14ac:dyDescent="0.25">
      <c r="A388" s="1505"/>
      <c r="B388" s="2050" t="s">
        <v>1017</v>
      </c>
      <c r="C388" s="1508"/>
      <c r="D388" s="1508"/>
      <c r="E388" s="1508"/>
      <c r="F388" s="2045" t="s">
        <v>1041</v>
      </c>
      <c r="G388" s="2046"/>
      <c r="H388" s="2046"/>
      <c r="I388" s="1508"/>
      <c r="J388" s="1087"/>
      <c r="K388" s="1064"/>
      <c r="L388" s="1064"/>
      <c r="M388" s="1563"/>
      <c r="N388" s="1986">
        <f>N389</f>
        <v>0</v>
      </c>
      <c r="O388" s="1947"/>
      <c r="P388" s="1941"/>
      <c r="Q388" s="2040"/>
      <c r="R388" s="2041"/>
      <c r="V388" s="1986">
        <f t="shared" si="209"/>
        <v>0</v>
      </c>
      <c r="W388" s="1986">
        <f t="shared" si="209"/>
        <v>0</v>
      </c>
      <c r="Y388" s="1"/>
      <c r="Z388" s="237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</row>
    <row r="389" spans="1:256" s="2" customFormat="1" ht="23" hidden="1" x14ac:dyDescent="0.25">
      <c r="A389" s="1505"/>
      <c r="B389" s="1515" t="s">
        <v>948</v>
      </c>
      <c r="C389" s="1508"/>
      <c r="D389" s="1508"/>
      <c r="E389" s="1508"/>
      <c r="F389" s="2045" t="s">
        <v>1041</v>
      </c>
      <c r="G389" s="2046" t="s">
        <v>955</v>
      </c>
      <c r="H389" s="2046"/>
      <c r="I389" s="1508"/>
      <c r="J389" s="1087"/>
      <c r="K389" s="1064"/>
      <c r="L389" s="1064"/>
      <c r="M389" s="1563"/>
      <c r="N389" s="1986">
        <f>N390</f>
        <v>0</v>
      </c>
      <c r="O389" s="1947"/>
      <c r="P389" s="1941"/>
      <c r="Q389" s="2040"/>
      <c r="R389" s="2041"/>
      <c r="V389" s="1986">
        <f t="shared" si="209"/>
        <v>0</v>
      </c>
      <c r="W389" s="1986">
        <f t="shared" si="209"/>
        <v>0</v>
      </c>
      <c r="Y389" s="1"/>
      <c r="Z389" s="237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</row>
    <row r="390" spans="1:256" s="2" customFormat="1" ht="23" hidden="1" x14ac:dyDescent="0.25">
      <c r="A390" s="1505"/>
      <c r="B390" s="1516" t="s">
        <v>454</v>
      </c>
      <c r="C390" s="1508"/>
      <c r="D390" s="1508"/>
      <c r="E390" s="1508"/>
      <c r="F390" s="2045" t="s">
        <v>1041</v>
      </c>
      <c r="G390" s="2046" t="s">
        <v>1</v>
      </c>
      <c r="H390" s="2046"/>
      <c r="I390" s="1508"/>
      <c r="J390" s="1087"/>
      <c r="K390" s="1064"/>
      <c r="L390" s="1064"/>
      <c r="M390" s="1563"/>
      <c r="N390" s="1986">
        <f>N391</f>
        <v>0</v>
      </c>
      <c r="O390" s="1947"/>
      <c r="P390" s="1941"/>
      <c r="Q390" s="2040"/>
      <c r="R390" s="2041"/>
      <c r="V390" s="1986">
        <f t="shared" si="209"/>
        <v>0</v>
      </c>
      <c r="W390" s="1986">
        <f t="shared" si="209"/>
        <v>0</v>
      </c>
      <c r="Y390" s="1"/>
      <c r="Z390" s="237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</row>
    <row r="391" spans="1:256" s="2" customFormat="1" ht="13" hidden="1" x14ac:dyDescent="0.3">
      <c r="A391" s="1505"/>
      <c r="B391" s="2051" t="s">
        <v>34</v>
      </c>
      <c r="C391" s="1508"/>
      <c r="D391" s="1508"/>
      <c r="E391" s="1508"/>
      <c r="F391" s="2045" t="s">
        <v>1041</v>
      </c>
      <c r="G391" s="2046" t="s">
        <v>1</v>
      </c>
      <c r="H391" s="2046" t="s">
        <v>463</v>
      </c>
      <c r="I391" s="1508" t="s">
        <v>495</v>
      </c>
      <c r="J391" s="1087"/>
      <c r="K391" s="1064"/>
      <c r="L391" s="1064"/>
      <c r="M391" s="1563"/>
      <c r="N391" s="1986"/>
      <c r="O391" s="1947"/>
      <c r="P391" s="1941"/>
      <c r="Q391" s="2040"/>
      <c r="R391" s="2041"/>
      <c r="V391" s="1986"/>
      <c r="W391" s="1986"/>
      <c r="Y391" s="1"/>
      <c r="Z391" s="237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</row>
    <row r="392" spans="1:256" s="2" customFormat="1" ht="26" x14ac:dyDescent="0.25">
      <c r="A392" s="1505"/>
      <c r="B392" s="337" t="s">
        <v>1169</v>
      </c>
      <c r="C392" s="1508"/>
      <c r="D392" s="1508"/>
      <c r="E392" s="1508"/>
      <c r="F392" s="9" t="s">
        <v>1157</v>
      </c>
      <c r="G392" s="2046"/>
      <c r="H392" s="2046"/>
      <c r="I392" s="1508"/>
      <c r="J392" s="1087"/>
      <c r="K392" s="1064"/>
      <c r="L392" s="1064"/>
      <c r="M392" s="1563"/>
      <c r="N392" s="2574">
        <f>N396</f>
        <v>0</v>
      </c>
      <c r="O392" s="2575"/>
      <c r="P392" s="2576"/>
      <c r="Q392" s="2577"/>
      <c r="R392" s="2578"/>
      <c r="S392" s="2579"/>
      <c r="T392" s="2579"/>
      <c r="U392" s="2579"/>
      <c r="V392" s="2574">
        <f>V396</f>
        <v>0</v>
      </c>
      <c r="W392" s="2580">
        <f>W396</f>
        <v>328.23200000000003</v>
      </c>
      <c r="Y392" s="1"/>
      <c r="Z392" s="237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</row>
    <row r="393" spans="1:256" s="2" customFormat="1" ht="26" x14ac:dyDescent="0.25">
      <c r="A393" s="1505"/>
      <c r="B393" s="2153" t="s">
        <v>1160</v>
      </c>
      <c r="C393" s="1508"/>
      <c r="D393" s="1508"/>
      <c r="E393" s="1508"/>
      <c r="F393" s="9" t="s">
        <v>1158</v>
      </c>
      <c r="G393" s="2046"/>
      <c r="H393" s="2046"/>
      <c r="I393" s="1508"/>
      <c r="J393" s="1087"/>
      <c r="K393" s="1064"/>
      <c r="L393" s="1064"/>
      <c r="M393" s="1563"/>
      <c r="N393" s="2574">
        <f>N394</f>
        <v>0</v>
      </c>
      <c r="O393" s="2575"/>
      <c r="P393" s="2576"/>
      <c r="Q393" s="2577"/>
      <c r="R393" s="2578"/>
      <c r="S393" s="2579"/>
      <c r="T393" s="2579"/>
      <c r="U393" s="2579"/>
      <c r="V393" s="2574">
        <f t="shared" ref="V393:W395" si="210">V394</f>
        <v>0</v>
      </c>
      <c r="W393" s="2580">
        <f t="shared" si="210"/>
        <v>328.23200000000003</v>
      </c>
      <c r="Y393" s="1"/>
      <c r="Z393" s="237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</row>
    <row r="394" spans="1:256" s="2" customFormat="1" ht="13" x14ac:dyDescent="0.25">
      <c r="A394" s="1505"/>
      <c r="B394" s="49" t="s">
        <v>1065</v>
      </c>
      <c r="C394" s="1508"/>
      <c r="D394" s="1508"/>
      <c r="E394" s="1508"/>
      <c r="F394" s="9" t="s">
        <v>1158</v>
      </c>
      <c r="G394" s="2045" t="s">
        <v>1064</v>
      </c>
      <c r="H394" s="2045"/>
      <c r="I394" s="1508"/>
      <c r="J394" s="1087"/>
      <c r="K394" s="1064"/>
      <c r="L394" s="1064"/>
      <c r="M394" s="1563"/>
      <c r="N394" s="2574">
        <f>N395</f>
        <v>0</v>
      </c>
      <c r="O394" s="2575"/>
      <c r="P394" s="2576"/>
      <c r="Q394" s="2577"/>
      <c r="R394" s="2578"/>
      <c r="S394" s="2579"/>
      <c r="T394" s="2579"/>
      <c r="U394" s="2579"/>
      <c r="V394" s="2574">
        <f t="shared" si="210"/>
        <v>0</v>
      </c>
      <c r="W394" s="2580">
        <f t="shared" si="210"/>
        <v>328.23200000000003</v>
      </c>
      <c r="Y394" s="1"/>
      <c r="Z394" s="237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</row>
    <row r="395" spans="1:256" s="2" customFormat="1" ht="26" x14ac:dyDescent="0.25">
      <c r="A395" s="1505"/>
      <c r="B395" s="1544" t="s">
        <v>523</v>
      </c>
      <c r="C395" s="1508"/>
      <c r="D395" s="1508"/>
      <c r="E395" s="1508"/>
      <c r="F395" s="9" t="s">
        <v>1158</v>
      </c>
      <c r="G395" s="2045" t="s">
        <v>521</v>
      </c>
      <c r="H395" s="2045"/>
      <c r="I395" s="1508"/>
      <c r="J395" s="1087"/>
      <c r="K395" s="1064"/>
      <c r="L395" s="1064"/>
      <c r="M395" s="1563"/>
      <c r="N395" s="2574">
        <f>N396</f>
        <v>0</v>
      </c>
      <c r="O395" s="2575"/>
      <c r="P395" s="2576"/>
      <c r="Q395" s="2577"/>
      <c r="R395" s="2578"/>
      <c r="S395" s="2579"/>
      <c r="T395" s="2579"/>
      <c r="U395" s="2579"/>
      <c r="V395" s="2574">
        <f t="shared" si="210"/>
        <v>0</v>
      </c>
      <c r="W395" s="2580">
        <f t="shared" si="210"/>
        <v>328.23200000000003</v>
      </c>
      <c r="Y395" s="1"/>
      <c r="Z395" s="237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</row>
    <row r="396" spans="1:256" s="2" customFormat="1" ht="18.649999999999999" customHeight="1" x14ac:dyDescent="0.3">
      <c r="A396" s="1505"/>
      <c r="B396" s="744" t="s">
        <v>39</v>
      </c>
      <c r="C396" s="1508"/>
      <c r="D396" s="1508"/>
      <c r="E396" s="1508"/>
      <c r="F396" s="9" t="s">
        <v>1158</v>
      </c>
      <c r="G396" s="2045" t="s">
        <v>521</v>
      </c>
      <c r="H396" s="2045" t="s">
        <v>463</v>
      </c>
      <c r="I396" s="1508" t="s">
        <v>488</v>
      </c>
      <c r="J396" s="1087"/>
      <c r="K396" s="1064"/>
      <c r="L396" s="1064"/>
      <c r="M396" s="1563"/>
      <c r="N396" s="2574">
        <v>0</v>
      </c>
      <c r="O396" s="2575"/>
      <c r="P396" s="2576"/>
      <c r="Q396" s="2577"/>
      <c r="R396" s="2578"/>
      <c r="S396" s="2579"/>
      <c r="T396" s="2579"/>
      <c r="U396" s="2579"/>
      <c r="V396" s="2574">
        <v>0</v>
      </c>
      <c r="W396" s="2580">
        <v>328.23200000000003</v>
      </c>
      <c r="Y396" s="1"/>
      <c r="Z396" s="237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</row>
    <row r="397" spans="1:256" s="2" customFormat="1" ht="44.5" customHeight="1" x14ac:dyDescent="0.25">
      <c r="A397" s="91">
        <v>9</v>
      </c>
      <c r="B397" s="135" t="s">
        <v>1059</v>
      </c>
      <c r="C397" s="1508"/>
      <c r="D397" s="1508"/>
      <c r="E397" s="1508"/>
      <c r="F397" s="2231" t="s">
        <v>468</v>
      </c>
      <c r="G397" s="2046"/>
      <c r="H397" s="2046"/>
      <c r="I397" s="1508"/>
      <c r="J397" s="1087"/>
      <c r="K397" s="1064"/>
      <c r="L397" s="1064"/>
      <c r="M397" s="1563"/>
      <c r="N397" s="2580">
        <f>N398</f>
        <v>2354.1120000000001</v>
      </c>
      <c r="O397" s="2581"/>
      <c r="P397" s="2582"/>
      <c r="Q397" s="2583"/>
      <c r="R397" s="2584"/>
      <c r="S397" s="2585"/>
      <c r="T397" s="2585"/>
      <c r="U397" s="2585"/>
      <c r="V397" s="2580">
        <f t="shared" ref="V397:W399" si="211">V398</f>
        <v>500</v>
      </c>
      <c r="W397" s="2580">
        <f t="shared" si="211"/>
        <v>500</v>
      </c>
      <c r="Y397" s="1"/>
      <c r="Z397" s="237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</row>
    <row r="398" spans="1:256" s="2" customFormat="1" ht="36.65" customHeight="1" x14ac:dyDescent="0.3">
      <c r="A398" s="1505"/>
      <c r="B398" s="2012" t="s">
        <v>1053</v>
      </c>
      <c r="C398" s="1508"/>
      <c r="D398" s="1508"/>
      <c r="E398" s="1508"/>
      <c r="F398" s="937" t="s">
        <v>857</v>
      </c>
      <c r="G398" s="2046"/>
      <c r="H398" s="2046"/>
      <c r="I398" s="1508"/>
      <c r="J398" s="1087"/>
      <c r="K398" s="1064"/>
      <c r="L398" s="1064"/>
      <c r="M398" s="1563"/>
      <c r="N398" s="2580">
        <f>N399</f>
        <v>2354.1120000000001</v>
      </c>
      <c r="O398" s="2581"/>
      <c r="P398" s="2582"/>
      <c r="Q398" s="2583"/>
      <c r="R398" s="2584"/>
      <c r="S398" s="2585"/>
      <c r="T398" s="2585"/>
      <c r="U398" s="2585"/>
      <c r="V398" s="2580">
        <f t="shared" si="211"/>
        <v>500</v>
      </c>
      <c r="W398" s="2580">
        <f t="shared" si="211"/>
        <v>500</v>
      </c>
      <c r="Y398" s="1"/>
      <c r="Z398" s="237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</row>
    <row r="399" spans="1:256" s="2" customFormat="1" ht="31" x14ac:dyDescent="0.25">
      <c r="A399" s="1505"/>
      <c r="B399" s="2232" t="s">
        <v>467</v>
      </c>
      <c r="C399" s="2233" t="s">
        <v>858</v>
      </c>
      <c r="D399" s="1508"/>
      <c r="E399" s="1508"/>
      <c r="F399" s="2234" t="s">
        <v>858</v>
      </c>
      <c r="G399" s="937"/>
      <c r="H399" s="937"/>
      <c r="I399" s="937"/>
      <c r="J399" s="1087"/>
      <c r="K399" s="1064"/>
      <c r="L399" s="1064"/>
      <c r="M399" s="1563"/>
      <c r="N399" s="2580">
        <f>N400</f>
        <v>2354.1120000000001</v>
      </c>
      <c r="O399" s="2581"/>
      <c r="P399" s="2582"/>
      <c r="Q399" s="2583"/>
      <c r="R399" s="2584"/>
      <c r="S399" s="2585"/>
      <c r="T399" s="2585"/>
      <c r="U399" s="2585"/>
      <c r="V399" s="2580">
        <f t="shared" si="211"/>
        <v>500</v>
      </c>
      <c r="W399" s="2580">
        <f t="shared" si="211"/>
        <v>500</v>
      </c>
      <c r="Y399" s="1"/>
      <c r="Z399" s="237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</row>
    <row r="400" spans="1:256" s="2" customFormat="1" ht="31" x14ac:dyDescent="0.25">
      <c r="A400" s="1505"/>
      <c r="B400" s="2232" t="s">
        <v>1054</v>
      </c>
      <c r="C400" s="2235" t="s">
        <v>1055</v>
      </c>
      <c r="D400" s="1508"/>
      <c r="E400" s="1508"/>
      <c r="F400" s="937" t="s">
        <v>1055</v>
      </c>
      <c r="G400" s="937"/>
      <c r="H400" s="937"/>
      <c r="I400" s="937"/>
      <c r="J400" s="1087"/>
      <c r="K400" s="1064"/>
      <c r="L400" s="1064"/>
      <c r="M400" s="1563"/>
      <c r="N400" s="2580">
        <f>N403</f>
        <v>2354.1120000000001</v>
      </c>
      <c r="O400" s="2581"/>
      <c r="P400" s="2582"/>
      <c r="Q400" s="2583"/>
      <c r="R400" s="2584"/>
      <c r="S400" s="2585"/>
      <c r="T400" s="2585"/>
      <c r="U400" s="2585"/>
      <c r="V400" s="2580">
        <f>V403</f>
        <v>500</v>
      </c>
      <c r="W400" s="2580">
        <f>W403</f>
        <v>500</v>
      </c>
      <c r="Y400" s="1"/>
      <c r="Z400" s="237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</row>
    <row r="401" spans="1:256" s="2" customFormat="1" ht="31" hidden="1" x14ac:dyDescent="0.25">
      <c r="A401" s="1505"/>
      <c r="B401" s="2236" t="s">
        <v>1048</v>
      </c>
      <c r="C401" s="2235" t="s">
        <v>1055</v>
      </c>
      <c r="D401" s="1508"/>
      <c r="E401" s="1508"/>
      <c r="F401" s="937" t="s">
        <v>1055</v>
      </c>
      <c r="G401" s="937" t="s">
        <v>955</v>
      </c>
      <c r="H401" s="932"/>
      <c r="I401" s="932"/>
      <c r="J401" s="1087"/>
      <c r="K401" s="1064"/>
      <c r="L401" s="1064"/>
      <c r="M401" s="1563"/>
      <c r="N401" s="2580"/>
      <c r="O401" s="2581"/>
      <c r="P401" s="2582"/>
      <c r="Q401" s="2583"/>
      <c r="R401" s="2584"/>
      <c r="S401" s="2585"/>
      <c r="T401" s="2585"/>
      <c r="U401" s="2585"/>
      <c r="V401" s="2580"/>
      <c r="W401" s="2580"/>
      <c r="Y401" s="1"/>
      <c r="Z401" s="237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</row>
    <row r="402" spans="1:256" s="2" customFormat="1" ht="26" x14ac:dyDescent="0.25">
      <c r="A402" s="1505"/>
      <c r="B402" s="49" t="s">
        <v>1048</v>
      </c>
      <c r="C402" s="2235"/>
      <c r="D402" s="1508"/>
      <c r="E402" s="1508"/>
      <c r="F402" s="937" t="s">
        <v>1055</v>
      </c>
      <c r="G402" s="937" t="s">
        <v>955</v>
      </c>
      <c r="H402" s="932"/>
      <c r="I402" s="932"/>
      <c r="J402" s="1087"/>
      <c r="K402" s="1064"/>
      <c r="L402" s="1064"/>
      <c r="M402" s="1563"/>
      <c r="N402" s="2580">
        <f>N403</f>
        <v>2354.1120000000001</v>
      </c>
      <c r="O402" s="2581"/>
      <c r="P402" s="2582"/>
      <c r="Q402" s="2583"/>
      <c r="R402" s="2584"/>
      <c r="S402" s="2585"/>
      <c r="T402" s="2585"/>
      <c r="U402" s="2585"/>
      <c r="V402" s="2580">
        <f t="shared" ref="V402:W402" si="212">V403</f>
        <v>500</v>
      </c>
      <c r="W402" s="2580">
        <f t="shared" si="212"/>
        <v>500</v>
      </c>
      <c r="Y402" s="1"/>
      <c r="Z402" s="237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</row>
    <row r="403" spans="1:256" s="2" customFormat="1" ht="25.5" customHeight="1" x14ac:dyDescent="0.25">
      <c r="A403" s="1505"/>
      <c r="B403" s="1544" t="s">
        <v>454</v>
      </c>
      <c r="C403" s="2235" t="s">
        <v>1055</v>
      </c>
      <c r="D403" s="1508"/>
      <c r="E403" s="1508"/>
      <c r="F403" s="937" t="s">
        <v>1055</v>
      </c>
      <c r="G403" s="937" t="s">
        <v>1</v>
      </c>
      <c r="H403" s="937"/>
      <c r="I403" s="932"/>
      <c r="J403" s="1087"/>
      <c r="K403" s="1064"/>
      <c r="L403" s="1064"/>
      <c r="M403" s="1563"/>
      <c r="N403" s="2580">
        <f>N404</f>
        <v>2354.1120000000001</v>
      </c>
      <c r="O403" s="2581"/>
      <c r="P403" s="2582"/>
      <c r="Q403" s="2583"/>
      <c r="R403" s="2584"/>
      <c r="S403" s="2585"/>
      <c r="T403" s="2585"/>
      <c r="U403" s="2585"/>
      <c r="V403" s="2580">
        <f>V404</f>
        <v>500</v>
      </c>
      <c r="W403" s="2580">
        <f>W404</f>
        <v>500</v>
      </c>
      <c r="Y403" s="1"/>
      <c r="Z403" s="237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</row>
    <row r="404" spans="1:256" s="2" customFormat="1" ht="16" customHeight="1" x14ac:dyDescent="0.3">
      <c r="A404" s="1505"/>
      <c r="B404" s="2012" t="s">
        <v>34</v>
      </c>
      <c r="C404" s="2235" t="s">
        <v>1055</v>
      </c>
      <c r="D404" s="1508"/>
      <c r="E404" s="1508"/>
      <c r="F404" s="937" t="s">
        <v>1055</v>
      </c>
      <c r="G404" s="937" t="s">
        <v>1</v>
      </c>
      <c r="H404" s="937" t="s">
        <v>463</v>
      </c>
      <c r="I404" s="937" t="s">
        <v>495</v>
      </c>
      <c r="J404" s="1087"/>
      <c r="K404" s="1064"/>
      <c r="L404" s="1064"/>
      <c r="M404" s="1563"/>
      <c r="N404" s="2580">
        <v>2354.1120000000001</v>
      </c>
      <c r="O404" s="2581"/>
      <c r="P404" s="2582"/>
      <c r="Q404" s="2583"/>
      <c r="R404" s="2584"/>
      <c r="S404" s="2585"/>
      <c r="T404" s="2585"/>
      <c r="U404" s="2585"/>
      <c r="V404" s="2580">
        <v>500</v>
      </c>
      <c r="W404" s="2580">
        <v>500</v>
      </c>
      <c r="Y404" s="1"/>
      <c r="Z404" s="237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</row>
    <row r="405" spans="1:256" s="2" customFormat="1" ht="26" x14ac:dyDescent="0.25">
      <c r="A405" s="1504">
        <v>10</v>
      </c>
      <c r="B405" s="2151" t="s">
        <v>1143</v>
      </c>
      <c r="C405" s="1508"/>
      <c r="D405" s="1508"/>
      <c r="E405" s="1508"/>
      <c r="F405" s="2048" t="s">
        <v>1139</v>
      </c>
      <c r="G405" s="2046"/>
      <c r="H405" s="2046"/>
      <c r="I405" s="1508"/>
      <c r="J405" s="1087"/>
      <c r="K405" s="1064"/>
      <c r="L405" s="1064"/>
      <c r="M405" s="1563"/>
      <c r="N405" s="2586">
        <f>N407</f>
        <v>0</v>
      </c>
      <c r="O405" s="2581"/>
      <c r="P405" s="2582"/>
      <c r="Q405" s="2587"/>
      <c r="R405" s="2588"/>
      <c r="S405" s="2585"/>
      <c r="T405" s="2585"/>
      <c r="U405" s="2585"/>
      <c r="V405" s="2586">
        <f>V407</f>
        <v>945.56500000000005</v>
      </c>
      <c r="W405" s="2589">
        <f>W407</f>
        <v>0</v>
      </c>
      <c r="Y405" s="1"/>
      <c r="Z405" s="237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</row>
    <row r="406" spans="1:256" s="2" customFormat="1" ht="39" hidden="1" x14ac:dyDescent="0.25">
      <c r="A406" s="1504"/>
      <c r="B406" s="2251" t="s">
        <v>1027</v>
      </c>
      <c r="C406" s="1508"/>
      <c r="D406" s="1508"/>
      <c r="E406" s="1508"/>
      <c r="F406" s="2045" t="s">
        <v>1028</v>
      </c>
      <c r="G406" s="2046"/>
      <c r="H406" s="2046"/>
      <c r="I406" s="1508"/>
      <c r="J406" s="1087"/>
      <c r="K406" s="1064"/>
      <c r="L406" s="1064"/>
      <c r="M406" s="1563"/>
      <c r="N406" s="2580">
        <f t="shared" ref="N406:N410" si="213">N407</f>
        <v>0</v>
      </c>
      <c r="O406" s="2581"/>
      <c r="P406" s="2582"/>
      <c r="Q406" s="2587"/>
      <c r="R406" s="2588"/>
      <c r="S406" s="2585"/>
      <c r="T406" s="2585"/>
      <c r="U406" s="2585"/>
      <c r="V406" s="2580">
        <f t="shared" ref="V406:W410" si="214">V407</f>
        <v>945.56500000000005</v>
      </c>
      <c r="W406" s="2574">
        <f t="shared" si="214"/>
        <v>0</v>
      </c>
      <c r="Y406" s="1"/>
      <c r="Z406" s="237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</row>
    <row r="407" spans="1:256" s="2" customFormat="1" ht="26" x14ac:dyDescent="0.25">
      <c r="A407" s="1505"/>
      <c r="B407" s="2067" t="s">
        <v>1145</v>
      </c>
      <c r="C407" s="1508"/>
      <c r="D407" s="1508"/>
      <c r="E407" s="1508"/>
      <c r="F407" s="2045" t="s">
        <v>1144</v>
      </c>
      <c r="G407" s="2046"/>
      <c r="H407" s="2046"/>
      <c r="I407" s="1508"/>
      <c r="J407" s="1087"/>
      <c r="K407" s="1064"/>
      <c r="L407" s="1064"/>
      <c r="M407" s="1563"/>
      <c r="N407" s="2580">
        <f t="shared" si="213"/>
        <v>0</v>
      </c>
      <c r="O407" s="2581"/>
      <c r="P407" s="2582"/>
      <c r="Q407" s="2587"/>
      <c r="R407" s="2588"/>
      <c r="S407" s="2585"/>
      <c r="T407" s="2585"/>
      <c r="U407" s="2585"/>
      <c r="V407" s="2580">
        <f t="shared" si="214"/>
        <v>945.56500000000005</v>
      </c>
      <c r="W407" s="2574">
        <f t="shared" si="214"/>
        <v>0</v>
      </c>
      <c r="Y407" s="1"/>
      <c r="Z407" s="237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</row>
    <row r="408" spans="1:256" s="2" customFormat="1" ht="39" x14ac:dyDescent="0.25">
      <c r="A408" s="1505"/>
      <c r="B408" s="2067" t="s">
        <v>1146</v>
      </c>
      <c r="C408" s="1508"/>
      <c r="D408" s="1508"/>
      <c r="E408" s="1508"/>
      <c r="F408" s="532" t="s">
        <v>1142</v>
      </c>
      <c r="G408" s="2046"/>
      <c r="H408" s="2046"/>
      <c r="I408" s="1508"/>
      <c r="J408" s="1087"/>
      <c r="K408" s="1064"/>
      <c r="L408" s="1064"/>
      <c r="M408" s="1563"/>
      <c r="N408" s="2580">
        <f t="shared" si="213"/>
        <v>0</v>
      </c>
      <c r="O408" s="2581"/>
      <c r="P408" s="2582"/>
      <c r="Q408" s="2587"/>
      <c r="R408" s="2588"/>
      <c r="S408" s="2585"/>
      <c r="T408" s="2585"/>
      <c r="U408" s="2585"/>
      <c r="V408" s="2580">
        <f t="shared" si="214"/>
        <v>945.56500000000005</v>
      </c>
      <c r="W408" s="2574">
        <f t="shared" si="214"/>
        <v>0</v>
      </c>
      <c r="Y408" s="1"/>
      <c r="Z408" s="237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</row>
    <row r="409" spans="1:256" s="2" customFormat="1" ht="26" x14ac:dyDescent="0.25">
      <c r="A409" s="1505"/>
      <c r="B409" s="724" t="s">
        <v>948</v>
      </c>
      <c r="C409" s="1508"/>
      <c r="D409" s="1508"/>
      <c r="E409" s="1508"/>
      <c r="F409" s="532" t="s">
        <v>1142</v>
      </c>
      <c r="G409" s="2045" t="s">
        <v>955</v>
      </c>
      <c r="H409" s="2045"/>
      <c r="I409" s="1508"/>
      <c r="J409" s="1087"/>
      <c r="K409" s="1064"/>
      <c r="L409" s="1064"/>
      <c r="M409" s="1563"/>
      <c r="N409" s="2580">
        <f t="shared" si="213"/>
        <v>0</v>
      </c>
      <c r="O409" s="2581"/>
      <c r="P409" s="2582"/>
      <c r="Q409" s="2587"/>
      <c r="R409" s="2588"/>
      <c r="S409" s="2585"/>
      <c r="T409" s="2585"/>
      <c r="U409" s="2585"/>
      <c r="V409" s="2580">
        <f t="shared" si="214"/>
        <v>945.56500000000005</v>
      </c>
      <c r="W409" s="2574">
        <f t="shared" si="214"/>
        <v>0</v>
      </c>
      <c r="Y409" s="1"/>
      <c r="Z409" s="237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</row>
    <row r="410" spans="1:256" s="2" customFormat="1" ht="26" x14ac:dyDescent="0.25">
      <c r="A410" s="1505"/>
      <c r="B410" s="1544" t="s">
        <v>454</v>
      </c>
      <c r="C410" s="1508"/>
      <c r="D410" s="1508"/>
      <c r="E410" s="1508"/>
      <c r="F410" s="532" t="s">
        <v>1142</v>
      </c>
      <c r="G410" s="2045" t="s">
        <v>1</v>
      </c>
      <c r="H410" s="2045"/>
      <c r="I410" s="1508"/>
      <c r="J410" s="1087"/>
      <c r="K410" s="1064"/>
      <c r="L410" s="1064"/>
      <c r="M410" s="1563"/>
      <c r="N410" s="2580">
        <f t="shared" si="213"/>
        <v>0</v>
      </c>
      <c r="O410" s="2581"/>
      <c r="P410" s="2582"/>
      <c r="Q410" s="2587"/>
      <c r="R410" s="2588"/>
      <c r="S410" s="2585"/>
      <c r="T410" s="2585"/>
      <c r="U410" s="2585"/>
      <c r="V410" s="2580">
        <f>V411</f>
        <v>945.56500000000005</v>
      </c>
      <c r="W410" s="2574">
        <f t="shared" si="214"/>
        <v>0</v>
      </c>
      <c r="Y410" s="1"/>
      <c r="Z410" s="237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</row>
    <row r="411" spans="1:256" s="2" customFormat="1" ht="13" x14ac:dyDescent="0.3">
      <c r="A411" s="1505"/>
      <c r="B411" s="744" t="s">
        <v>34</v>
      </c>
      <c r="C411" s="1508"/>
      <c r="D411" s="1508"/>
      <c r="E411" s="1508"/>
      <c r="F411" s="532" t="s">
        <v>1142</v>
      </c>
      <c r="G411" s="2045" t="s">
        <v>1</v>
      </c>
      <c r="H411" s="2045" t="s">
        <v>463</v>
      </c>
      <c r="I411" s="1508" t="s">
        <v>495</v>
      </c>
      <c r="J411" s="1087"/>
      <c r="K411" s="1064"/>
      <c r="L411" s="1064"/>
      <c r="M411" s="1563"/>
      <c r="N411" s="2580">
        <f>4129.999-1.562-777.778-362.241-1200-1788.418</f>
        <v>0</v>
      </c>
      <c r="O411" s="2581"/>
      <c r="P411" s="2582"/>
      <c r="Q411" s="2587"/>
      <c r="R411" s="2588"/>
      <c r="S411" s="2585"/>
      <c r="T411" s="2585"/>
      <c r="U411" s="2585"/>
      <c r="V411" s="2580">
        <v>945.56500000000005</v>
      </c>
      <c r="W411" s="2574">
        <v>0</v>
      </c>
      <c r="Y411" s="1"/>
      <c r="Z411" s="237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</row>
    <row r="412" spans="1:256" s="2" customFormat="1" ht="39" x14ac:dyDescent="0.3">
      <c r="A412" s="91">
        <v>11</v>
      </c>
      <c r="B412" s="2150" t="s">
        <v>1049</v>
      </c>
      <c r="C412" s="1508"/>
      <c r="D412" s="1508"/>
      <c r="E412" s="1508"/>
      <c r="F412" s="2231" t="s">
        <v>1045</v>
      </c>
      <c r="G412" s="2046"/>
      <c r="H412" s="2046"/>
      <c r="I412" s="1508"/>
      <c r="J412" s="1087"/>
      <c r="K412" s="1064"/>
      <c r="L412" s="1064"/>
      <c r="M412" s="1563"/>
      <c r="N412" s="2541">
        <f>N413</f>
        <v>1444.778</v>
      </c>
      <c r="O412" s="2542"/>
      <c r="P412" s="2543"/>
      <c r="Q412" s="2590"/>
      <c r="R412" s="2591"/>
      <c r="S412" s="2515"/>
      <c r="T412" s="2515"/>
      <c r="U412" s="2515"/>
      <c r="V412" s="2541">
        <f t="shared" ref="V412:W416" si="215">V413</f>
        <v>1170.1120000000001</v>
      </c>
      <c r="W412" s="2541">
        <f t="shared" si="215"/>
        <v>874.66700000000003</v>
      </c>
      <c r="Y412" s="1"/>
      <c r="Z412" s="237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</row>
    <row r="413" spans="1:256" s="2" customFormat="1" ht="39" x14ac:dyDescent="0.3">
      <c r="A413" s="1505"/>
      <c r="B413" s="2012" t="s">
        <v>1050</v>
      </c>
      <c r="C413" s="1508"/>
      <c r="D413" s="1508"/>
      <c r="E413" s="1508"/>
      <c r="F413" s="937" t="s">
        <v>1046</v>
      </c>
      <c r="G413" s="2046"/>
      <c r="H413" s="2046"/>
      <c r="I413" s="1508"/>
      <c r="J413" s="1087"/>
      <c r="K413" s="1064"/>
      <c r="L413" s="1064"/>
      <c r="M413" s="1563"/>
      <c r="N413" s="2541">
        <f>N414</f>
        <v>1444.778</v>
      </c>
      <c r="O413" s="2542"/>
      <c r="P413" s="2543"/>
      <c r="Q413" s="2590"/>
      <c r="R413" s="2591"/>
      <c r="S413" s="2515"/>
      <c r="T413" s="2515"/>
      <c r="U413" s="2515"/>
      <c r="V413" s="2541">
        <f t="shared" si="215"/>
        <v>1170.1120000000001</v>
      </c>
      <c r="W413" s="2541">
        <f t="shared" si="215"/>
        <v>874.66700000000003</v>
      </c>
      <c r="Y413" s="1"/>
      <c r="Z413" s="237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</row>
    <row r="414" spans="1:256" s="2" customFormat="1" ht="39" x14ac:dyDescent="0.3">
      <c r="A414" s="1505"/>
      <c r="B414" s="2012" t="s">
        <v>1051</v>
      </c>
      <c r="C414" s="1508"/>
      <c r="D414" s="1508"/>
      <c r="E414" s="1508"/>
      <c r="F414" s="937" t="s">
        <v>1052</v>
      </c>
      <c r="G414" s="2046"/>
      <c r="H414" s="2046"/>
      <c r="I414" s="1508"/>
      <c r="J414" s="1087"/>
      <c r="K414" s="1064"/>
      <c r="L414" s="1064"/>
      <c r="M414" s="1563"/>
      <c r="N414" s="2541">
        <f>N415</f>
        <v>1444.778</v>
      </c>
      <c r="O414" s="2542"/>
      <c r="P414" s="2543"/>
      <c r="Q414" s="2590"/>
      <c r="R414" s="2591"/>
      <c r="S414" s="2515"/>
      <c r="T414" s="2515"/>
      <c r="U414" s="2515"/>
      <c r="V414" s="2541">
        <f t="shared" si="215"/>
        <v>1170.1120000000001</v>
      </c>
      <c r="W414" s="2541">
        <f t="shared" si="215"/>
        <v>874.66700000000003</v>
      </c>
      <c r="Y414" s="1"/>
      <c r="Z414" s="237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</row>
    <row r="415" spans="1:256" s="2" customFormat="1" ht="26" x14ac:dyDescent="0.3">
      <c r="A415" s="1505"/>
      <c r="B415" s="2012" t="s">
        <v>1048</v>
      </c>
      <c r="C415" s="1508"/>
      <c r="D415" s="1508"/>
      <c r="E415" s="1508"/>
      <c r="F415" s="937" t="s">
        <v>1052</v>
      </c>
      <c r="G415" s="2045" t="s">
        <v>955</v>
      </c>
      <c r="H415" s="2046"/>
      <c r="I415" s="1508"/>
      <c r="J415" s="1087"/>
      <c r="K415" s="1064"/>
      <c r="L415" s="1064"/>
      <c r="M415" s="1563"/>
      <c r="N415" s="2541">
        <f>N416</f>
        <v>1444.778</v>
      </c>
      <c r="O415" s="2542"/>
      <c r="P415" s="2543"/>
      <c r="Q415" s="2590"/>
      <c r="R415" s="2591"/>
      <c r="S415" s="2515"/>
      <c r="T415" s="2515"/>
      <c r="U415" s="2515"/>
      <c r="V415" s="2541">
        <f t="shared" si="215"/>
        <v>1170.1120000000001</v>
      </c>
      <c r="W415" s="2541">
        <f t="shared" si="215"/>
        <v>874.66700000000003</v>
      </c>
      <c r="Y415" s="1"/>
      <c r="Z415" s="237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</row>
    <row r="416" spans="1:256" s="2" customFormat="1" ht="26" x14ac:dyDescent="0.25">
      <c r="A416" s="1505"/>
      <c r="B416" s="1544" t="s">
        <v>454</v>
      </c>
      <c r="C416" s="1508"/>
      <c r="D416" s="1508"/>
      <c r="E416" s="1508"/>
      <c r="F416" s="937" t="s">
        <v>1052</v>
      </c>
      <c r="G416" s="2045" t="s">
        <v>1</v>
      </c>
      <c r="H416" s="2046"/>
      <c r="I416" s="1508"/>
      <c r="J416" s="1087"/>
      <c r="K416" s="1064"/>
      <c r="L416" s="1064"/>
      <c r="M416" s="1563"/>
      <c r="N416" s="2541">
        <f>N417</f>
        <v>1444.778</v>
      </c>
      <c r="O416" s="2542"/>
      <c r="P416" s="2543"/>
      <c r="Q416" s="2590"/>
      <c r="R416" s="2591"/>
      <c r="S416" s="2515"/>
      <c r="T416" s="2515"/>
      <c r="U416" s="2515"/>
      <c r="V416" s="2541">
        <f t="shared" si="215"/>
        <v>1170.1120000000001</v>
      </c>
      <c r="W416" s="2541">
        <f t="shared" si="215"/>
        <v>874.66700000000003</v>
      </c>
      <c r="Y416" s="1"/>
      <c r="Z416" s="237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</row>
    <row r="417" spans="1:256" s="2" customFormat="1" ht="13" x14ac:dyDescent="0.3">
      <c r="A417" s="1505"/>
      <c r="B417" s="2012" t="s">
        <v>34</v>
      </c>
      <c r="C417" s="1508"/>
      <c r="D417" s="1508"/>
      <c r="E417" s="1508"/>
      <c r="F417" s="937" t="s">
        <v>1052</v>
      </c>
      <c r="G417" s="2045" t="s">
        <v>1</v>
      </c>
      <c r="H417" s="2045" t="s">
        <v>463</v>
      </c>
      <c r="I417" s="1508" t="s">
        <v>495</v>
      </c>
      <c r="J417" s="1087"/>
      <c r="K417" s="1064"/>
      <c r="L417" s="1064"/>
      <c r="M417" s="1563"/>
      <c r="N417" s="2541">
        <v>1444.778</v>
      </c>
      <c r="O417" s="2542"/>
      <c r="P417" s="2543"/>
      <c r="Q417" s="2590"/>
      <c r="R417" s="2591"/>
      <c r="S417" s="2515"/>
      <c r="T417" s="2515"/>
      <c r="U417" s="2515"/>
      <c r="V417" s="2541">
        <v>1170.1120000000001</v>
      </c>
      <c r="W417" s="2541">
        <v>874.66700000000003</v>
      </c>
      <c r="Y417" s="1"/>
      <c r="Z417" s="237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</row>
    <row r="418" spans="1:256" s="2" customFormat="1" ht="39" x14ac:dyDescent="0.25">
      <c r="A418" s="1504">
        <v>12</v>
      </c>
      <c r="B418" s="2151" t="s">
        <v>1094</v>
      </c>
      <c r="C418" s="9"/>
      <c r="D418" s="9"/>
      <c r="E418" s="9"/>
      <c r="F418" s="1511" t="s">
        <v>952</v>
      </c>
      <c r="G418" s="1511"/>
      <c r="H418" s="1511"/>
      <c r="I418" s="1511"/>
      <c r="J418" s="1087"/>
      <c r="K418" s="1064"/>
      <c r="L418" s="1064"/>
      <c r="M418" s="1563"/>
      <c r="N418" s="2556">
        <f>N424+N419</f>
        <v>959.36800000000005</v>
      </c>
      <c r="O418" s="2557"/>
      <c r="P418" s="2558"/>
      <c r="Q418" s="2592">
        <f>Q419+Q424</f>
        <v>1265</v>
      </c>
      <c r="R418" s="2593">
        <f>R419+R424</f>
        <v>1391.5</v>
      </c>
      <c r="S418" s="2515"/>
      <c r="T418" s="2515"/>
      <c r="U418" s="2515"/>
      <c r="V418" s="2556">
        <f t="shared" ref="V418:W418" si="216">V424+V419</f>
        <v>0</v>
      </c>
      <c r="W418" s="2556">
        <f t="shared" si="216"/>
        <v>0</v>
      </c>
      <c r="Y418" s="1"/>
      <c r="Z418" s="237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</row>
    <row r="419" spans="1:256" s="2" customFormat="1" ht="38.15" hidden="1" customHeight="1" x14ac:dyDescent="0.25">
      <c r="A419" s="1505"/>
      <c r="B419" s="1873" t="s">
        <v>1128</v>
      </c>
      <c r="C419" s="9"/>
      <c r="D419" s="9"/>
      <c r="E419" s="9"/>
      <c r="F419" s="532" t="s">
        <v>1125</v>
      </c>
      <c r="G419" s="1513"/>
      <c r="H419" s="1513"/>
      <c r="I419" s="1513"/>
      <c r="J419" s="1087"/>
      <c r="K419" s="1064"/>
      <c r="L419" s="1064"/>
      <c r="M419" s="1563"/>
      <c r="N419" s="2521">
        <f>N420</f>
        <v>0</v>
      </c>
      <c r="O419" s="2542"/>
      <c r="P419" s="2543"/>
      <c r="Q419" s="2590">
        <f t="shared" ref="Q419:R422" si="217">Q420</f>
        <v>0</v>
      </c>
      <c r="R419" s="2591">
        <f t="shared" si="217"/>
        <v>0</v>
      </c>
      <c r="S419" s="2515"/>
      <c r="T419" s="2515"/>
      <c r="U419" s="2515"/>
      <c r="V419" s="2521">
        <f>V420</f>
        <v>0</v>
      </c>
      <c r="W419" s="2521">
        <f>W420</f>
        <v>0</v>
      </c>
      <c r="Y419" s="1"/>
      <c r="Z419" s="237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</row>
    <row r="420" spans="1:256" s="2" customFormat="1" ht="34.5" hidden="1" x14ac:dyDescent="0.25">
      <c r="A420" s="1505"/>
      <c r="B420" s="2053" t="s">
        <v>1127</v>
      </c>
      <c r="C420" s="9"/>
      <c r="D420" s="9"/>
      <c r="E420" s="9"/>
      <c r="F420" s="532" t="s">
        <v>1126</v>
      </c>
      <c r="G420" s="2054"/>
      <c r="H420" s="2054"/>
      <c r="I420" s="2054"/>
      <c r="J420" s="1087"/>
      <c r="K420" s="1064"/>
      <c r="L420" s="1064"/>
      <c r="M420" s="1563"/>
      <c r="N420" s="2521">
        <f>N421</f>
        <v>0</v>
      </c>
      <c r="O420" s="2542"/>
      <c r="P420" s="2543"/>
      <c r="Q420" s="2590">
        <f t="shared" si="217"/>
        <v>0</v>
      </c>
      <c r="R420" s="2591">
        <f t="shared" si="217"/>
        <v>0</v>
      </c>
      <c r="S420" s="2515"/>
      <c r="T420" s="2515"/>
      <c r="U420" s="2515"/>
      <c r="V420" s="2521">
        <f>V421</f>
        <v>0</v>
      </c>
      <c r="W420" s="2521">
        <f>W421</f>
        <v>0</v>
      </c>
      <c r="Y420" s="1"/>
      <c r="Z420" s="237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</row>
    <row r="421" spans="1:256" s="2" customFormat="1" ht="23" hidden="1" x14ac:dyDescent="0.25">
      <c r="A421" s="1505"/>
      <c r="B421" s="1515" t="s">
        <v>948</v>
      </c>
      <c r="C421" s="9"/>
      <c r="D421" s="9"/>
      <c r="E421" s="9"/>
      <c r="F421" s="532" t="s">
        <v>1126</v>
      </c>
      <c r="G421" s="2054" t="s">
        <v>955</v>
      </c>
      <c r="H421" s="2054"/>
      <c r="I421" s="2054"/>
      <c r="J421" s="1087"/>
      <c r="K421" s="1064"/>
      <c r="L421" s="1064"/>
      <c r="M421" s="1563"/>
      <c r="N421" s="2521">
        <f>N422</f>
        <v>0</v>
      </c>
      <c r="O421" s="2542"/>
      <c r="P421" s="2543"/>
      <c r="Q421" s="2590">
        <f t="shared" si="217"/>
        <v>0</v>
      </c>
      <c r="R421" s="2591">
        <f t="shared" si="217"/>
        <v>0</v>
      </c>
      <c r="S421" s="2515"/>
      <c r="T421" s="2515"/>
      <c r="U421" s="2515"/>
      <c r="V421" s="2521">
        <v>0</v>
      </c>
      <c r="W421" s="2521">
        <f>W422</f>
        <v>0</v>
      </c>
      <c r="Y421" s="1"/>
      <c r="Z421" s="237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</row>
    <row r="422" spans="1:256" s="2" customFormat="1" ht="23" hidden="1" x14ac:dyDescent="0.25">
      <c r="A422" s="1505"/>
      <c r="B422" s="1516" t="s">
        <v>454</v>
      </c>
      <c r="C422" s="9"/>
      <c r="D422" s="9"/>
      <c r="E422" s="9"/>
      <c r="F422" s="532" t="s">
        <v>1126</v>
      </c>
      <c r="G422" s="1517" t="s">
        <v>1</v>
      </c>
      <c r="H422" s="2054"/>
      <c r="I422" s="2054"/>
      <c r="J422" s="1087"/>
      <c r="K422" s="1064"/>
      <c r="L422" s="1064"/>
      <c r="M422" s="1563"/>
      <c r="N422" s="2521">
        <f>N423</f>
        <v>0</v>
      </c>
      <c r="O422" s="2542"/>
      <c r="P422" s="2543"/>
      <c r="Q422" s="2590">
        <f t="shared" si="217"/>
        <v>0</v>
      </c>
      <c r="R422" s="2591">
        <f t="shared" si="217"/>
        <v>0</v>
      </c>
      <c r="S422" s="2515"/>
      <c r="T422" s="2515"/>
      <c r="U422" s="2515"/>
      <c r="V422" s="2521">
        <f>V423</f>
        <v>0</v>
      </c>
      <c r="W422" s="2521">
        <f>W423</f>
        <v>0</v>
      </c>
      <c r="Y422" s="1"/>
      <c r="Z422" s="237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</row>
    <row r="423" spans="1:256" s="2" customFormat="1" ht="13" hidden="1" x14ac:dyDescent="0.25">
      <c r="A423" s="1505"/>
      <c r="B423" s="1516" t="s">
        <v>34</v>
      </c>
      <c r="C423" s="9"/>
      <c r="D423" s="9"/>
      <c r="E423" s="9"/>
      <c r="F423" s="532" t="s">
        <v>1126</v>
      </c>
      <c r="G423" s="1517" t="s">
        <v>1</v>
      </c>
      <c r="H423" s="2054" t="s">
        <v>463</v>
      </c>
      <c r="I423" s="2054" t="s">
        <v>495</v>
      </c>
      <c r="J423" s="1087"/>
      <c r="K423" s="1064"/>
      <c r="L423" s="1064"/>
      <c r="M423" s="1563"/>
      <c r="N423" s="2521">
        <v>0</v>
      </c>
      <c r="O423" s="2542"/>
      <c r="P423" s="2543"/>
      <c r="Q423" s="2590"/>
      <c r="R423" s="2591"/>
      <c r="S423" s="2515"/>
      <c r="T423" s="2515"/>
      <c r="U423" s="2515"/>
      <c r="V423" s="2521">
        <v>0</v>
      </c>
      <c r="W423" s="2521">
        <v>0</v>
      </c>
      <c r="Y423" s="1"/>
      <c r="Z423" s="237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</row>
    <row r="424" spans="1:256" s="2" customFormat="1" ht="13" x14ac:dyDescent="0.25">
      <c r="A424" s="1505"/>
      <c r="B424" s="2009" t="s">
        <v>1019</v>
      </c>
      <c r="C424" s="9"/>
      <c r="D424" s="9"/>
      <c r="E424" s="9"/>
      <c r="F424" s="532" t="s">
        <v>1020</v>
      </c>
      <c r="G424" s="1513"/>
      <c r="H424" s="1513"/>
      <c r="I424" s="1513"/>
      <c r="J424" s="1087"/>
      <c r="K424" s="1064"/>
      <c r="L424" s="1064"/>
      <c r="M424" s="1563"/>
      <c r="N424" s="2521">
        <f>N425</f>
        <v>959.36800000000005</v>
      </c>
      <c r="O424" s="2542"/>
      <c r="P424" s="2543"/>
      <c r="Q424" s="2590">
        <f>Q425</f>
        <v>1265</v>
      </c>
      <c r="R424" s="2591">
        <f>R425</f>
        <v>1391.5</v>
      </c>
      <c r="S424" s="2515"/>
      <c r="T424" s="2515"/>
      <c r="U424" s="2515"/>
      <c r="V424" s="2521">
        <f>V425</f>
        <v>0</v>
      </c>
      <c r="W424" s="2521">
        <f>W425</f>
        <v>0</v>
      </c>
      <c r="Y424" s="1"/>
      <c r="Z424" s="237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</row>
    <row r="425" spans="1:256" s="2" customFormat="1" ht="55.15" customHeight="1" x14ac:dyDescent="0.25">
      <c r="A425" s="1505"/>
      <c r="B425" s="724" t="s">
        <v>1021</v>
      </c>
      <c r="C425" s="9"/>
      <c r="D425" s="9"/>
      <c r="E425" s="9"/>
      <c r="F425" s="2038" t="s">
        <v>1022</v>
      </c>
      <c r="G425" s="2054"/>
      <c r="H425" s="2054"/>
      <c r="I425" s="2054"/>
      <c r="J425" s="1087"/>
      <c r="K425" s="1064"/>
      <c r="L425" s="1064"/>
      <c r="M425" s="1563"/>
      <c r="N425" s="2521">
        <f t="shared" si="207"/>
        <v>959.36800000000005</v>
      </c>
      <c r="O425" s="2542"/>
      <c r="P425" s="2543"/>
      <c r="Q425" s="2590">
        <f t="shared" ref="Q425:R427" si="218">Q426</f>
        <v>1265</v>
      </c>
      <c r="R425" s="2591">
        <f t="shared" si="218"/>
        <v>1391.5</v>
      </c>
      <c r="S425" s="2515"/>
      <c r="T425" s="2515"/>
      <c r="U425" s="2515"/>
      <c r="V425" s="2521">
        <f t="shared" si="208"/>
        <v>0</v>
      </c>
      <c r="W425" s="2521">
        <f t="shared" si="208"/>
        <v>0</v>
      </c>
      <c r="Y425" s="1"/>
      <c r="Z425" s="237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</row>
    <row r="426" spans="1:256" s="2" customFormat="1" ht="26" x14ac:dyDescent="0.25">
      <c r="A426" s="1505"/>
      <c r="B426" s="724" t="s">
        <v>948</v>
      </c>
      <c r="C426" s="9"/>
      <c r="D426" s="9"/>
      <c r="E426" s="9"/>
      <c r="F426" s="2038" t="s">
        <v>1022</v>
      </c>
      <c r="G426" s="2038" t="s">
        <v>955</v>
      </c>
      <c r="H426" s="2038"/>
      <c r="I426" s="2038"/>
      <c r="J426" s="1087"/>
      <c r="K426" s="1064"/>
      <c r="L426" s="1064"/>
      <c r="M426" s="1563"/>
      <c r="N426" s="2521">
        <f t="shared" si="207"/>
        <v>959.36800000000005</v>
      </c>
      <c r="O426" s="2542"/>
      <c r="P426" s="2543"/>
      <c r="Q426" s="2590">
        <f t="shared" si="218"/>
        <v>1265</v>
      </c>
      <c r="R426" s="2591">
        <f t="shared" si="218"/>
        <v>1391.5</v>
      </c>
      <c r="S426" s="2515"/>
      <c r="T426" s="2515"/>
      <c r="U426" s="2515"/>
      <c r="V426" s="2521">
        <f t="shared" si="208"/>
        <v>0</v>
      </c>
      <c r="W426" s="2521">
        <f t="shared" si="208"/>
        <v>0</v>
      </c>
      <c r="Y426" s="1"/>
      <c r="Z426" s="237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</row>
    <row r="427" spans="1:256" s="2" customFormat="1" ht="26" x14ac:dyDescent="0.25">
      <c r="A427" s="1505"/>
      <c r="B427" s="1544" t="s">
        <v>454</v>
      </c>
      <c r="C427" s="9"/>
      <c r="D427" s="9"/>
      <c r="E427" s="9"/>
      <c r="F427" s="2038" t="s">
        <v>1022</v>
      </c>
      <c r="G427" s="532" t="s">
        <v>1</v>
      </c>
      <c r="H427" s="2038"/>
      <c r="I427" s="2038"/>
      <c r="J427" s="1087"/>
      <c r="K427" s="1064"/>
      <c r="L427" s="1064"/>
      <c r="M427" s="1563"/>
      <c r="N427" s="2521">
        <f t="shared" si="207"/>
        <v>959.36800000000005</v>
      </c>
      <c r="O427" s="2542"/>
      <c r="P427" s="2543"/>
      <c r="Q427" s="2590">
        <f t="shared" si="218"/>
        <v>1265</v>
      </c>
      <c r="R427" s="2591">
        <f t="shared" si="218"/>
        <v>1391.5</v>
      </c>
      <c r="S427" s="2515"/>
      <c r="T427" s="2515"/>
      <c r="U427" s="2515"/>
      <c r="V427" s="2521">
        <f t="shared" si="208"/>
        <v>0</v>
      </c>
      <c r="W427" s="2521">
        <f t="shared" si="208"/>
        <v>0</v>
      </c>
      <c r="Y427" s="1"/>
      <c r="Z427" s="237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</row>
    <row r="428" spans="1:256" s="2" customFormat="1" ht="12.65" customHeight="1" x14ac:dyDescent="0.25">
      <c r="A428" s="1505"/>
      <c r="B428" s="534" t="s">
        <v>34</v>
      </c>
      <c r="C428" s="9"/>
      <c r="D428" s="9"/>
      <c r="E428" s="9"/>
      <c r="F428" s="2038" t="s">
        <v>1022</v>
      </c>
      <c r="G428" s="532" t="s">
        <v>1</v>
      </c>
      <c r="H428" s="2038" t="s">
        <v>463</v>
      </c>
      <c r="I428" s="2038" t="s">
        <v>495</v>
      </c>
      <c r="J428" s="1087"/>
      <c r="K428" s="1064"/>
      <c r="L428" s="1064"/>
      <c r="M428" s="1563"/>
      <c r="N428" s="2521">
        <v>959.36800000000005</v>
      </c>
      <c r="O428" s="2542"/>
      <c r="P428" s="2543"/>
      <c r="Q428" s="2590">
        <f>385+880</f>
        <v>1265</v>
      </c>
      <c r="R428" s="2591">
        <f>423.5+968</f>
        <v>1391.5</v>
      </c>
      <c r="S428" s="2515"/>
      <c r="T428" s="2515"/>
      <c r="U428" s="2515"/>
      <c r="V428" s="2521">
        <v>0</v>
      </c>
      <c r="W428" s="2521">
        <v>0</v>
      </c>
      <c r="Y428" s="1"/>
      <c r="Z428" s="237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</row>
    <row r="429" spans="1:256" s="2" customFormat="1" ht="44.25" hidden="1" customHeight="1" x14ac:dyDescent="0.3">
      <c r="A429" s="32"/>
      <c r="B429" s="2055"/>
      <c r="C429" s="142"/>
      <c r="D429" s="142"/>
      <c r="E429" s="142"/>
      <c r="F429" s="142"/>
      <c r="G429" s="142"/>
      <c r="H429" s="142"/>
      <c r="I429" s="142"/>
      <c r="J429" s="1061"/>
      <c r="K429" s="1064"/>
      <c r="L429" s="1064"/>
      <c r="M429" s="1563"/>
      <c r="N429" s="2541"/>
      <c r="O429" s="2542"/>
      <c r="P429" s="2543"/>
      <c r="Q429" s="2544"/>
      <c r="R429" s="2545"/>
      <c r="S429" s="2515"/>
      <c r="T429" s="2515"/>
      <c r="U429" s="2515"/>
      <c r="V429" s="2541"/>
      <c r="W429" s="2541"/>
      <c r="Y429" s="1"/>
      <c r="Z429" s="237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</row>
    <row r="430" spans="1:256" ht="13" hidden="1" x14ac:dyDescent="0.3">
      <c r="A430" s="32"/>
      <c r="B430" s="2056"/>
      <c r="C430" s="9"/>
      <c r="D430" s="9"/>
      <c r="E430" s="9"/>
      <c r="F430" s="9"/>
      <c r="G430" s="9"/>
      <c r="H430" s="9"/>
      <c r="I430" s="9"/>
      <c r="J430" s="1061"/>
      <c r="K430" s="1064"/>
      <c r="L430" s="1064"/>
      <c r="M430" s="1563"/>
      <c r="N430" s="2541"/>
      <c r="O430" s="2542"/>
      <c r="P430" s="2543"/>
      <c r="Q430" s="2544"/>
      <c r="R430" s="2545"/>
      <c r="S430" s="2515"/>
      <c r="T430" s="2515"/>
      <c r="U430" s="2515"/>
      <c r="V430" s="2541"/>
      <c r="W430" s="2541"/>
    </row>
    <row r="431" spans="1:256" ht="42.75" hidden="1" customHeight="1" x14ac:dyDescent="0.3">
      <c r="A431" s="32"/>
      <c r="B431" s="2056"/>
      <c r="C431" s="9"/>
      <c r="D431" s="9"/>
      <c r="E431" s="9"/>
      <c r="F431" s="9"/>
      <c r="G431" s="9"/>
      <c r="H431" s="9"/>
      <c r="I431" s="9"/>
      <c r="J431" s="1061"/>
      <c r="K431" s="1064"/>
      <c r="L431" s="1064"/>
      <c r="M431" s="1563"/>
      <c r="N431" s="2541"/>
      <c r="O431" s="2542"/>
      <c r="P431" s="2543"/>
      <c r="Q431" s="2544"/>
      <c r="R431" s="2545"/>
      <c r="S431" s="2515"/>
      <c r="T431" s="2515"/>
      <c r="U431" s="2515"/>
      <c r="V431" s="2541"/>
      <c r="W431" s="2541"/>
    </row>
    <row r="432" spans="1:256" ht="72.75" hidden="1" customHeight="1" x14ac:dyDescent="0.25">
      <c r="A432" s="91">
        <v>9</v>
      </c>
      <c r="B432" s="134" t="s">
        <v>176</v>
      </c>
      <c r="C432" s="34"/>
      <c r="D432" s="94" t="s">
        <v>15</v>
      </c>
      <c r="E432" s="34" t="s">
        <v>32</v>
      </c>
      <c r="F432" s="34" t="s">
        <v>175</v>
      </c>
      <c r="G432" s="131"/>
      <c r="H432" s="131"/>
      <c r="I432" s="34"/>
      <c r="J432" s="51">
        <f>J433</f>
        <v>3000</v>
      </c>
      <c r="K432" s="51"/>
      <c r="L432" s="51">
        <f>L434</f>
        <v>6008.35</v>
      </c>
      <c r="M432" s="1553">
        <f>M434</f>
        <v>8515.7049999999999</v>
      </c>
      <c r="N432" s="2516">
        <f t="shared" ref="N432:R434" si="219">N433</f>
        <v>0</v>
      </c>
      <c r="O432" s="2517">
        <f t="shared" si="219"/>
        <v>3500</v>
      </c>
      <c r="P432" s="2518">
        <f t="shared" si="219"/>
        <v>3500</v>
      </c>
      <c r="Q432" s="2519">
        <f t="shared" si="219"/>
        <v>0</v>
      </c>
      <c r="R432" s="2520">
        <f t="shared" si="219"/>
        <v>0</v>
      </c>
      <c r="S432" s="2515"/>
      <c r="T432" s="2515"/>
      <c r="U432" s="2515"/>
      <c r="V432" s="2516">
        <f t="shared" ref="V432:W434" si="220">V433</f>
        <v>0</v>
      </c>
      <c r="W432" s="2516">
        <f t="shared" si="220"/>
        <v>0</v>
      </c>
    </row>
    <row r="433" spans="1:256" s="2" customFormat="1" ht="57" hidden="1" customHeight="1" x14ac:dyDescent="0.25">
      <c r="A433" s="91"/>
      <c r="B433" s="1098" t="s">
        <v>174</v>
      </c>
      <c r="C433" s="34"/>
      <c r="D433" s="94"/>
      <c r="E433" s="34"/>
      <c r="F433" s="9" t="s">
        <v>173</v>
      </c>
      <c r="G433" s="48"/>
      <c r="H433" s="48"/>
      <c r="I433" s="9"/>
      <c r="J433" s="47">
        <f>J434</f>
        <v>3000</v>
      </c>
      <c r="K433" s="51"/>
      <c r="L433" s="51"/>
      <c r="M433" s="1553"/>
      <c r="N433" s="2541">
        <f t="shared" si="219"/>
        <v>0</v>
      </c>
      <c r="O433" s="2594">
        <f t="shared" si="219"/>
        <v>3500</v>
      </c>
      <c r="P433" s="2595">
        <f t="shared" si="219"/>
        <v>3500</v>
      </c>
      <c r="Q433" s="2596">
        <f t="shared" si="219"/>
        <v>0</v>
      </c>
      <c r="R433" s="2597">
        <f t="shared" si="219"/>
        <v>0</v>
      </c>
      <c r="S433" s="2515"/>
      <c r="T433" s="2515"/>
      <c r="U433" s="2515"/>
      <c r="V433" s="2541">
        <f t="shared" si="220"/>
        <v>0</v>
      </c>
      <c r="W433" s="2541">
        <f t="shared" si="220"/>
        <v>0</v>
      </c>
      <c r="Y433" s="1"/>
      <c r="Z433" s="237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</row>
    <row r="434" spans="1:256" s="2" customFormat="1" ht="13" hidden="1" x14ac:dyDescent="0.25">
      <c r="A434" s="32"/>
      <c r="B434" s="133" t="s">
        <v>172</v>
      </c>
      <c r="C434" s="9"/>
      <c r="D434" s="88" t="s">
        <v>15</v>
      </c>
      <c r="E434" s="9" t="s">
        <v>32</v>
      </c>
      <c r="F434" s="9" t="s">
        <v>159</v>
      </c>
      <c r="G434" s="9"/>
      <c r="H434" s="9"/>
      <c r="I434" s="9"/>
      <c r="J434" s="1061">
        <f>J435</f>
        <v>3000</v>
      </c>
      <c r="K434" s="1065"/>
      <c r="L434" s="1064">
        <f>L435</f>
        <v>6008.35</v>
      </c>
      <c r="M434" s="1563">
        <f>M435</f>
        <v>8515.7049999999999</v>
      </c>
      <c r="N434" s="2541">
        <f t="shared" si="219"/>
        <v>0</v>
      </c>
      <c r="O434" s="2542">
        <f t="shared" si="219"/>
        <v>3500</v>
      </c>
      <c r="P434" s="2543">
        <f t="shared" si="219"/>
        <v>3500</v>
      </c>
      <c r="Q434" s="2544">
        <f t="shared" si="219"/>
        <v>0</v>
      </c>
      <c r="R434" s="2545">
        <f t="shared" si="219"/>
        <v>0</v>
      </c>
      <c r="S434" s="2515"/>
      <c r="T434" s="2515"/>
      <c r="U434" s="2515"/>
      <c r="V434" s="2541">
        <f t="shared" si="220"/>
        <v>0</v>
      </c>
      <c r="W434" s="2541">
        <f t="shared" si="220"/>
        <v>0</v>
      </c>
      <c r="Y434" s="1"/>
      <c r="Z434" s="237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</row>
    <row r="435" spans="1:256" s="2" customFormat="1" ht="13" hidden="1" x14ac:dyDescent="0.3">
      <c r="A435" s="32"/>
      <c r="B435" s="2003" t="s">
        <v>16</v>
      </c>
      <c r="C435" s="9"/>
      <c r="D435" s="88" t="s">
        <v>15</v>
      </c>
      <c r="E435" s="9" t="s">
        <v>32</v>
      </c>
      <c r="F435" s="9" t="s">
        <v>159</v>
      </c>
      <c r="G435" s="9" t="s">
        <v>1</v>
      </c>
      <c r="H435" s="9"/>
      <c r="I435" s="9"/>
      <c r="J435" s="1061">
        <f>J441</f>
        <v>3000</v>
      </c>
      <c r="K435" s="1065"/>
      <c r="L435" s="1064">
        <v>6008.35</v>
      </c>
      <c r="M435" s="1563">
        <v>8515.7049999999999</v>
      </c>
      <c r="N435" s="2541">
        <f>N441</f>
        <v>0</v>
      </c>
      <c r="O435" s="2542">
        <f>O441</f>
        <v>3500</v>
      </c>
      <c r="P435" s="2543">
        <f>P441</f>
        <v>3500</v>
      </c>
      <c r="Q435" s="2544">
        <f>Q441</f>
        <v>0</v>
      </c>
      <c r="R435" s="2545">
        <f>R441</f>
        <v>0</v>
      </c>
      <c r="S435" s="2515"/>
      <c r="T435" s="2515"/>
      <c r="U435" s="2515"/>
      <c r="V435" s="2541">
        <f>V441</f>
        <v>0</v>
      </c>
      <c r="W435" s="2541">
        <f>W441</f>
        <v>0</v>
      </c>
      <c r="Y435" s="1"/>
      <c r="Z435" s="237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</row>
    <row r="436" spans="1:256" s="2" customFormat="1" ht="39" hidden="1" x14ac:dyDescent="0.25">
      <c r="A436" s="32"/>
      <c r="B436" s="52" t="s">
        <v>171</v>
      </c>
      <c r="C436" s="9"/>
      <c r="D436" s="34" t="s">
        <v>168</v>
      </c>
      <c r="E436" s="34" t="s">
        <v>166</v>
      </c>
      <c r="F436" s="34" t="s">
        <v>170</v>
      </c>
      <c r="G436" s="131"/>
      <c r="H436" s="131"/>
      <c r="I436" s="34" t="s">
        <v>166</v>
      </c>
      <c r="J436" s="48"/>
      <c r="K436" s="131"/>
      <c r="M436" s="1564"/>
      <c r="N436" s="2541"/>
      <c r="O436" s="2594"/>
      <c r="P436" s="2595"/>
      <c r="Q436" s="2596"/>
      <c r="R436" s="2597"/>
      <c r="S436" s="2515"/>
      <c r="T436" s="2515"/>
      <c r="U436" s="2515"/>
      <c r="V436" s="2541"/>
      <c r="W436" s="2541"/>
      <c r="Y436" s="1"/>
      <c r="Z436" s="237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</row>
    <row r="437" spans="1:256" s="2" customFormat="1" ht="39" hidden="1" x14ac:dyDescent="0.25">
      <c r="A437" s="32"/>
      <c r="B437" s="49" t="s">
        <v>169</v>
      </c>
      <c r="C437" s="9"/>
      <c r="D437" s="9" t="s">
        <v>168</v>
      </c>
      <c r="E437" s="9" t="s">
        <v>166</v>
      </c>
      <c r="F437" s="9" t="s">
        <v>167</v>
      </c>
      <c r="G437" s="88"/>
      <c r="H437" s="88"/>
      <c r="I437" s="9" t="s">
        <v>166</v>
      </c>
      <c r="J437" s="1063"/>
      <c r="K437" s="1063"/>
      <c r="L437" s="1063"/>
      <c r="M437" s="1125"/>
      <c r="N437" s="2541"/>
      <c r="O437" s="2542"/>
      <c r="P437" s="2543"/>
      <c r="Q437" s="2544"/>
      <c r="R437" s="2545"/>
      <c r="S437" s="2515"/>
      <c r="T437" s="2515"/>
      <c r="U437" s="2515"/>
      <c r="V437" s="2541"/>
      <c r="W437" s="2541"/>
      <c r="Y437" s="1"/>
      <c r="Z437" s="237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</row>
    <row r="438" spans="1:256" s="2" customFormat="1" ht="39" hidden="1" x14ac:dyDescent="0.25">
      <c r="A438" s="32"/>
      <c r="B438" s="132" t="s">
        <v>165</v>
      </c>
      <c r="C438" s="34"/>
      <c r="D438" s="94" t="s">
        <v>15</v>
      </c>
      <c r="E438" s="34" t="s">
        <v>13</v>
      </c>
      <c r="F438" s="34" t="s">
        <v>164</v>
      </c>
      <c r="G438" s="131"/>
      <c r="H438" s="131"/>
      <c r="I438" s="34" t="s">
        <v>13</v>
      </c>
      <c r="J438" s="48"/>
      <c r="K438" s="130"/>
      <c r="M438" s="1554"/>
      <c r="N438" s="2541"/>
      <c r="O438" s="2594"/>
      <c r="P438" s="2595"/>
      <c r="Q438" s="2596"/>
      <c r="R438" s="2597"/>
      <c r="S438" s="2515"/>
      <c r="T438" s="2515"/>
      <c r="U438" s="2515"/>
      <c r="V438" s="2541"/>
      <c r="W438" s="2541"/>
      <c r="Y438" s="1"/>
      <c r="Z438" s="237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</row>
    <row r="439" spans="1:256" s="2" customFormat="1" ht="52" hidden="1" x14ac:dyDescent="0.25">
      <c r="A439" s="32"/>
      <c r="B439" s="49" t="s">
        <v>163</v>
      </c>
      <c r="C439" s="9"/>
      <c r="D439" s="88" t="s">
        <v>15</v>
      </c>
      <c r="E439" s="9" t="s">
        <v>13</v>
      </c>
      <c r="F439" s="9" t="s">
        <v>162</v>
      </c>
      <c r="G439" s="9"/>
      <c r="H439" s="9"/>
      <c r="I439" s="9" t="s">
        <v>13</v>
      </c>
      <c r="J439" s="1063"/>
      <c r="K439" s="1065"/>
      <c r="L439" s="1065"/>
      <c r="M439" s="1552"/>
      <c r="N439" s="2541"/>
      <c r="O439" s="2542"/>
      <c r="P439" s="2543"/>
      <c r="Q439" s="2544"/>
      <c r="R439" s="2545"/>
      <c r="S439" s="2515"/>
      <c r="T439" s="2515"/>
      <c r="U439" s="2515"/>
      <c r="V439" s="2541"/>
      <c r="W439" s="2541"/>
      <c r="Y439" s="1"/>
      <c r="Z439" s="237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</row>
    <row r="440" spans="1:256" s="2" customFormat="1" ht="52" hidden="1" x14ac:dyDescent="0.25">
      <c r="A440" s="32"/>
      <c r="B440" s="58" t="s">
        <v>161</v>
      </c>
      <c r="C440" s="34"/>
      <c r="D440" s="88" t="s">
        <v>15</v>
      </c>
      <c r="E440" s="9" t="s">
        <v>13</v>
      </c>
      <c r="F440" s="9" t="s">
        <v>160</v>
      </c>
      <c r="G440" s="9"/>
      <c r="H440" s="9"/>
      <c r="I440" s="9" t="s">
        <v>13</v>
      </c>
      <c r="J440" s="1063"/>
      <c r="K440" s="1065"/>
      <c r="L440" s="1065"/>
      <c r="M440" s="1552"/>
      <c r="N440" s="2541"/>
      <c r="O440" s="2542"/>
      <c r="P440" s="2543"/>
      <c r="Q440" s="2544"/>
      <c r="R440" s="2545"/>
      <c r="S440" s="2515"/>
      <c r="T440" s="2515"/>
      <c r="U440" s="2515"/>
      <c r="V440" s="2541"/>
      <c r="W440" s="2541"/>
      <c r="Y440" s="1"/>
      <c r="Z440" s="237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</row>
    <row r="441" spans="1:256" s="2" customFormat="1" ht="32.15" hidden="1" customHeight="1" x14ac:dyDescent="0.3">
      <c r="A441" s="32"/>
      <c r="B441" s="744" t="s">
        <v>34</v>
      </c>
      <c r="C441" s="9"/>
      <c r="D441" s="88" t="s">
        <v>15</v>
      </c>
      <c r="E441" s="9" t="s">
        <v>32</v>
      </c>
      <c r="F441" s="9" t="s">
        <v>159</v>
      </c>
      <c r="G441" s="9" t="s">
        <v>1</v>
      </c>
      <c r="H441" s="9" t="s">
        <v>463</v>
      </c>
      <c r="I441" s="9" t="s">
        <v>495</v>
      </c>
      <c r="J441" s="1061">
        <v>3000</v>
      </c>
      <c r="K441" s="1065"/>
      <c r="L441" s="1064">
        <v>6008.35</v>
      </c>
      <c r="M441" s="1563">
        <v>8515.7049999999999</v>
      </c>
      <c r="N441" s="2541"/>
      <c r="O441" s="2542">
        <v>3500</v>
      </c>
      <c r="P441" s="2543">
        <v>3500</v>
      </c>
      <c r="Q441" s="2544"/>
      <c r="R441" s="2545"/>
      <c r="S441" s="2515"/>
      <c r="T441" s="2515"/>
      <c r="U441" s="2515"/>
      <c r="V441" s="2541"/>
      <c r="W441" s="2541"/>
      <c r="Y441" s="1"/>
      <c r="Z441" s="237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</row>
    <row r="442" spans="1:256" s="2" customFormat="1" ht="52" x14ac:dyDescent="0.25">
      <c r="A442" s="1504">
        <v>12</v>
      </c>
      <c r="B442" s="2151" t="s">
        <v>1067</v>
      </c>
      <c r="C442" s="1508"/>
      <c r="D442" s="1508"/>
      <c r="E442" s="1508"/>
      <c r="F442" s="2048" t="s">
        <v>1014</v>
      </c>
      <c r="G442" s="2046"/>
      <c r="H442" s="2046"/>
      <c r="I442" s="1508"/>
      <c r="J442" s="1087"/>
      <c r="K442" s="1064"/>
      <c r="L442" s="1064"/>
      <c r="M442" s="1563"/>
      <c r="N442" s="2516">
        <f>N443</f>
        <v>450.44499999999994</v>
      </c>
      <c r="O442" s="2542"/>
      <c r="P442" s="2543"/>
      <c r="Q442" s="2598"/>
      <c r="R442" s="2545"/>
      <c r="S442" s="2515"/>
      <c r="T442" s="2515"/>
      <c r="U442" s="2515"/>
      <c r="V442" s="2516">
        <f t="shared" ref="V442:W446" si="221">V443</f>
        <v>426.73700000000002</v>
      </c>
      <c r="W442" s="2516">
        <f t="shared" si="221"/>
        <v>150</v>
      </c>
      <c r="Y442" s="1"/>
      <c r="Z442" s="237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</row>
    <row r="443" spans="1:256" s="2" customFormat="1" ht="13" x14ac:dyDescent="0.25">
      <c r="A443" s="1505"/>
      <c r="B443" s="2067" t="s">
        <v>1023</v>
      </c>
      <c r="C443" s="1508"/>
      <c r="D443" s="1508"/>
      <c r="E443" s="1508"/>
      <c r="F443" s="2045" t="s">
        <v>1016</v>
      </c>
      <c r="G443" s="2046"/>
      <c r="H443" s="2046"/>
      <c r="I443" s="1508"/>
      <c r="J443" s="1087"/>
      <c r="K443" s="1064"/>
      <c r="L443" s="1064"/>
      <c r="M443" s="1563"/>
      <c r="N443" s="2541">
        <f>N444</f>
        <v>450.44499999999994</v>
      </c>
      <c r="O443" s="2542"/>
      <c r="P443" s="2543"/>
      <c r="Q443" s="2598"/>
      <c r="R443" s="2545"/>
      <c r="S443" s="2515"/>
      <c r="T443" s="2515"/>
      <c r="U443" s="2515"/>
      <c r="V443" s="2541">
        <f t="shared" si="221"/>
        <v>426.73700000000002</v>
      </c>
      <c r="W443" s="2541">
        <f t="shared" si="221"/>
        <v>150</v>
      </c>
      <c r="Y443" s="1"/>
      <c r="Z443" s="237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</row>
    <row r="444" spans="1:256" s="2" customFormat="1" ht="39" x14ac:dyDescent="0.25">
      <c r="A444" s="1505"/>
      <c r="B444" s="2067" t="s">
        <v>1024</v>
      </c>
      <c r="C444" s="1508"/>
      <c r="D444" s="1508"/>
      <c r="E444" s="1508"/>
      <c r="F444" s="2045" t="s">
        <v>1018</v>
      </c>
      <c r="G444" s="2046"/>
      <c r="H444" s="2046"/>
      <c r="I444" s="1508"/>
      <c r="J444" s="1087"/>
      <c r="K444" s="1064"/>
      <c r="L444" s="1064"/>
      <c r="M444" s="1563"/>
      <c r="N444" s="2541">
        <f>N445</f>
        <v>450.44499999999994</v>
      </c>
      <c r="O444" s="2542"/>
      <c r="P444" s="2543"/>
      <c r="Q444" s="2598"/>
      <c r="R444" s="2545"/>
      <c r="S444" s="2515"/>
      <c r="T444" s="2515"/>
      <c r="U444" s="2515"/>
      <c r="V444" s="2541">
        <f t="shared" si="221"/>
        <v>426.73700000000002</v>
      </c>
      <c r="W444" s="2541">
        <f t="shared" si="221"/>
        <v>150</v>
      </c>
      <c r="Y444" s="1"/>
      <c r="Z444" s="237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</row>
    <row r="445" spans="1:256" s="2" customFormat="1" ht="25.5" customHeight="1" x14ac:dyDescent="0.25">
      <c r="A445" s="1505"/>
      <c r="B445" s="724" t="s">
        <v>948</v>
      </c>
      <c r="C445" s="1508"/>
      <c r="D445" s="1508"/>
      <c r="E445" s="1508"/>
      <c r="F445" s="2045" t="s">
        <v>1018</v>
      </c>
      <c r="G445" s="2045" t="s">
        <v>955</v>
      </c>
      <c r="H445" s="2045"/>
      <c r="I445" s="1508"/>
      <c r="J445" s="1087"/>
      <c r="K445" s="1064"/>
      <c r="L445" s="1064"/>
      <c r="M445" s="1563"/>
      <c r="N445" s="2541">
        <f>N446</f>
        <v>450.44499999999994</v>
      </c>
      <c r="O445" s="2542"/>
      <c r="P445" s="2543"/>
      <c r="Q445" s="2598"/>
      <c r="R445" s="2545"/>
      <c r="S445" s="2515"/>
      <c r="T445" s="2515"/>
      <c r="U445" s="2515"/>
      <c r="V445" s="2541">
        <f t="shared" si="221"/>
        <v>426.73700000000002</v>
      </c>
      <c r="W445" s="2541">
        <f t="shared" si="221"/>
        <v>150</v>
      </c>
      <c r="Y445" s="1"/>
      <c r="Z445" s="237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</row>
    <row r="446" spans="1:256" s="2" customFormat="1" ht="26" x14ac:dyDescent="0.25">
      <c r="A446" s="1505"/>
      <c r="B446" s="1544" t="s">
        <v>454</v>
      </c>
      <c r="C446" s="1508"/>
      <c r="D446" s="1508"/>
      <c r="E446" s="1508"/>
      <c r="F446" s="2045" t="s">
        <v>1018</v>
      </c>
      <c r="G446" s="2045" t="s">
        <v>1</v>
      </c>
      <c r="H446" s="2045"/>
      <c r="I446" s="1508"/>
      <c r="J446" s="1087"/>
      <c r="K446" s="1064"/>
      <c r="L446" s="1064"/>
      <c r="M446" s="1563"/>
      <c r="N446" s="2541">
        <f>N447</f>
        <v>450.44499999999994</v>
      </c>
      <c r="O446" s="2542"/>
      <c r="P446" s="2543"/>
      <c r="Q446" s="2598"/>
      <c r="R446" s="2545"/>
      <c r="S446" s="2515"/>
      <c r="T446" s="2515"/>
      <c r="U446" s="2515"/>
      <c r="V446" s="2541">
        <f t="shared" si="221"/>
        <v>426.73700000000002</v>
      </c>
      <c r="W446" s="2541">
        <f t="shared" si="221"/>
        <v>150</v>
      </c>
      <c r="Y446" s="1"/>
      <c r="Z446" s="237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</row>
    <row r="447" spans="1:256" s="2" customFormat="1" ht="13" x14ac:dyDescent="0.25">
      <c r="A447" s="1505"/>
      <c r="B447" s="534" t="s">
        <v>34</v>
      </c>
      <c r="C447" s="1508"/>
      <c r="D447" s="1508"/>
      <c r="E447" s="1508"/>
      <c r="F447" s="2045" t="s">
        <v>1018</v>
      </c>
      <c r="G447" s="2045" t="s">
        <v>1</v>
      </c>
      <c r="H447" s="2045" t="s">
        <v>463</v>
      </c>
      <c r="I447" s="1508" t="s">
        <v>495</v>
      </c>
      <c r="J447" s="1087"/>
      <c r="K447" s="1064"/>
      <c r="L447" s="1064"/>
      <c r="M447" s="1563"/>
      <c r="N447" s="2541">
        <f>21.337+405.4+23.708</f>
        <v>450.44499999999994</v>
      </c>
      <c r="O447" s="2542"/>
      <c r="P447" s="2543"/>
      <c r="Q447" s="2598"/>
      <c r="R447" s="2545"/>
      <c r="S447" s="2515"/>
      <c r="T447" s="2515"/>
      <c r="U447" s="2515"/>
      <c r="V447" s="2541">
        <v>426.73700000000002</v>
      </c>
      <c r="W447" s="2541">
        <v>150</v>
      </c>
      <c r="Y447" s="1"/>
      <c r="Z447" s="237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</row>
    <row r="448" spans="1:256" s="2" customFormat="1" ht="26" hidden="1" x14ac:dyDescent="0.25">
      <c r="A448" s="1504">
        <v>13</v>
      </c>
      <c r="B448" s="2151" t="s">
        <v>1143</v>
      </c>
      <c r="C448" s="1508"/>
      <c r="D448" s="1508"/>
      <c r="E448" s="1508"/>
      <c r="F448" s="2048" t="s">
        <v>1139</v>
      </c>
      <c r="G448" s="2046"/>
      <c r="H448" s="2046"/>
      <c r="I448" s="1508"/>
      <c r="J448" s="1087"/>
      <c r="K448" s="1064"/>
      <c r="L448" s="1064"/>
      <c r="M448" s="1563"/>
      <c r="N448" s="2516">
        <f>N449+N455</f>
        <v>0</v>
      </c>
      <c r="O448" s="2542"/>
      <c r="P448" s="2543"/>
      <c r="Q448" s="2598"/>
      <c r="R448" s="2545"/>
      <c r="S448" s="2515"/>
      <c r="T448" s="2515"/>
      <c r="U448" s="2515"/>
      <c r="V448" s="2516">
        <f>V449+V455</f>
        <v>0</v>
      </c>
      <c r="W448" s="2516">
        <f>W449+W455</f>
        <v>0</v>
      </c>
      <c r="Y448" s="1"/>
      <c r="Z448" s="237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</row>
    <row r="449" spans="1:256" s="2" customFormat="1" ht="25.9" hidden="1" customHeight="1" x14ac:dyDescent="0.25">
      <c r="A449" s="1504"/>
      <c r="B449" s="2251" t="s">
        <v>1027</v>
      </c>
      <c r="C449" s="1508"/>
      <c r="D449" s="1508"/>
      <c r="E449" s="1508"/>
      <c r="F449" s="2045" t="s">
        <v>1028</v>
      </c>
      <c r="G449" s="2046"/>
      <c r="H449" s="2046"/>
      <c r="I449" s="1508"/>
      <c r="J449" s="1087"/>
      <c r="K449" s="1064"/>
      <c r="L449" s="1064"/>
      <c r="M449" s="1563"/>
      <c r="N449" s="2541">
        <f t="shared" ref="N449:N453" si="222">N450</f>
        <v>0</v>
      </c>
      <c r="O449" s="2542"/>
      <c r="P449" s="2543"/>
      <c r="Q449" s="2598"/>
      <c r="R449" s="2545"/>
      <c r="S449" s="2515"/>
      <c r="T449" s="2515"/>
      <c r="U449" s="2515"/>
      <c r="V449" s="2541">
        <f t="shared" ref="V449:W453" si="223">V450</f>
        <v>0</v>
      </c>
      <c r="W449" s="2541">
        <f t="shared" si="223"/>
        <v>0</v>
      </c>
      <c r="Y449" s="1"/>
      <c r="Z449" s="237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</row>
    <row r="450" spans="1:256" s="83" customFormat="1" ht="26" hidden="1" x14ac:dyDescent="0.3">
      <c r="A450" s="1505"/>
      <c r="B450" s="2067" t="s">
        <v>1145</v>
      </c>
      <c r="C450" s="1508"/>
      <c r="D450" s="1508"/>
      <c r="E450" s="1508"/>
      <c r="F450" s="2045" t="s">
        <v>1144</v>
      </c>
      <c r="G450" s="2046"/>
      <c r="H450" s="2046"/>
      <c r="I450" s="1508"/>
      <c r="J450" s="1087"/>
      <c r="K450" s="1064"/>
      <c r="L450" s="1064"/>
      <c r="M450" s="1563"/>
      <c r="N450" s="2541">
        <f t="shared" si="222"/>
        <v>0</v>
      </c>
      <c r="O450" s="2542"/>
      <c r="P450" s="2543"/>
      <c r="Q450" s="2598"/>
      <c r="R450" s="2545"/>
      <c r="S450" s="2515"/>
      <c r="T450" s="2515"/>
      <c r="U450" s="2515"/>
      <c r="V450" s="2541">
        <f t="shared" si="223"/>
        <v>0</v>
      </c>
      <c r="W450" s="2541">
        <f t="shared" si="223"/>
        <v>0</v>
      </c>
      <c r="X450" s="84"/>
      <c r="Z450" s="2141"/>
    </row>
    <row r="451" spans="1:256" s="83" customFormat="1" ht="39" hidden="1" x14ac:dyDescent="0.3">
      <c r="A451" s="1505"/>
      <c r="B451" s="2067" t="s">
        <v>1146</v>
      </c>
      <c r="C451" s="1508"/>
      <c r="D451" s="1508"/>
      <c r="E451" s="1508"/>
      <c r="F451" s="532" t="s">
        <v>1142</v>
      </c>
      <c r="G451" s="2046"/>
      <c r="H451" s="2046"/>
      <c r="I451" s="1508"/>
      <c r="J451" s="1087"/>
      <c r="K451" s="1064"/>
      <c r="L451" s="1064"/>
      <c r="M451" s="1563"/>
      <c r="N451" s="2541">
        <f t="shared" si="222"/>
        <v>0</v>
      </c>
      <c r="O451" s="2542"/>
      <c r="P451" s="2543"/>
      <c r="Q451" s="2598"/>
      <c r="R451" s="2545"/>
      <c r="S451" s="2515"/>
      <c r="T451" s="2515"/>
      <c r="U451" s="2515"/>
      <c r="V451" s="2541">
        <f t="shared" si="223"/>
        <v>0</v>
      </c>
      <c r="W451" s="2541">
        <f t="shared" si="223"/>
        <v>0</v>
      </c>
      <c r="X451" s="84"/>
      <c r="Z451" s="2141"/>
    </row>
    <row r="452" spans="1:256" s="83" customFormat="1" ht="26" hidden="1" x14ac:dyDescent="0.3">
      <c r="A452" s="1505"/>
      <c r="B452" s="724" t="s">
        <v>948</v>
      </c>
      <c r="C452" s="1508"/>
      <c r="D452" s="1508"/>
      <c r="E452" s="1508"/>
      <c r="F452" s="532" t="s">
        <v>1142</v>
      </c>
      <c r="G452" s="2045" t="s">
        <v>955</v>
      </c>
      <c r="H452" s="2045"/>
      <c r="I452" s="1508"/>
      <c r="J452" s="1087"/>
      <c r="K452" s="1064"/>
      <c r="L452" s="1064"/>
      <c r="M452" s="1563"/>
      <c r="N452" s="2541">
        <f t="shared" si="222"/>
        <v>0</v>
      </c>
      <c r="O452" s="2542"/>
      <c r="P452" s="2543"/>
      <c r="Q452" s="2598"/>
      <c r="R452" s="2545"/>
      <c r="S452" s="2515"/>
      <c r="T452" s="2515"/>
      <c r="U452" s="2515"/>
      <c r="V452" s="2541">
        <f t="shared" si="223"/>
        <v>0</v>
      </c>
      <c r="W452" s="2541">
        <f t="shared" si="223"/>
        <v>0</v>
      </c>
      <c r="X452" s="84"/>
      <c r="Z452" s="2141"/>
    </row>
    <row r="453" spans="1:256" s="83" customFormat="1" ht="26" hidden="1" x14ac:dyDescent="0.3">
      <c r="A453" s="1505"/>
      <c r="B453" s="1544" t="s">
        <v>454</v>
      </c>
      <c r="C453" s="1508"/>
      <c r="D453" s="1508"/>
      <c r="E453" s="1508"/>
      <c r="F453" s="532" t="s">
        <v>1142</v>
      </c>
      <c r="G453" s="2045" t="s">
        <v>1</v>
      </c>
      <c r="H453" s="2045"/>
      <c r="I453" s="1508"/>
      <c r="J453" s="1087"/>
      <c r="K453" s="1064"/>
      <c r="L453" s="1064"/>
      <c r="M453" s="1563"/>
      <c r="N453" s="2541">
        <f t="shared" si="222"/>
        <v>0</v>
      </c>
      <c r="O453" s="2542"/>
      <c r="P453" s="2543"/>
      <c r="Q453" s="2598"/>
      <c r="R453" s="2545"/>
      <c r="S453" s="2515"/>
      <c r="T453" s="2515"/>
      <c r="U453" s="2515"/>
      <c r="V453" s="2541">
        <f>V454</f>
        <v>0</v>
      </c>
      <c r="W453" s="2541">
        <f t="shared" si="223"/>
        <v>0</v>
      </c>
      <c r="X453" s="84"/>
      <c r="Z453" s="2141"/>
    </row>
    <row r="454" spans="1:256" s="83" customFormat="1" ht="42.65" hidden="1" customHeight="1" x14ac:dyDescent="0.3">
      <c r="A454" s="1505"/>
      <c r="B454" s="744" t="s">
        <v>34</v>
      </c>
      <c r="C454" s="1508"/>
      <c r="D454" s="1508"/>
      <c r="E454" s="1508"/>
      <c r="F454" s="532" t="s">
        <v>1142</v>
      </c>
      <c r="G454" s="2045" t="s">
        <v>1</v>
      </c>
      <c r="H454" s="2045" t="s">
        <v>463</v>
      </c>
      <c r="I454" s="1508" t="s">
        <v>495</v>
      </c>
      <c r="J454" s="1087"/>
      <c r="K454" s="1064"/>
      <c r="L454" s="1064"/>
      <c r="M454" s="1563"/>
      <c r="N454" s="2541">
        <f>4129.999-1.562-777.778-362.241-1200-1788.418</f>
        <v>0</v>
      </c>
      <c r="O454" s="2542"/>
      <c r="P454" s="2543"/>
      <c r="Q454" s="2598"/>
      <c r="R454" s="2545"/>
      <c r="S454" s="2515"/>
      <c r="T454" s="2515"/>
      <c r="U454" s="2515"/>
      <c r="V454" s="2541">
        <f>4129.999-1.562-777.778-362.241-1200-1788.418</f>
        <v>0</v>
      </c>
      <c r="W454" s="2541"/>
      <c r="X454" s="84"/>
      <c r="Z454" s="2141"/>
    </row>
    <row r="455" spans="1:256" s="83" customFormat="1" ht="13" hidden="1" x14ac:dyDescent="0.3">
      <c r="A455" s="1505"/>
      <c r="B455" s="2237" t="s">
        <v>1044</v>
      </c>
      <c r="C455" s="1508"/>
      <c r="D455" s="1508"/>
      <c r="E455" s="1508"/>
      <c r="F455" s="532" t="s">
        <v>1043</v>
      </c>
      <c r="G455" s="2046" t="s">
        <v>1</v>
      </c>
      <c r="H455" s="2046" t="s">
        <v>463</v>
      </c>
      <c r="I455" s="1508" t="s">
        <v>495</v>
      </c>
      <c r="J455" s="1087"/>
      <c r="K455" s="1064"/>
      <c r="L455" s="1064"/>
      <c r="M455" s="1563"/>
      <c r="N455" s="2541"/>
      <c r="O455" s="2542"/>
      <c r="P455" s="2543"/>
      <c r="Q455" s="2598"/>
      <c r="R455" s="2545"/>
      <c r="S455" s="2515"/>
      <c r="T455" s="2515"/>
      <c r="U455" s="2515"/>
      <c r="V455" s="2541"/>
      <c r="W455" s="2541"/>
      <c r="X455" s="84"/>
      <c r="Z455" s="2141"/>
    </row>
    <row r="456" spans="1:256" s="83" customFormat="1" ht="39" x14ac:dyDescent="0.3">
      <c r="A456" s="1504">
        <v>13</v>
      </c>
      <c r="B456" s="2151" t="s">
        <v>1213</v>
      </c>
      <c r="C456" s="1508"/>
      <c r="D456" s="1508"/>
      <c r="E456" s="1508"/>
      <c r="F456" s="2048" t="s">
        <v>1162</v>
      </c>
      <c r="G456" s="2046"/>
      <c r="H456" s="2046"/>
      <c r="I456" s="1508"/>
      <c r="J456" s="1087"/>
      <c r="K456" s="1064"/>
      <c r="L456" s="1064"/>
      <c r="M456" s="1563"/>
      <c r="N456" s="2521">
        <f t="shared" ref="N456:N461" si="224">N457</f>
        <v>2960.0099999999998</v>
      </c>
      <c r="O456" s="2542"/>
      <c r="P456" s="2543"/>
      <c r="Q456" s="2598"/>
      <c r="R456" s="2545"/>
      <c r="S456" s="2599"/>
      <c r="T456" s="2599"/>
      <c r="U456" s="2599"/>
      <c r="V456" s="2521">
        <f>V462+V468</f>
        <v>0</v>
      </c>
      <c r="W456" s="2521">
        <f>W462+W468</f>
        <v>0</v>
      </c>
      <c r="X456" s="84"/>
      <c r="Z456" s="2141"/>
    </row>
    <row r="457" spans="1:256" s="83" customFormat="1" ht="26" x14ac:dyDescent="0.3">
      <c r="A457" s="1505"/>
      <c r="B457" s="2067" t="s">
        <v>1166</v>
      </c>
      <c r="C457" s="1508"/>
      <c r="D457" s="1508"/>
      <c r="E457" s="1508"/>
      <c r="F457" s="2045" t="s">
        <v>1163</v>
      </c>
      <c r="G457" s="2046"/>
      <c r="H457" s="2046"/>
      <c r="I457" s="1508"/>
      <c r="J457" s="1087"/>
      <c r="K457" s="1064"/>
      <c r="L457" s="1064"/>
      <c r="M457" s="1563"/>
      <c r="N457" s="2521">
        <f t="shared" si="224"/>
        <v>2960.0099999999998</v>
      </c>
      <c r="O457" s="2542"/>
      <c r="P457" s="2543"/>
      <c r="Q457" s="2598"/>
      <c r="R457" s="2545"/>
      <c r="S457" s="2599"/>
      <c r="T457" s="2599"/>
      <c r="U457" s="2599"/>
      <c r="V457" s="2521">
        <f t="shared" ref="V457:W461" si="225">V458</f>
        <v>0</v>
      </c>
      <c r="W457" s="2521">
        <f t="shared" si="225"/>
        <v>0</v>
      </c>
      <c r="X457" s="84"/>
      <c r="Z457" s="2141"/>
    </row>
    <row r="458" spans="1:256" s="83" customFormat="1" ht="26" x14ac:dyDescent="0.3">
      <c r="A458" s="1505"/>
      <c r="B458" s="2067" t="s">
        <v>1167</v>
      </c>
      <c r="C458" s="1508"/>
      <c r="D458" s="1508"/>
      <c r="E458" s="1508"/>
      <c r="F458" s="2045" t="s">
        <v>1164</v>
      </c>
      <c r="G458" s="2046"/>
      <c r="H458" s="2046"/>
      <c r="I458" s="1508"/>
      <c r="J458" s="1087"/>
      <c r="K458" s="1064"/>
      <c r="L458" s="1064"/>
      <c r="M458" s="1563"/>
      <c r="N458" s="2521">
        <f t="shared" si="224"/>
        <v>2960.0099999999998</v>
      </c>
      <c r="O458" s="2542"/>
      <c r="P458" s="2543"/>
      <c r="Q458" s="2598"/>
      <c r="R458" s="2545"/>
      <c r="S458" s="2599"/>
      <c r="T458" s="2599"/>
      <c r="U458" s="2599"/>
      <c r="V458" s="2521">
        <f t="shared" si="225"/>
        <v>0</v>
      </c>
      <c r="W458" s="2521">
        <f t="shared" si="225"/>
        <v>0</v>
      </c>
      <c r="X458" s="84"/>
      <c r="Z458" s="2141"/>
    </row>
    <row r="459" spans="1:256" s="83" customFormat="1" ht="13" x14ac:dyDescent="0.3">
      <c r="A459" s="1505"/>
      <c r="B459" s="2067" t="s">
        <v>1168</v>
      </c>
      <c r="C459" s="1508"/>
      <c r="D459" s="1508"/>
      <c r="E459" s="1508"/>
      <c r="F459" s="2045" t="s">
        <v>1165</v>
      </c>
      <c r="G459" s="2046"/>
      <c r="H459" s="2046"/>
      <c r="I459" s="1508"/>
      <c r="J459" s="1087"/>
      <c r="K459" s="1064"/>
      <c r="L459" s="1064"/>
      <c r="M459" s="1563"/>
      <c r="N459" s="2521">
        <f t="shared" si="224"/>
        <v>2960.0099999999998</v>
      </c>
      <c r="O459" s="2542"/>
      <c r="P459" s="2543"/>
      <c r="Q459" s="2598"/>
      <c r="R459" s="2545"/>
      <c r="S459" s="2599"/>
      <c r="T459" s="2599"/>
      <c r="U459" s="2599"/>
      <c r="V459" s="2521">
        <f t="shared" si="225"/>
        <v>0</v>
      </c>
      <c r="W459" s="2521">
        <f t="shared" si="225"/>
        <v>0</v>
      </c>
      <c r="X459" s="84"/>
      <c r="Z459" s="2141"/>
    </row>
    <row r="460" spans="1:256" s="83" customFormat="1" ht="26" x14ac:dyDescent="0.3">
      <c r="A460" s="1505"/>
      <c r="B460" s="724" t="s">
        <v>948</v>
      </c>
      <c r="C460" s="1508"/>
      <c r="D460" s="1508"/>
      <c r="E460" s="1508"/>
      <c r="F460" s="2045" t="s">
        <v>1165</v>
      </c>
      <c r="G460" s="2045" t="s">
        <v>955</v>
      </c>
      <c r="H460" s="2045"/>
      <c r="I460" s="1508"/>
      <c r="J460" s="1087"/>
      <c r="K460" s="1064"/>
      <c r="L460" s="1064"/>
      <c r="M460" s="1563"/>
      <c r="N460" s="2521">
        <f t="shared" si="224"/>
        <v>2960.0099999999998</v>
      </c>
      <c r="O460" s="2542"/>
      <c r="P460" s="2543"/>
      <c r="Q460" s="2598"/>
      <c r="R460" s="2545"/>
      <c r="S460" s="2599"/>
      <c r="T460" s="2599"/>
      <c r="U460" s="2599"/>
      <c r="V460" s="2521">
        <f t="shared" si="225"/>
        <v>0</v>
      </c>
      <c r="W460" s="2521">
        <f t="shared" si="225"/>
        <v>0</v>
      </c>
      <c r="X460" s="84"/>
      <c r="Z460" s="2141"/>
    </row>
    <row r="461" spans="1:256" s="83" customFormat="1" ht="26" x14ac:dyDescent="0.3">
      <c r="A461" s="1505"/>
      <c r="B461" s="1544" t="s">
        <v>454</v>
      </c>
      <c r="C461" s="1508"/>
      <c r="D461" s="1508"/>
      <c r="E461" s="1508"/>
      <c r="F461" s="2045" t="s">
        <v>1165</v>
      </c>
      <c r="G461" s="2045" t="s">
        <v>1</v>
      </c>
      <c r="H461" s="2045"/>
      <c r="I461" s="1508"/>
      <c r="J461" s="1087"/>
      <c r="K461" s="1064"/>
      <c r="L461" s="1064"/>
      <c r="M461" s="1563"/>
      <c r="N461" s="2521">
        <f t="shared" si="224"/>
        <v>2960.0099999999998</v>
      </c>
      <c r="O461" s="2542"/>
      <c r="P461" s="2543"/>
      <c r="Q461" s="2598"/>
      <c r="R461" s="2545"/>
      <c r="S461" s="2599"/>
      <c r="T461" s="2599"/>
      <c r="U461" s="2599"/>
      <c r="V461" s="2521">
        <f t="shared" si="225"/>
        <v>0</v>
      </c>
      <c r="W461" s="2521">
        <f t="shared" si="225"/>
        <v>0</v>
      </c>
      <c r="X461" s="84"/>
      <c r="Z461" s="2141"/>
    </row>
    <row r="462" spans="1:256" s="83" customFormat="1" ht="13" x14ac:dyDescent="0.3">
      <c r="A462" s="1505"/>
      <c r="B462" s="534" t="s">
        <v>1161</v>
      </c>
      <c r="C462" s="1508"/>
      <c r="D462" s="1508"/>
      <c r="E462" s="1508"/>
      <c r="F462" s="2045" t="s">
        <v>1165</v>
      </c>
      <c r="G462" s="2045" t="s">
        <v>1</v>
      </c>
      <c r="H462" s="2045" t="s">
        <v>463</v>
      </c>
      <c r="I462" s="1508" t="s">
        <v>495</v>
      </c>
      <c r="J462" s="1087"/>
      <c r="K462" s="1064"/>
      <c r="L462" s="1064"/>
      <c r="M462" s="1563"/>
      <c r="N462" s="2605">
        <f>2615.073-0.0002+344.9372</f>
        <v>2960.0099999999998</v>
      </c>
      <c r="O462" s="2600"/>
      <c r="P462" s="2601"/>
      <c r="Q462" s="2602"/>
      <c r="R462" s="2603"/>
      <c r="S462" s="2604"/>
      <c r="T462" s="2604"/>
      <c r="U462" s="2604"/>
      <c r="V462" s="2605">
        <v>0</v>
      </c>
      <c r="W462" s="2605">
        <v>0</v>
      </c>
      <c r="X462" s="84"/>
      <c r="Z462" s="2141"/>
    </row>
    <row r="463" spans="1:256" s="83" customFormat="1" ht="27" hidden="1" customHeight="1" x14ac:dyDescent="0.3">
      <c r="A463" s="1505"/>
      <c r="B463" s="2067" t="s">
        <v>1188</v>
      </c>
      <c r="C463" s="1508"/>
      <c r="D463" s="1508"/>
      <c r="E463" s="1508"/>
      <c r="F463" s="2045" t="s">
        <v>1170</v>
      </c>
      <c r="G463" s="2045"/>
      <c r="H463" s="2045"/>
      <c r="I463" s="1508"/>
      <c r="J463" s="1087"/>
      <c r="K463" s="1064"/>
      <c r="L463" s="1064"/>
      <c r="M463" s="1563"/>
      <c r="N463" s="2605">
        <f>N464</f>
        <v>0</v>
      </c>
      <c r="O463" s="2600"/>
      <c r="P463" s="2601"/>
      <c r="Q463" s="2602"/>
      <c r="R463" s="2603"/>
      <c r="S463" s="2604"/>
      <c r="T463" s="2604"/>
      <c r="U463" s="2604"/>
      <c r="V463" s="2605">
        <f t="shared" ref="V463:W467" si="226">V464</f>
        <v>0</v>
      </c>
      <c r="W463" s="2605">
        <f t="shared" si="226"/>
        <v>0</v>
      </c>
      <c r="X463" s="84"/>
      <c r="Z463" s="2141"/>
    </row>
    <row r="464" spans="1:256" s="83" customFormat="1" ht="26" hidden="1" x14ac:dyDescent="0.3">
      <c r="A464" s="1505"/>
      <c r="B464" s="2067" t="s">
        <v>1189</v>
      </c>
      <c r="C464" s="1508"/>
      <c r="D464" s="1508"/>
      <c r="E464" s="1508"/>
      <c r="F464" s="2045" t="s">
        <v>1171</v>
      </c>
      <c r="G464" s="2045"/>
      <c r="H464" s="2045"/>
      <c r="I464" s="1508"/>
      <c r="J464" s="1087"/>
      <c r="K464" s="1064"/>
      <c r="L464" s="1064"/>
      <c r="M464" s="1563"/>
      <c r="N464" s="2605">
        <f>N465</f>
        <v>0</v>
      </c>
      <c r="O464" s="2600"/>
      <c r="P464" s="2601"/>
      <c r="Q464" s="2602"/>
      <c r="R464" s="2603"/>
      <c r="S464" s="2604"/>
      <c r="T464" s="2604"/>
      <c r="U464" s="2604"/>
      <c r="V464" s="2605">
        <f t="shared" si="226"/>
        <v>0</v>
      </c>
      <c r="W464" s="2605">
        <f t="shared" si="226"/>
        <v>0</v>
      </c>
      <c r="X464" s="84"/>
      <c r="Z464" s="2141"/>
    </row>
    <row r="465" spans="1:26" s="83" customFormat="1" ht="39" hidden="1" x14ac:dyDescent="0.3">
      <c r="A465" s="1505"/>
      <c r="B465" s="534" t="s">
        <v>1173</v>
      </c>
      <c r="C465" s="1508"/>
      <c r="D465" s="1508"/>
      <c r="E465" s="1508"/>
      <c r="F465" s="2045" t="s">
        <v>1172</v>
      </c>
      <c r="G465" s="2045"/>
      <c r="H465" s="2045"/>
      <c r="I465" s="1508"/>
      <c r="J465" s="1087"/>
      <c r="K465" s="1064"/>
      <c r="L465" s="1064"/>
      <c r="M465" s="1563"/>
      <c r="N465" s="2605">
        <f>N466</f>
        <v>0</v>
      </c>
      <c r="O465" s="2600"/>
      <c r="P465" s="2601"/>
      <c r="Q465" s="2602"/>
      <c r="R465" s="2603"/>
      <c r="S465" s="2604"/>
      <c r="T465" s="2604"/>
      <c r="U465" s="2604"/>
      <c r="V465" s="2605">
        <f t="shared" si="226"/>
        <v>0</v>
      </c>
      <c r="W465" s="2605">
        <f t="shared" si="226"/>
        <v>0</v>
      </c>
      <c r="X465" s="84"/>
      <c r="Z465" s="2141"/>
    </row>
    <row r="466" spans="1:26" s="83" customFormat="1" ht="26" hidden="1" x14ac:dyDescent="0.3">
      <c r="A466" s="1505"/>
      <c r="B466" s="2332" t="s">
        <v>1061</v>
      </c>
      <c r="C466" s="1508"/>
      <c r="D466" s="1508"/>
      <c r="E466" s="1508"/>
      <c r="F466" s="2045" t="s">
        <v>1172</v>
      </c>
      <c r="G466" s="9" t="s">
        <v>1060</v>
      </c>
      <c r="H466" s="2045"/>
      <c r="I466" s="1508"/>
      <c r="J466" s="1087"/>
      <c r="K466" s="1064"/>
      <c r="L466" s="1064"/>
      <c r="M466" s="1563"/>
      <c r="N466" s="2605">
        <f>N467</f>
        <v>0</v>
      </c>
      <c r="O466" s="2600"/>
      <c r="P466" s="2601"/>
      <c r="Q466" s="2602"/>
      <c r="R466" s="2603"/>
      <c r="S466" s="2604"/>
      <c r="T466" s="2604"/>
      <c r="U466" s="2604"/>
      <c r="V466" s="2605">
        <f t="shared" si="226"/>
        <v>0</v>
      </c>
      <c r="W466" s="2605">
        <f t="shared" si="226"/>
        <v>0</v>
      </c>
      <c r="X466" s="84"/>
      <c r="Z466" s="2141"/>
    </row>
    <row r="467" spans="1:26" s="83" customFormat="1" ht="13" hidden="1" x14ac:dyDescent="0.3">
      <c r="A467" s="1505"/>
      <c r="B467" s="58" t="s">
        <v>28</v>
      </c>
      <c r="C467" s="1508"/>
      <c r="D467" s="1508"/>
      <c r="E467" s="1508"/>
      <c r="F467" s="2045" t="s">
        <v>1172</v>
      </c>
      <c r="G467" s="9" t="s">
        <v>26</v>
      </c>
      <c r="H467" s="2045"/>
      <c r="I467" s="1508"/>
      <c r="J467" s="1087"/>
      <c r="K467" s="1064"/>
      <c r="L467" s="1064"/>
      <c r="M467" s="1563"/>
      <c r="N467" s="2605">
        <f>N468</f>
        <v>0</v>
      </c>
      <c r="O467" s="2600"/>
      <c r="P467" s="2601"/>
      <c r="Q467" s="2602"/>
      <c r="R467" s="2603"/>
      <c r="S467" s="2604"/>
      <c r="T467" s="2604"/>
      <c r="U467" s="2604"/>
      <c r="V467" s="2605">
        <f t="shared" si="226"/>
        <v>0</v>
      </c>
      <c r="W467" s="2605">
        <f t="shared" si="226"/>
        <v>0</v>
      </c>
      <c r="X467" s="84"/>
      <c r="Z467" s="2141"/>
    </row>
    <row r="468" spans="1:26" s="83" customFormat="1" ht="13" hidden="1" x14ac:dyDescent="0.3">
      <c r="A468" s="1505"/>
      <c r="B468" s="534" t="s">
        <v>1161</v>
      </c>
      <c r="C468" s="1508"/>
      <c r="D468" s="1508"/>
      <c r="E468" s="1508"/>
      <c r="F468" s="2045" t="s">
        <v>1172</v>
      </c>
      <c r="G468" s="9" t="s">
        <v>26</v>
      </c>
      <c r="H468" s="2045" t="s">
        <v>452</v>
      </c>
      <c r="I468" s="1508" t="s">
        <v>463</v>
      </c>
      <c r="J468" s="1087"/>
      <c r="K468" s="1064"/>
      <c r="L468" s="1064"/>
      <c r="M468" s="1563"/>
      <c r="N468" s="2605">
        <v>0</v>
      </c>
      <c r="O468" s="2600"/>
      <c r="P468" s="2601"/>
      <c r="Q468" s="2602"/>
      <c r="R468" s="2603"/>
      <c r="S468" s="2604"/>
      <c r="T468" s="2604"/>
      <c r="U468" s="2604"/>
      <c r="V468" s="2605">
        <v>0</v>
      </c>
      <c r="W468" s="2605">
        <v>0</v>
      </c>
      <c r="X468" s="84"/>
      <c r="Z468" s="2141"/>
    </row>
    <row r="469" spans="1:26" s="83" customFormat="1" ht="15" x14ac:dyDescent="0.3">
      <c r="A469" s="32"/>
      <c r="B469" s="1979" t="s">
        <v>158</v>
      </c>
      <c r="C469" s="34"/>
      <c r="D469" s="88"/>
      <c r="E469" s="9"/>
      <c r="F469" s="9"/>
      <c r="G469" s="9"/>
      <c r="H469" s="9"/>
      <c r="I469" s="9"/>
      <c r="J469" s="1111">
        <f>J470+J561+J575</f>
        <v>47038.588000000003</v>
      </c>
      <c r="K469" s="1065"/>
      <c r="L469" s="1064">
        <f t="shared" ref="L469:R469" si="227">L470+L561+L575</f>
        <v>28148.264999999999</v>
      </c>
      <c r="M469" s="1563">
        <f t="shared" si="227"/>
        <v>29104.548000000003</v>
      </c>
      <c r="N469" s="2606">
        <f>N470+N561+N575</f>
        <v>42349.95796</v>
      </c>
      <c r="O469" s="2607">
        <f t="shared" si="227"/>
        <v>22421.825000000004</v>
      </c>
      <c r="P469" s="2608">
        <f t="shared" si="227"/>
        <v>23877.43</v>
      </c>
      <c r="Q469" s="2609">
        <f t="shared" si="227"/>
        <v>30018.576999999997</v>
      </c>
      <c r="R469" s="2610">
        <f t="shared" si="227"/>
        <v>30189.748999999996</v>
      </c>
      <c r="S469" s="2611"/>
      <c r="T469" s="2611"/>
      <c r="U469" s="2611"/>
      <c r="V469" s="2606">
        <f>V470+V561+V575</f>
        <v>37526.040229999999</v>
      </c>
      <c r="W469" s="2606">
        <f>W470+W561+W575</f>
        <v>45613.737999999998</v>
      </c>
      <c r="X469" s="84"/>
      <c r="Z469" s="2141"/>
    </row>
    <row r="470" spans="1:26" s="83" customFormat="1" ht="39" x14ac:dyDescent="0.3">
      <c r="A470" s="91"/>
      <c r="B470" s="126" t="s">
        <v>126</v>
      </c>
      <c r="C470" s="118"/>
      <c r="D470" s="89" t="s">
        <v>69</v>
      </c>
      <c r="E470" s="89" t="s">
        <v>112</v>
      </c>
      <c r="F470" s="113" t="s">
        <v>157</v>
      </c>
      <c r="G470" s="118"/>
      <c r="H470" s="118"/>
      <c r="I470" s="89"/>
      <c r="J470" s="1113">
        <f>J478+J555+J524+J527+J531+J539+J535</f>
        <v>14363.046000000004</v>
      </c>
      <c r="K470" s="1059"/>
      <c r="L470" s="1059">
        <f>L478+L521+L524+L527+L531+L539+L547</f>
        <v>14872.082</v>
      </c>
      <c r="M470" s="1551">
        <f>M478+M521+M524+M527+M531+M539+M547</f>
        <v>15828.365000000002</v>
      </c>
      <c r="N470" s="2612">
        <f>N471+N477+N555</f>
        <v>25703.99</v>
      </c>
      <c r="O470" s="2613">
        <f>O482+O484+O488+O492+O507+O511+O518+O538+O541+O544+O560+O550</f>
        <v>17791.410000000003</v>
      </c>
      <c r="P470" s="2614">
        <f>P482+P484+P488+P492+P507+P511+P518+P538+P541+P544+P560+P550</f>
        <v>18871.780000000002</v>
      </c>
      <c r="Q470" s="2615">
        <f>Q471+Q477+Q555</f>
        <v>21581.35</v>
      </c>
      <c r="R470" s="2616">
        <f>R471+R477+R555</f>
        <v>22370.437999999998</v>
      </c>
      <c r="S470" s="2617"/>
      <c r="T470" s="2617"/>
      <c r="U470" s="2617"/>
      <c r="V470" s="2612">
        <f>V471+V477+V555</f>
        <v>26189.391</v>
      </c>
      <c r="W470" s="2612">
        <f>W471+W477+W555</f>
        <v>25977.195000000003</v>
      </c>
      <c r="X470" s="84"/>
      <c r="Z470" s="2141"/>
    </row>
    <row r="471" spans="1:26" s="83" customFormat="1" ht="20" x14ac:dyDescent="0.3">
      <c r="A471" s="91"/>
      <c r="B471" s="285" t="s">
        <v>866</v>
      </c>
      <c r="C471" s="118"/>
      <c r="D471" s="89"/>
      <c r="E471" s="89"/>
      <c r="F471" s="112" t="s">
        <v>598</v>
      </c>
      <c r="G471" s="119"/>
      <c r="H471" s="119"/>
      <c r="I471" s="33"/>
      <c r="J471" s="1113"/>
      <c r="K471" s="1059"/>
      <c r="L471" s="1059"/>
      <c r="M471" s="1551"/>
      <c r="N471" s="2618">
        <f>N472</f>
        <v>1785.268</v>
      </c>
      <c r="O471" s="2613"/>
      <c r="P471" s="2614"/>
      <c r="Q471" s="2619">
        <f t="shared" ref="Q471:R475" si="228">Q472</f>
        <v>1764.761</v>
      </c>
      <c r="R471" s="2620">
        <f t="shared" si="228"/>
        <v>1832.232</v>
      </c>
      <c r="S471" s="2617"/>
      <c r="T471" s="2617"/>
      <c r="U471" s="2617"/>
      <c r="V471" s="2618">
        <f t="shared" ref="V471:W475" si="229">V472</f>
        <v>1856.6780000000001</v>
      </c>
      <c r="W471" s="2618">
        <f t="shared" si="229"/>
        <v>1930.9469999999999</v>
      </c>
      <c r="X471" s="84"/>
      <c r="Z471" s="2141"/>
    </row>
    <row r="472" spans="1:26" s="83" customFormat="1" ht="13" x14ac:dyDescent="0.3">
      <c r="A472" s="91"/>
      <c r="B472" s="285" t="s">
        <v>582</v>
      </c>
      <c r="C472" s="118"/>
      <c r="D472" s="89"/>
      <c r="E472" s="89"/>
      <c r="F472" s="112" t="s">
        <v>597</v>
      </c>
      <c r="G472" s="119"/>
      <c r="H472" s="119"/>
      <c r="I472" s="33"/>
      <c r="J472" s="1113"/>
      <c r="K472" s="1059"/>
      <c r="L472" s="1059"/>
      <c r="M472" s="1551"/>
      <c r="N472" s="2618">
        <f>N473</f>
        <v>1785.268</v>
      </c>
      <c r="O472" s="2613"/>
      <c r="P472" s="2614"/>
      <c r="Q472" s="2619">
        <f t="shared" si="228"/>
        <v>1764.761</v>
      </c>
      <c r="R472" s="2620">
        <f t="shared" si="228"/>
        <v>1832.232</v>
      </c>
      <c r="S472" s="2617"/>
      <c r="T472" s="2617"/>
      <c r="U472" s="2617"/>
      <c r="V472" s="2618">
        <f t="shared" si="229"/>
        <v>1856.6780000000001</v>
      </c>
      <c r="W472" s="2618">
        <f t="shared" si="229"/>
        <v>1930.9469999999999</v>
      </c>
      <c r="X472" s="84"/>
      <c r="Z472" s="2141"/>
    </row>
    <row r="473" spans="1:26" s="83" customFormat="1" ht="40.5" customHeight="1" x14ac:dyDescent="0.3">
      <c r="A473" s="91"/>
      <c r="B473" s="285" t="s">
        <v>867</v>
      </c>
      <c r="C473" s="118"/>
      <c r="D473" s="89"/>
      <c r="E473" s="89"/>
      <c r="F473" s="113" t="s">
        <v>593</v>
      </c>
      <c r="G473" s="119"/>
      <c r="H473" s="119"/>
      <c r="I473" s="33"/>
      <c r="J473" s="1113"/>
      <c r="K473" s="1059"/>
      <c r="L473" s="1059"/>
      <c r="M473" s="1551"/>
      <c r="N473" s="2612">
        <f>N475</f>
        <v>1785.268</v>
      </c>
      <c r="O473" s="2613"/>
      <c r="P473" s="2614"/>
      <c r="Q473" s="2615">
        <f>Q475</f>
        <v>1764.761</v>
      </c>
      <c r="R473" s="2616">
        <f>R475</f>
        <v>1832.232</v>
      </c>
      <c r="S473" s="2617"/>
      <c r="T473" s="2617"/>
      <c r="U473" s="2617"/>
      <c r="V473" s="2612">
        <f>V475</f>
        <v>1856.6780000000001</v>
      </c>
      <c r="W473" s="2612">
        <f>W475</f>
        <v>1930.9469999999999</v>
      </c>
      <c r="X473" s="84"/>
      <c r="Z473" s="2141"/>
    </row>
    <row r="474" spans="1:26" s="83" customFormat="1" ht="44.15" hidden="1" customHeight="1" x14ac:dyDescent="0.3">
      <c r="A474" s="91"/>
      <c r="B474" s="49" t="s">
        <v>1063</v>
      </c>
      <c r="C474" s="118"/>
      <c r="D474" s="89"/>
      <c r="E474" s="89"/>
      <c r="F474" s="112" t="s">
        <v>593</v>
      </c>
      <c r="G474" s="119">
        <v>100</v>
      </c>
      <c r="H474" s="119"/>
      <c r="I474" s="33"/>
      <c r="J474" s="1113"/>
      <c r="K474" s="1059"/>
      <c r="L474" s="1059"/>
      <c r="M474" s="1551"/>
      <c r="N474" s="2618">
        <f>N475</f>
        <v>1785.268</v>
      </c>
      <c r="O474" s="2621"/>
      <c r="P474" s="2622"/>
      <c r="Q474" s="2619"/>
      <c r="R474" s="2620"/>
      <c r="S474" s="2623"/>
      <c r="T474" s="2623"/>
      <c r="U474" s="2623"/>
      <c r="V474" s="2618">
        <f t="shared" ref="V474:W474" si="230">V475</f>
        <v>1856.6780000000001</v>
      </c>
      <c r="W474" s="2618">
        <f t="shared" si="230"/>
        <v>1930.9469999999999</v>
      </c>
      <c r="X474" s="84"/>
      <c r="Z474" s="2141"/>
    </row>
    <row r="475" spans="1:26" s="83" customFormat="1" ht="41.5" customHeight="1" x14ac:dyDescent="0.3">
      <c r="A475" s="91"/>
      <c r="B475" s="284" t="s">
        <v>571</v>
      </c>
      <c r="C475" s="118"/>
      <c r="D475" s="89"/>
      <c r="E475" s="89"/>
      <c r="F475" s="112" t="s">
        <v>593</v>
      </c>
      <c r="G475" s="119">
        <v>120</v>
      </c>
      <c r="H475" s="119"/>
      <c r="I475" s="33"/>
      <c r="J475" s="1113"/>
      <c r="K475" s="1059"/>
      <c r="L475" s="1059"/>
      <c r="M475" s="1551"/>
      <c r="N475" s="2618">
        <f>N476</f>
        <v>1785.268</v>
      </c>
      <c r="O475" s="2613"/>
      <c r="P475" s="2614"/>
      <c r="Q475" s="2619">
        <f t="shared" si="228"/>
        <v>1764.761</v>
      </c>
      <c r="R475" s="2620">
        <f t="shared" si="228"/>
        <v>1832.232</v>
      </c>
      <c r="S475" s="2617"/>
      <c r="T475" s="2617"/>
      <c r="U475" s="2617"/>
      <c r="V475" s="2618">
        <f t="shared" si="229"/>
        <v>1856.6780000000001</v>
      </c>
      <c r="W475" s="2618">
        <f t="shared" si="229"/>
        <v>1930.9469999999999</v>
      </c>
      <c r="X475" s="84"/>
      <c r="Z475" s="2141"/>
    </row>
    <row r="476" spans="1:26" s="83" customFormat="1" ht="41.5" customHeight="1" x14ac:dyDescent="0.3">
      <c r="A476" s="91"/>
      <c r="B476" s="285" t="s">
        <v>600</v>
      </c>
      <c r="C476" s="118"/>
      <c r="D476" s="89"/>
      <c r="E476" s="89"/>
      <c r="F476" s="112" t="s">
        <v>593</v>
      </c>
      <c r="G476" s="119">
        <v>120</v>
      </c>
      <c r="H476" s="9" t="s">
        <v>456</v>
      </c>
      <c r="I476" s="33" t="s">
        <v>488</v>
      </c>
      <c r="J476" s="1113"/>
      <c r="K476" s="1059"/>
      <c r="L476" s="1059"/>
      <c r="M476" s="1551"/>
      <c r="N476" s="2618">
        <v>1785.268</v>
      </c>
      <c r="O476" s="2613"/>
      <c r="P476" s="2614"/>
      <c r="Q476" s="2624">
        <v>1764.761</v>
      </c>
      <c r="R476" s="2625">
        <v>1832.232</v>
      </c>
      <c r="S476" s="2617"/>
      <c r="T476" s="2617"/>
      <c r="U476" s="2617"/>
      <c r="V476" s="2618">
        <v>1856.6780000000001</v>
      </c>
      <c r="W476" s="2618">
        <v>1930.9469999999999</v>
      </c>
      <c r="X476" s="84"/>
      <c r="Z476" s="2141"/>
    </row>
    <row r="477" spans="1:26" ht="41.5" customHeight="1" x14ac:dyDescent="0.3">
      <c r="A477" s="91"/>
      <c r="B477" s="1093" t="s">
        <v>156</v>
      </c>
      <c r="C477" s="118"/>
      <c r="D477" s="89"/>
      <c r="E477" s="89"/>
      <c r="F477" s="112" t="s">
        <v>155</v>
      </c>
      <c r="G477" s="118"/>
      <c r="H477" s="118"/>
      <c r="I477" s="89"/>
      <c r="J477" s="1115">
        <f>J470</f>
        <v>14363.046000000004</v>
      </c>
      <c r="K477" s="1059"/>
      <c r="L477" s="1059"/>
      <c r="M477" s="1551"/>
      <c r="N477" s="2618">
        <f>N478</f>
        <v>22324.633000000002</v>
      </c>
      <c r="O477" s="2621">
        <f>O470</f>
        <v>17791.410000000003</v>
      </c>
      <c r="P477" s="2622">
        <f>P470</f>
        <v>18871.780000000002</v>
      </c>
      <c r="Q477" s="2626">
        <f>Q482+Q484+Q488+Q492+Q541+Q544</f>
        <v>18243.485000000001</v>
      </c>
      <c r="R477" s="2627">
        <f>R482+R484+R488+R492+R541+R544</f>
        <v>18902.178</v>
      </c>
      <c r="S477" s="2617"/>
      <c r="T477" s="2617"/>
      <c r="U477" s="2617"/>
      <c r="V477" s="2618">
        <f>V478</f>
        <v>22674.859</v>
      </c>
      <c r="W477" s="2618">
        <f>W478</f>
        <v>22322.081000000002</v>
      </c>
    </row>
    <row r="478" spans="1:26" ht="28" customHeight="1" x14ac:dyDescent="0.3">
      <c r="A478" s="85"/>
      <c r="B478" s="1093" t="s">
        <v>109</v>
      </c>
      <c r="C478" s="118"/>
      <c r="D478" s="33" t="s">
        <v>69</v>
      </c>
      <c r="E478" s="33" t="s">
        <v>112</v>
      </c>
      <c r="F478" s="112" t="s">
        <v>154</v>
      </c>
      <c r="G478" s="118"/>
      <c r="H478" s="118"/>
      <c r="I478" s="33"/>
      <c r="J478" s="1060">
        <f>J481+J486+J506+J510+J517</f>
        <v>12462.203000000003</v>
      </c>
      <c r="K478" s="1058"/>
      <c r="L478" s="1059">
        <f>L481+L486</f>
        <v>12437.288999999999</v>
      </c>
      <c r="M478" s="1551">
        <f>M481+M486</f>
        <v>13307.900000000001</v>
      </c>
      <c r="N478" s="2612">
        <f>N479+N504+N508+N535+N539+N512</f>
        <v>22324.633000000002</v>
      </c>
      <c r="O478" s="2621">
        <f>O481+O486+O506+O510+O517</f>
        <v>15466.985000000001</v>
      </c>
      <c r="P478" s="2622">
        <f>P481+P486+P506+P510+P517</f>
        <v>16326.328000000001</v>
      </c>
      <c r="Q478" s="2615">
        <f>Q482+Q484+Q488+Q492+Q541+Q544</f>
        <v>18243.485000000001</v>
      </c>
      <c r="R478" s="2616">
        <f>R482+R484+R488+R492+R541+R544</f>
        <v>18902.178</v>
      </c>
      <c r="S478" s="2617"/>
      <c r="T478" s="2617"/>
      <c r="U478" s="2617"/>
      <c r="V478" s="2612">
        <f>V479+V504+V508+V535+V539+V512</f>
        <v>22674.859</v>
      </c>
      <c r="W478" s="2612">
        <f>W479+W504+W508+W535+W539+W512</f>
        <v>22322.081000000002</v>
      </c>
    </row>
    <row r="479" spans="1:26" s="83" customFormat="1" ht="29.5" customHeight="1" x14ac:dyDescent="0.3">
      <c r="A479" s="85"/>
      <c r="B479" s="1110" t="s">
        <v>153</v>
      </c>
      <c r="C479" s="118"/>
      <c r="D479" s="33"/>
      <c r="E479" s="33"/>
      <c r="F479" s="113" t="s">
        <v>152</v>
      </c>
      <c r="G479" s="118"/>
      <c r="H479" s="118"/>
      <c r="I479" s="89"/>
      <c r="J479" s="1059">
        <f>J478</f>
        <v>12462.203000000003</v>
      </c>
      <c r="K479" s="1058"/>
      <c r="L479" s="1059"/>
      <c r="M479" s="1551"/>
      <c r="N479" s="2612">
        <f>N482+N484+N488+N492+N494+N499+N500+N497</f>
        <v>21491.542659999999</v>
      </c>
      <c r="O479" s="2613">
        <f>O478</f>
        <v>15466.985000000001</v>
      </c>
      <c r="P479" s="2614">
        <f>P478</f>
        <v>16326.328000000001</v>
      </c>
      <c r="Q479" s="2615">
        <f>Q482+Q484+Q488+Q492</f>
        <v>18236.385000000002</v>
      </c>
      <c r="R479" s="2616">
        <f>R482+R484+R488+R492</f>
        <v>18895.078000000001</v>
      </c>
      <c r="S479" s="2617"/>
      <c r="T479" s="2617"/>
      <c r="U479" s="2617"/>
      <c r="V479" s="2612">
        <f>V482+V484+V488+V492+V494+V499+V500</f>
        <v>22667.819</v>
      </c>
      <c r="W479" s="2612">
        <f>W482+W484+W488+W492+W494+W499+W500</f>
        <v>22315.041000000001</v>
      </c>
      <c r="X479" s="84"/>
      <c r="Z479" s="2141"/>
    </row>
    <row r="480" spans="1:26" s="83" customFormat="1" ht="28.9" hidden="1" customHeight="1" x14ac:dyDescent="0.3">
      <c r="A480" s="85"/>
      <c r="B480" s="49" t="s">
        <v>1063</v>
      </c>
      <c r="C480" s="118"/>
      <c r="D480" s="33"/>
      <c r="E480" s="33"/>
      <c r="F480" s="112" t="s">
        <v>152</v>
      </c>
      <c r="G480" s="119">
        <v>100</v>
      </c>
      <c r="H480" s="118"/>
      <c r="I480" s="89"/>
      <c r="J480" s="1059"/>
      <c r="K480" s="1058"/>
      <c r="L480" s="1059"/>
      <c r="M480" s="1551"/>
      <c r="N480" s="2612">
        <f>N481</f>
        <v>15369.196</v>
      </c>
      <c r="O480" s="2613"/>
      <c r="P480" s="2614"/>
      <c r="Q480" s="2615"/>
      <c r="R480" s="2616"/>
      <c r="S480" s="2617"/>
      <c r="T480" s="2617"/>
      <c r="U480" s="2617"/>
      <c r="V480" s="2612">
        <f t="shared" ref="V480:W480" si="231">V481</f>
        <v>15951.645</v>
      </c>
      <c r="W480" s="2612">
        <f t="shared" si="231"/>
        <v>16576.511000000002</v>
      </c>
      <c r="X480" s="84"/>
      <c r="Z480" s="2141"/>
    </row>
    <row r="481" spans="1:26" s="83" customFormat="1" ht="43.15" customHeight="1" x14ac:dyDescent="0.3">
      <c r="A481" s="85"/>
      <c r="B481" s="2003" t="s">
        <v>7</v>
      </c>
      <c r="C481" s="118"/>
      <c r="D481" s="33"/>
      <c r="E481" s="33"/>
      <c r="F481" s="112" t="s">
        <v>152</v>
      </c>
      <c r="G481" s="119">
        <v>120</v>
      </c>
      <c r="H481" s="119"/>
      <c r="I481" s="89"/>
      <c r="J481" s="1060">
        <f>J482+J484</f>
        <v>8197.5570000000007</v>
      </c>
      <c r="K481" s="1058"/>
      <c r="L481" s="1059">
        <f>L482+L484</f>
        <v>9181.8719999999994</v>
      </c>
      <c r="M481" s="1551">
        <f>M482+M484</f>
        <v>9824.6040000000012</v>
      </c>
      <c r="N481" s="2618">
        <f>N482+N484</f>
        <v>15369.196</v>
      </c>
      <c r="O481" s="2621">
        <f>O482+O484</f>
        <v>9671.2350000000006</v>
      </c>
      <c r="P481" s="2622">
        <f>P482+P484</f>
        <v>10737.36</v>
      </c>
      <c r="Q481" s="2619">
        <f>Q484+Q483+Q482+Q490</f>
        <v>15286.343000000001</v>
      </c>
      <c r="R481" s="2620">
        <f>R484+R483+R482+R490</f>
        <v>15897.791999999999</v>
      </c>
      <c r="S481" s="2617"/>
      <c r="T481" s="2617"/>
      <c r="U481" s="2617"/>
      <c r="V481" s="2618">
        <f>V482+V484</f>
        <v>15951.645</v>
      </c>
      <c r="W481" s="2618">
        <f>W482+W484</f>
        <v>16576.511000000002</v>
      </c>
      <c r="X481" s="84"/>
      <c r="Z481" s="2141"/>
    </row>
    <row r="482" spans="1:26" s="83" customFormat="1" ht="27.65" customHeight="1" x14ac:dyDescent="0.3">
      <c r="A482" s="85"/>
      <c r="B482" s="336" t="s">
        <v>114</v>
      </c>
      <c r="C482" s="118"/>
      <c r="D482" s="33" t="s">
        <v>69</v>
      </c>
      <c r="E482" s="33" t="s">
        <v>112</v>
      </c>
      <c r="F482" s="112" t="s">
        <v>152</v>
      </c>
      <c r="G482" s="119">
        <v>120</v>
      </c>
      <c r="H482" s="9" t="s">
        <v>456</v>
      </c>
      <c r="I482" s="33" t="s">
        <v>495</v>
      </c>
      <c r="J482" s="1060">
        <f>807.519+241.455</f>
        <v>1048.9739999999999</v>
      </c>
      <c r="K482" s="1059"/>
      <c r="L482" s="1061">
        <v>1378.2239999999999</v>
      </c>
      <c r="M482" s="1565">
        <v>1474.6990000000001</v>
      </c>
      <c r="N482" s="2510">
        <v>987.178</v>
      </c>
      <c r="O482" s="2511">
        <v>672.428</v>
      </c>
      <c r="P482" s="2512">
        <v>739.67200000000003</v>
      </c>
      <c r="Q482" s="2513">
        <v>994.03099999999995</v>
      </c>
      <c r="R482" s="2514">
        <v>1033.7919999999999</v>
      </c>
      <c r="S482" s="2546"/>
      <c r="T482" s="2546"/>
      <c r="U482" s="2546"/>
      <c r="V482" s="2510">
        <v>1024.0250000000001</v>
      </c>
      <c r="W482" s="2510">
        <v>1062.347</v>
      </c>
      <c r="X482" s="84"/>
      <c r="Z482" s="2141"/>
    </row>
    <row r="483" spans="1:26" s="83" customFormat="1" ht="26.25" hidden="1" customHeight="1" x14ac:dyDescent="0.3">
      <c r="A483" s="85"/>
      <c r="B483" s="1117" t="s">
        <v>589</v>
      </c>
      <c r="C483" s="118"/>
      <c r="D483" s="33"/>
      <c r="E483" s="33"/>
      <c r="F483" s="112" t="s">
        <v>113</v>
      </c>
      <c r="G483" s="119">
        <v>120</v>
      </c>
      <c r="H483" s="9" t="s">
        <v>456</v>
      </c>
      <c r="I483" s="33" t="s">
        <v>495</v>
      </c>
      <c r="J483" s="1060"/>
      <c r="K483" s="1058"/>
      <c r="L483" s="1062"/>
      <c r="M483" s="1556"/>
      <c r="N483" s="2510">
        <v>0</v>
      </c>
      <c r="O483" s="2511"/>
      <c r="P483" s="2512"/>
      <c r="Q483" s="2513">
        <v>0</v>
      </c>
      <c r="R483" s="2514">
        <v>0</v>
      </c>
      <c r="S483" s="2546"/>
      <c r="T483" s="2546"/>
      <c r="U483" s="2546"/>
      <c r="V483" s="2510">
        <v>0</v>
      </c>
      <c r="W483" s="2510">
        <v>0</v>
      </c>
      <c r="X483" s="84"/>
      <c r="Z483" s="2141"/>
    </row>
    <row r="484" spans="1:26" s="83" customFormat="1" ht="27" customHeight="1" x14ac:dyDescent="0.3">
      <c r="A484" s="32"/>
      <c r="B484" s="2066" t="s">
        <v>105</v>
      </c>
      <c r="C484" s="88"/>
      <c r="D484" s="88" t="s">
        <v>69</v>
      </c>
      <c r="E484" s="88" t="s">
        <v>103</v>
      </c>
      <c r="F484" s="112" t="s">
        <v>152</v>
      </c>
      <c r="G484" s="88">
        <v>120</v>
      </c>
      <c r="H484" s="9" t="s">
        <v>456</v>
      </c>
      <c r="I484" s="33" t="s">
        <v>452</v>
      </c>
      <c r="J484" s="1061">
        <f>5450.283+1.2+1697.1</f>
        <v>7148.5830000000005</v>
      </c>
      <c r="K484" s="1061"/>
      <c r="L484" s="1061">
        <v>7803.6480000000001</v>
      </c>
      <c r="M484" s="1566">
        <v>8349.9050000000007</v>
      </c>
      <c r="N484" s="2541">
        <v>14382.018</v>
      </c>
      <c r="O484" s="2542">
        <v>8998.8070000000007</v>
      </c>
      <c r="P484" s="2543">
        <v>9997.6880000000001</v>
      </c>
      <c r="Q484" s="2544">
        <v>14292.312</v>
      </c>
      <c r="R484" s="2545">
        <v>14864</v>
      </c>
      <c r="S484" s="2515"/>
      <c r="T484" s="2515"/>
      <c r="U484" s="2515"/>
      <c r="V484" s="2541">
        <v>14927.62</v>
      </c>
      <c r="W484" s="2541">
        <v>15514.164000000001</v>
      </c>
      <c r="X484" s="84"/>
      <c r="Z484" s="2141"/>
    </row>
    <row r="485" spans="1:26" ht="39" customHeight="1" x14ac:dyDescent="0.25">
      <c r="A485" s="32"/>
      <c r="B485" s="724" t="s">
        <v>948</v>
      </c>
      <c r="C485" s="88"/>
      <c r="D485" s="88"/>
      <c r="E485" s="88"/>
      <c r="F485" s="112" t="s">
        <v>152</v>
      </c>
      <c r="G485" s="88">
        <v>200</v>
      </c>
      <c r="H485" s="9"/>
      <c r="I485" s="33"/>
      <c r="J485" s="1061"/>
      <c r="K485" s="1061"/>
      <c r="L485" s="1061"/>
      <c r="M485" s="1566"/>
      <c r="N485" s="2541">
        <f>N486</f>
        <v>6111.3466600000002</v>
      </c>
      <c r="O485" s="2542"/>
      <c r="P485" s="2543"/>
      <c r="Q485" s="2544"/>
      <c r="R485" s="2545"/>
      <c r="S485" s="2515"/>
      <c r="T485" s="2515"/>
      <c r="U485" s="2515"/>
      <c r="V485" s="2541">
        <f t="shared" ref="V485:W485" si="232">V486</f>
        <v>6705.174</v>
      </c>
      <c r="W485" s="2541">
        <f t="shared" si="232"/>
        <v>5727.5300000000007</v>
      </c>
    </row>
    <row r="486" spans="1:26" ht="39" hidden="1" customHeight="1" x14ac:dyDescent="0.3">
      <c r="A486" s="85"/>
      <c r="B486" s="1993" t="s">
        <v>4</v>
      </c>
      <c r="C486" s="118"/>
      <c r="D486" s="33" t="s">
        <v>69</v>
      </c>
      <c r="E486" s="33" t="s">
        <v>112</v>
      </c>
      <c r="F486" s="112" t="s">
        <v>152</v>
      </c>
      <c r="G486" s="119">
        <v>240</v>
      </c>
      <c r="H486" s="119"/>
      <c r="I486" s="89"/>
      <c r="J486" s="1060">
        <f>J488+J492</f>
        <v>3612.3460000000005</v>
      </c>
      <c r="K486" s="1058"/>
      <c r="L486" s="1058">
        <f t="shared" ref="L486:R486" si="233">L488+L492</f>
        <v>3255.4169999999999</v>
      </c>
      <c r="M486" s="1555">
        <f t="shared" si="233"/>
        <v>3483.2959999999998</v>
      </c>
      <c r="N486" s="2510">
        <f t="shared" si="233"/>
        <v>6111.3466600000002</v>
      </c>
      <c r="O486" s="2511">
        <f t="shared" si="233"/>
        <v>5795.75</v>
      </c>
      <c r="P486" s="2512">
        <f t="shared" si="233"/>
        <v>5588.9679999999998</v>
      </c>
      <c r="Q486" s="2513">
        <f t="shared" si="233"/>
        <v>2950.0419999999999</v>
      </c>
      <c r="R486" s="2514">
        <f t="shared" si="233"/>
        <v>2997.2860000000001</v>
      </c>
      <c r="S486" s="2546"/>
      <c r="T486" s="2546"/>
      <c r="U486" s="2546"/>
      <c r="V486" s="2510">
        <f t="shared" ref="V486:W486" si="234">V488+V492</f>
        <v>6705.174</v>
      </c>
      <c r="W486" s="2510">
        <f t="shared" si="234"/>
        <v>5727.5300000000007</v>
      </c>
    </row>
    <row r="487" spans="1:26" ht="39" hidden="1" customHeight="1" x14ac:dyDescent="0.3">
      <c r="A487" s="85"/>
      <c r="B487" s="1993" t="s">
        <v>4</v>
      </c>
      <c r="C487" s="118"/>
      <c r="D487" s="33"/>
      <c r="E487" s="33"/>
      <c r="F487" s="112" t="s">
        <v>152</v>
      </c>
      <c r="G487" s="119">
        <v>240</v>
      </c>
      <c r="H487" s="119"/>
      <c r="I487" s="33"/>
      <c r="J487" s="1060">
        <f>J488</f>
        <v>1338.8210000000001</v>
      </c>
      <c r="K487" s="1058"/>
      <c r="L487" s="1058"/>
      <c r="M487" s="1555"/>
      <c r="N487" s="2510">
        <f>N488</f>
        <v>691.93799999999999</v>
      </c>
      <c r="O487" s="2511">
        <f>O488</f>
        <v>1199.08</v>
      </c>
      <c r="P487" s="2512">
        <f>P488</f>
        <v>1171.8689999999999</v>
      </c>
      <c r="Q487" s="2513">
        <f>Q488</f>
        <v>964.28800000000001</v>
      </c>
      <c r="R487" s="2514">
        <f>R488</f>
        <v>1005.98</v>
      </c>
      <c r="S487" s="2546"/>
      <c r="T487" s="2546"/>
      <c r="U487" s="2546"/>
      <c r="V487" s="2510">
        <f>V488</f>
        <v>1002.475</v>
      </c>
      <c r="W487" s="2510">
        <f>W488</f>
        <v>1066.6400000000001</v>
      </c>
    </row>
    <row r="488" spans="1:26" ht="41.5" customHeight="1" x14ac:dyDescent="0.3">
      <c r="A488" s="85"/>
      <c r="B488" s="336" t="s">
        <v>114</v>
      </c>
      <c r="C488" s="118"/>
      <c r="D488" s="33"/>
      <c r="E488" s="33"/>
      <c r="F488" s="112" t="s">
        <v>152</v>
      </c>
      <c r="G488" s="119">
        <v>240</v>
      </c>
      <c r="H488" s="9" t="s">
        <v>456</v>
      </c>
      <c r="I488" s="33" t="s">
        <v>495</v>
      </c>
      <c r="J488" s="1060">
        <f>2387.795-1048.974</f>
        <v>1338.8210000000001</v>
      </c>
      <c r="K488" s="1058"/>
      <c r="L488" s="1062">
        <v>906.91</v>
      </c>
      <c r="M488" s="1556">
        <v>970.39300000000003</v>
      </c>
      <c r="N488" s="2510">
        <f>941.938-250</f>
        <v>691.93799999999999</v>
      </c>
      <c r="O488" s="2511">
        <v>1199.08</v>
      </c>
      <c r="P488" s="2512">
        <v>1171.8689999999999</v>
      </c>
      <c r="Q488" s="2513">
        <v>964.28800000000001</v>
      </c>
      <c r="R488" s="2514">
        <v>1005.98</v>
      </c>
      <c r="S488" s="2546"/>
      <c r="T488" s="2546"/>
      <c r="U488" s="2546"/>
      <c r="V488" s="2510">
        <v>1002.475</v>
      </c>
      <c r="W488" s="2510">
        <v>1066.6400000000001</v>
      </c>
    </row>
    <row r="489" spans="1:26" ht="19" hidden="1" customHeight="1" x14ac:dyDescent="0.3">
      <c r="A489" s="85"/>
      <c r="B489" s="2421" t="s">
        <v>94</v>
      </c>
      <c r="C489" s="118"/>
      <c r="D489" s="33"/>
      <c r="E489" s="33"/>
      <c r="F489" s="112" t="s">
        <v>152</v>
      </c>
      <c r="G489" s="119">
        <v>850</v>
      </c>
      <c r="H489" s="9" t="s">
        <v>456</v>
      </c>
      <c r="I489" s="33" t="s">
        <v>495</v>
      </c>
      <c r="J489" s="1060"/>
      <c r="K489" s="1058"/>
      <c r="L489" s="1062"/>
      <c r="M489" s="1556"/>
      <c r="N489" s="2510"/>
      <c r="O489" s="2511"/>
      <c r="P489" s="2512"/>
      <c r="Q489" s="2513"/>
      <c r="R489" s="2514"/>
      <c r="S489" s="2546"/>
      <c r="T489" s="2546"/>
      <c r="U489" s="2546"/>
      <c r="V489" s="2510"/>
      <c r="W489" s="2510"/>
    </row>
    <row r="490" spans="1:26" ht="39" hidden="1" customHeight="1" x14ac:dyDescent="0.3">
      <c r="A490" s="85"/>
      <c r="B490" s="336" t="s">
        <v>571</v>
      </c>
      <c r="C490" s="118"/>
      <c r="D490" s="33"/>
      <c r="E490" s="33"/>
      <c r="F490" s="112" t="s">
        <v>113</v>
      </c>
      <c r="G490" s="119">
        <v>120</v>
      </c>
      <c r="H490" s="9" t="s">
        <v>456</v>
      </c>
      <c r="I490" s="33" t="s">
        <v>495</v>
      </c>
      <c r="J490" s="1060"/>
      <c r="K490" s="1058"/>
      <c r="L490" s="1062"/>
      <c r="M490" s="1556"/>
      <c r="N490" s="2510"/>
      <c r="O490" s="2511"/>
      <c r="P490" s="2512"/>
      <c r="Q490" s="2513">
        <v>0</v>
      </c>
      <c r="R490" s="2514">
        <v>0</v>
      </c>
      <c r="S490" s="2546"/>
      <c r="T490" s="2546"/>
      <c r="U490" s="2546"/>
      <c r="V490" s="2510"/>
      <c r="W490" s="2510"/>
    </row>
    <row r="491" spans="1:26" ht="38.5" hidden="1" customHeight="1" x14ac:dyDescent="0.3">
      <c r="A491" s="85"/>
      <c r="B491" s="1993" t="s">
        <v>4</v>
      </c>
      <c r="C491" s="118"/>
      <c r="D491" s="33"/>
      <c r="E491" s="33"/>
      <c r="F491" s="112" t="s">
        <v>152</v>
      </c>
      <c r="G491" s="88">
        <v>240</v>
      </c>
      <c r="H491" s="88"/>
      <c r="I491" s="88"/>
      <c r="J491" s="1061">
        <f>J492</f>
        <v>2273.5250000000001</v>
      </c>
      <c r="K491" s="1058"/>
      <c r="L491" s="1062"/>
      <c r="M491" s="1556"/>
      <c r="N491" s="2541"/>
      <c r="O491" s="2542">
        <f>O492</f>
        <v>4596.67</v>
      </c>
      <c r="P491" s="2543">
        <f>P492</f>
        <v>4417.0990000000002</v>
      </c>
      <c r="Q491" s="2544">
        <f>Q492</f>
        <v>1985.7539999999999</v>
      </c>
      <c r="R491" s="2545">
        <f>R492</f>
        <v>1991.306</v>
      </c>
      <c r="S491" s="2546"/>
      <c r="T491" s="2546"/>
      <c r="U491" s="2546"/>
      <c r="V491" s="2541"/>
      <c r="W491" s="2541"/>
    </row>
    <row r="492" spans="1:26" ht="21" customHeight="1" x14ac:dyDescent="0.3">
      <c r="A492" s="32"/>
      <c r="B492" s="2012" t="s">
        <v>105</v>
      </c>
      <c r="C492" s="88"/>
      <c r="D492" s="88" t="s">
        <v>69</v>
      </c>
      <c r="E492" s="88" t="s">
        <v>103</v>
      </c>
      <c r="F492" s="112" t="s">
        <v>152</v>
      </c>
      <c r="G492" s="88">
        <v>240</v>
      </c>
      <c r="H492" s="9" t="s">
        <v>456</v>
      </c>
      <c r="I492" s="33" t="s">
        <v>452</v>
      </c>
      <c r="J492" s="1061">
        <v>2273.5250000000001</v>
      </c>
      <c r="K492" s="1061"/>
      <c r="L492" s="1118">
        <v>2348.5070000000001</v>
      </c>
      <c r="M492" s="1567">
        <v>2512.9029999999998</v>
      </c>
      <c r="N492" s="2541">
        <f>5417.617+21-19.20834</f>
        <v>5419.4086600000001</v>
      </c>
      <c r="O492" s="2542">
        <v>4596.67</v>
      </c>
      <c r="P492" s="2543">
        <v>4417.0990000000002</v>
      </c>
      <c r="Q492" s="2544">
        <v>1985.7539999999999</v>
      </c>
      <c r="R492" s="2545">
        <v>1991.306</v>
      </c>
      <c r="S492" s="2515"/>
      <c r="T492" s="2515"/>
      <c r="U492" s="2515"/>
      <c r="V492" s="2541">
        <v>5702.6989999999996</v>
      </c>
      <c r="W492" s="2541">
        <v>4660.8900000000003</v>
      </c>
    </row>
    <row r="493" spans="1:26" ht="21" hidden="1" customHeight="1" x14ac:dyDescent="0.25">
      <c r="A493" s="32"/>
      <c r="B493" s="2067" t="s">
        <v>97</v>
      </c>
      <c r="C493" s="88"/>
      <c r="D493" s="88"/>
      <c r="E493" s="88"/>
      <c r="F493" s="112" t="s">
        <v>152</v>
      </c>
      <c r="G493" s="119">
        <v>830</v>
      </c>
      <c r="H493" s="9"/>
      <c r="I493" s="33"/>
      <c r="J493" s="1061"/>
      <c r="K493" s="1061"/>
      <c r="L493" s="1118"/>
      <c r="M493" s="1567"/>
      <c r="N493" s="2541">
        <f>N494</f>
        <v>0</v>
      </c>
      <c r="O493" s="2542"/>
      <c r="P493" s="2543"/>
      <c r="Q493" s="2544"/>
      <c r="R493" s="2545"/>
      <c r="S493" s="2515"/>
      <c r="T493" s="2515"/>
      <c r="U493" s="2515"/>
      <c r="V493" s="2541">
        <f>V494</f>
        <v>0</v>
      </c>
      <c r="W493" s="2541">
        <f>W494</f>
        <v>0</v>
      </c>
    </row>
    <row r="494" spans="1:26" ht="21" hidden="1" customHeight="1" x14ac:dyDescent="0.3">
      <c r="A494" s="32"/>
      <c r="B494" s="336" t="s">
        <v>114</v>
      </c>
      <c r="C494" s="88"/>
      <c r="D494" s="88"/>
      <c r="E494" s="88"/>
      <c r="F494" s="112" t="s">
        <v>152</v>
      </c>
      <c r="G494" s="119">
        <v>830</v>
      </c>
      <c r="H494" s="9" t="s">
        <v>456</v>
      </c>
      <c r="I494" s="33" t="s">
        <v>495</v>
      </c>
      <c r="J494" s="1061"/>
      <c r="K494" s="1061"/>
      <c r="L494" s="1118"/>
      <c r="M494" s="1567"/>
      <c r="N494" s="2541"/>
      <c r="O494" s="2542"/>
      <c r="P494" s="2543"/>
      <c r="Q494" s="2544"/>
      <c r="R494" s="2545"/>
      <c r="S494" s="2515"/>
      <c r="T494" s="2515"/>
      <c r="U494" s="2515"/>
      <c r="V494" s="2541"/>
      <c r="W494" s="2541"/>
    </row>
    <row r="495" spans="1:26" ht="13" x14ac:dyDescent="0.25">
      <c r="A495" s="32"/>
      <c r="B495" s="2152" t="s">
        <v>1065</v>
      </c>
      <c r="C495" s="88"/>
      <c r="D495" s="88"/>
      <c r="E495" s="88"/>
      <c r="F495" s="112" t="s">
        <v>152</v>
      </c>
      <c r="G495" s="119">
        <v>800</v>
      </c>
      <c r="H495" s="9"/>
      <c r="I495" s="33"/>
      <c r="J495" s="1061"/>
      <c r="K495" s="1061"/>
      <c r="L495" s="1118"/>
      <c r="M495" s="1567"/>
      <c r="N495" s="2541">
        <f>N498+N496</f>
        <v>11</v>
      </c>
      <c r="O495" s="2542"/>
      <c r="P495" s="2543"/>
      <c r="Q495" s="2544"/>
      <c r="R495" s="2545"/>
      <c r="S495" s="2515"/>
      <c r="T495" s="2515"/>
      <c r="U495" s="2515"/>
      <c r="V495" s="2541">
        <f t="shared" ref="V495:W495" si="235">V498</f>
        <v>11</v>
      </c>
      <c r="W495" s="2541">
        <f t="shared" si="235"/>
        <v>11</v>
      </c>
    </row>
    <row r="496" spans="1:26" ht="13" x14ac:dyDescent="0.25">
      <c r="A496" s="32"/>
      <c r="B496" s="2152" t="s">
        <v>1003</v>
      </c>
      <c r="C496" s="88"/>
      <c r="D496" s="88"/>
      <c r="E496" s="88"/>
      <c r="F496" s="112" t="s">
        <v>152</v>
      </c>
      <c r="G496" s="119">
        <v>830</v>
      </c>
      <c r="H496" s="9"/>
      <c r="I496" s="33"/>
      <c r="J496" s="1061"/>
      <c r="K496" s="1061"/>
      <c r="L496" s="1118"/>
      <c r="M496" s="1567"/>
      <c r="N496" s="2541">
        <f>N497</f>
        <v>0.5</v>
      </c>
      <c r="O496" s="2542"/>
      <c r="P496" s="2543"/>
      <c r="Q496" s="2544"/>
      <c r="R496" s="2545"/>
      <c r="S496" s="2515"/>
      <c r="T496" s="2515"/>
      <c r="U496" s="2515"/>
      <c r="V496" s="2521">
        <f>V497</f>
        <v>0</v>
      </c>
      <c r="W496" s="2521">
        <f>W497</f>
        <v>0</v>
      </c>
    </row>
    <row r="497" spans="1:256" ht="39" x14ac:dyDescent="0.25">
      <c r="A497" s="32"/>
      <c r="B497" s="2152" t="s">
        <v>114</v>
      </c>
      <c r="C497" s="88"/>
      <c r="D497" s="88"/>
      <c r="E497" s="88"/>
      <c r="F497" s="112" t="s">
        <v>152</v>
      </c>
      <c r="G497" s="119">
        <v>830</v>
      </c>
      <c r="H497" s="9" t="s">
        <v>456</v>
      </c>
      <c r="I497" s="33" t="s">
        <v>495</v>
      </c>
      <c r="J497" s="1061"/>
      <c r="K497" s="1061"/>
      <c r="L497" s="1118"/>
      <c r="M497" s="1567"/>
      <c r="N497" s="2541">
        <v>0.5</v>
      </c>
      <c r="O497" s="2542"/>
      <c r="P497" s="2543"/>
      <c r="Q497" s="2544"/>
      <c r="R497" s="2545"/>
      <c r="S497" s="2515"/>
      <c r="T497" s="2515"/>
      <c r="U497" s="2515"/>
      <c r="V497" s="2521">
        <v>0</v>
      </c>
      <c r="W497" s="2521">
        <v>0</v>
      </c>
    </row>
    <row r="498" spans="1:256" ht="13" x14ac:dyDescent="0.25">
      <c r="A498" s="32"/>
      <c r="B498" s="2421" t="s">
        <v>94</v>
      </c>
      <c r="C498" s="88"/>
      <c r="D498" s="88"/>
      <c r="E498" s="88"/>
      <c r="F498" s="112" t="s">
        <v>152</v>
      </c>
      <c r="G498" s="119">
        <v>850</v>
      </c>
      <c r="H498" s="9"/>
      <c r="I498" s="33"/>
      <c r="J498" s="1061"/>
      <c r="K498" s="1061"/>
      <c r="L498" s="1118"/>
      <c r="M498" s="1567"/>
      <c r="N498" s="2541">
        <f>N499+N500</f>
        <v>10.5</v>
      </c>
      <c r="O498" s="2542"/>
      <c r="P498" s="2543"/>
      <c r="Q498" s="2544">
        <f>Q499+Q500</f>
        <v>0</v>
      </c>
      <c r="R498" s="2545">
        <f>R499+R500</f>
        <v>0</v>
      </c>
      <c r="S498" s="2515"/>
      <c r="T498" s="2515"/>
      <c r="U498" s="2515"/>
      <c r="V498" s="2541">
        <f>V499+V500</f>
        <v>11</v>
      </c>
      <c r="W498" s="2541">
        <f>W499+W500</f>
        <v>11</v>
      </c>
    </row>
    <row r="499" spans="1:256" ht="39" x14ac:dyDescent="0.3">
      <c r="A499" s="32"/>
      <c r="B499" s="336" t="s">
        <v>114</v>
      </c>
      <c r="C499" s="118"/>
      <c r="D499" s="33"/>
      <c r="E499" s="33"/>
      <c r="F499" s="112" t="s">
        <v>152</v>
      </c>
      <c r="G499" s="119">
        <v>850</v>
      </c>
      <c r="H499" s="9" t="s">
        <v>456</v>
      </c>
      <c r="I499" s="33" t="s">
        <v>495</v>
      </c>
      <c r="J499" s="1060"/>
      <c r="K499" s="1058"/>
      <c r="L499" s="1062"/>
      <c r="M499" s="1556"/>
      <c r="N499" s="2510">
        <v>0.5</v>
      </c>
      <c r="O499" s="2542"/>
      <c r="P499" s="2543"/>
      <c r="Q499" s="2513"/>
      <c r="R499" s="2514"/>
      <c r="S499" s="2515"/>
      <c r="T499" s="2515"/>
      <c r="U499" s="2515"/>
      <c r="V499" s="2510">
        <v>1</v>
      </c>
      <c r="W499" s="2510">
        <v>1</v>
      </c>
    </row>
    <row r="500" spans="1:256" s="2" customFormat="1" ht="39" x14ac:dyDescent="0.3">
      <c r="A500" s="32"/>
      <c r="B500" s="2012" t="s">
        <v>105</v>
      </c>
      <c r="C500" s="88"/>
      <c r="D500" s="88"/>
      <c r="E500" s="88"/>
      <c r="F500" s="112" t="s">
        <v>152</v>
      </c>
      <c r="G500" s="88">
        <v>850</v>
      </c>
      <c r="H500" s="9" t="s">
        <v>456</v>
      </c>
      <c r="I500" s="33" t="s">
        <v>452</v>
      </c>
      <c r="J500" s="1061"/>
      <c r="K500" s="1061"/>
      <c r="L500" s="1061"/>
      <c r="M500" s="1125"/>
      <c r="N500" s="2541">
        <v>10</v>
      </c>
      <c r="O500" s="2542"/>
      <c r="P500" s="2543"/>
      <c r="Q500" s="2544"/>
      <c r="R500" s="2545"/>
      <c r="S500" s="2515"/>
      <c r="T500" s="2515"/>
      <c r="U500" s="2515"/>
      <c r="V500" s="2541">
        <v>10</v>
      </c>
      <c r="W500" s="2541">
        <v>10</v>
      </c>
      <c r="Y500" s="1"/>
      <c r="Z500" s="237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</row>
    <row r="501" spans="1:256" s="2" customFormat="1" ht="13" hidden="1" x14ac:dyDescent="0.3">
      <c r="A501" s="32"/>
      <c r="B501" s="2003" t="s">
        <v>16</v>
      </c>
      <c r="C501" s="88"/>
      <c r="D501" s="88" t="s">
        <v>69</v>
      </c>
      <c r="E501" s="88" t="s">
        <v>103</v>
      </c>
      <c r="F501" s="88">
        <v>9100004</v>
      </c>
      <c r="G501" s="88">
        <v>240</v>
      </c>
      <c r="H501" s="88"/>
      <c r="I501" s="88" t="s">
        <v>103</v>
      </c>
      <c r="J501" s="1061">
        <v>2215.5729999999999</v>
      </c>
      <c r="K501" s="1061"/>
      <c r="L501" s="1061">
        <f>J501*106%</f>
        <v>2348.50738</v>
      </c>
      <c r="M501" s="1125">
        <f>L501*107%</f>
        <v>2512.9028966000001</v>
      </c>
      <c r="N501" s="2541">
        <v>2215.5729999999999</v>
      </c>
      <c r="O501" s="2542">
        <v>2215.5729999999999</v>
      </c>
      <c r="P501" s="2543">
        <v>2215.5729999999999</v>
      </c>
      <c r="Q501" s="2544">
        <v>2215.5729999999999</v>
      </c>
      <c r="R501" s="2545">
        <v>2215.5729999999999</v>
      </c>
      <c r="S501" s="2515"/>
      <c r="T501" s="2515"/>
      <c r="U501" s="2515"/>
      <c r="V501" s="2541">
        <v>2215.5729999999999</v>
      </c>
      <c r="W501" s="2541">
        <v>2215.5729999999999</v>
      </c>
      <c r="Y501" s="1"/>
      <c r="Z501" s="237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</row>
    <row r="502" spans="1:256" s="2" customFormat="1" ht="13" hidden="1" x14ac:dyDescent="0.3">
      <c r="A502" s="32"/>
      <c r="B502" s="2003"/>
      <c r="C502" s="88"/>
      <c r="D502" s="88"/>
      <c r="E502" s="88"/>
      <c r="F502" s="88"/>
      <c r="G502" s="88"/>
      <c r="H502" s="88"/>
      <c r="I502" s="88"/>
      <c r="J502" s="1061"/>
      <c r="K502" s="1061"/>
      <c r="L502" s="1061"/>
      <c r="M502" s="1125"/>
      <c r="N502" s="2541"/>
      <c r="O502" s="2542"/>
      <c r="P502" s="2543"/>
      <c r="Q502" s="2544"/>
      <c r="R502" s="2545"/>
      <c r="S502" s="2515"/>
      <c r="T502" s="2515"/>
      <c r="U502" s="2515"/>
      <c r="V502" s="2541"/>
      <c r="W502" s="2541"/>
      <c r="Y502" s="1"/>
      <c r="Z502" s="237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</row>
    <row r="503" spans="1:256" s="2" customFormat="1" ht="13" hidden="1" x14ac:dyDescent="0.3">
      <c r="A503" s="32"/>
      <c r="B503" s="2003"/>
      <c r="C503" s="88"/>
      <c r="D503" s="88"/>
      <c r="E503" s="88"/>
      <c r="F503" s="88">
        <v>9100004</v>
      </c>
      <c r="G503" s="88"/>
      <c r="H503" s="88"/>
      <c r="I503" s="88" t="s">
        <v>103</v>
      </c>
      <c r="J503" s="1061" t="e">
        <f>#REF!+J492</f>
        <v>#REF!</v>
      </c>
      <c r="K503" s="1061"/>
      <c r="L503" s="1061" t="e">
        <f>#REF!+L492</f>
        <v>#REF!</v>
      </c>
      <c r="M503" s="1125" t="e">
        <f>#REF!+M492</f>
        <v>#REF!</v>
      </c>
      <c r="N503" s="2541" t="e">
        <f>#REF!+N492</f>
        <v>#REF!</v>
      </c>
      <c r="O503" s="2542" t="e">
        <f>#REF!+O492</f>
        <v>#REF!</v>
      </c>
      <c r="P503" s="2543" t="e">
        <f>#REF!+P492</f>
        <v>#REF!</v>
      </c>
      <c r="Q503" s="2544" t="e">
        <f>#REF!+Q492</f>
        <v>#REF!</v>
      </c>
      <c r="R503" s="2545" t="e">
        <f>#REF!+R492</f>
        <v>#REF!</v>
      </c>
      <c r="S503" s="2515"/>
      <c r="T503" s="2515"/>
      <c r="U503" s="2515"/>
      <c r="V503" s="2541" t="e">
        <f>#REF!+V492</f>
        <v>#REF!</v>
      </c>
      <c r="W503" s="2541" t="e">
        <f>#REF!+W492</f>
        <v>#REF!</v>
      </c>
      <c r="Y503" s="1"/>
      <c r="Z503" s="237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</row>
    <row r="504" spans="1:256" s="2" customFormat="1" ht="39" x14ac:dyDescent="0.3">
      <c r="A504" s="32"/>
      <c r="B504" s="336" t="s">
        <v>151</v>
      </c>
      <c r="C504" s="88"/>
      <c r="D504" s="88"/>
      <c r="E504" s="88"/>
      <c r="F504" s="113" t="s">
        <v>623</v>
      </c>
      <c r="G504" s="94"/>
      <c r="H504" s="94"/>
      <c r="I504" s="94"/>
      <c r="J504" s="1064">
        <f>J506</f>
        <v>179.7</v>
      </c>
      <c r="K504" s="1064"/>
      <c r="L504" s="1064"/>
      <c r="M504" s="1552"/>
      <c r="N504" s="2516">
        <f>N506</f>
        <v>57.192</v>
      </c>
      <c r="O504" s="2557">
        <f>O506</f>
        <v>0</v>
      </c>
      <c r="P504" s="2558">
        <f>P506</f>
        <v>0</v>
      </c>
      <c r="Q504" s="2559">
        <f>Q506</f>
        <v>0</v>
      </c>
      <c r="R504" s="2560">
        <f>R506</f>
        <v>0</v>
      </c>
      <c r="S504" s="2515"/>
      <c r="T504" s="2515"/>
      <c r="U504" s="2515"/>
      <c r="V504" s="2556">
        <f>V506</f>
        <v>0</v>
      </c>
      <c r="W504" s="2556">
        <f>W506</f>
        <v>0</v>
      </c>
      <c r="Y504" s="1"/>
      <c r="Z504" s="237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</row>
    <row r="505" spans="1:256" s="2" customFormat="1" ht="13" x14ac:dyDescent="0.3">
      <c r="A505" s="32"/>
      <c r="B505" s="336" t="s">
        <v>1069</v>
      </c>
      <c r="C505" s="88"/>
      <c r="D505" s="88"/>
      <c r="E505" s="88"/>
      <c r="F505" s="112" t="s">
        <v>623</v>
      </c>
      <c r="G505" s="88">
        <v>500</v>
      </c>
      <c r="H505" s="94"/>
      <c r="I505" s="94"/>
      <c r="J505" s="1064"/>
      <c r="K505" s="1064"/>
      <c r="L505" s="1064"/>
      <c r="M505" s="1552"/>
      <c r="N505" s="2516">
        <f>N506</f>
        <v>57.192</v>
      </c>
      <c r="O505" s="2557"/>
      <c r="P505" s="2558"/>
      <c r="Q505" s="2559"/>
      <c r="R505" s="2560"/>
      <c r="S505" s="2515"/>
      <c r="T505" s="2515"/>
      <c r="U505" s="2515"/>
      <c r="V505" s="2556">
        <f>V506</f>
        <v>0</v>
      </c>
      <c r="W505" s="2556">
        <f>W506</f>
        <v>0</v>
      </c>
      <c r="Y505" s="1"/>
      <c r="Z505" s="237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</row>
    <row r="506" spans="1:256" s="2" customFormat="1" ht="13" x14ac:dyDescent="0.3">
      <c r="A506" s="32"/>
      <c r="B506" s="336" t="s">
        <v>123</v>
      </c>
      <c r="C506" s="88"/>
      <c r="D506" s="88"/>
      <c r="E506" s="88"/>
      <c r="F506" s="112" t="s">
        <v>623</v>
      </c>
      <c r="G506" s="88">
        <v>540</v>
      </c>
      <c r="H506" s="88"/>
      <c r="I506" s="88"/>
      <c r="J506" s="1061">
        <f>J507</f>
        <v>179.7</v>
      </c>
      <c r="K506" s="1061"/>
      <c r="L506" s="1061"/>
      <c r="M506" s="1125"/>
      <c r="N506" s="2541">
        <f t="shared" ref="N506:R506" si="236">N507</f>
        <v>57.192</v>
      </c>
      <c r="O506" s="2542">
        <f t="shared" si="236"/>
        <v>0</v>
      </c>
      <c r="P506" s="2543">
        <f t="shared" si="236"/>
        <v>0</v>
      </c>
      <c r="Q506" s="2544">
        <f t="shared" si="236"/>
        <v>0</v>
      </c>
      <c r="R506" s="2545">
        <f t="shared" si="236"/>
        <v>0</v>
      </c>
      <c r="S506" s="2515"/>
      <c r="T506" s="2515"/>
      <c r="U506" s="2515"/>
      <c r="V506" s="2521">
        <f t="shared" ref="V506:W506" si="237">V507</f>
        <v>0</v>
      </c>
      <c r="W506" s="2521">
        <f t="shared" si="237"/>
        <v>0</v>
      </c>
      <c r="Y506" s="1"/>
      <c r="Z506" s="237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</row>
    <row r="507" spans="1:256" s="2" customFormat="1" ht="39" x14ac:dyDescent="0.3">
      <c r="A507" s="32"/>
      <c r="B507" s="2066" t="s">
        <v>105</v>
      </c>
      <c r="C507" s="88"/>
      <c r="D507" s="88"/>
      <c r="E507" s="88"/>
      <c r="F507" s="112" t="s">
        <v>623</v>
      </c>
      <c r="G507" s="88">
        <v>540</v>
      </c>
      <c r="H507" s="9" t="s">
        <v>456</v>
      </c>
      <c r="I507" s="33" t="s">
        <v>452</v>
      </c>
      <c r="J507" s="1061">
        <v>179.7</v>
      </c>
      <c r="K507" s="1061"/>
      <c r="L507" s="1061"/>
      <c r="M507" s="1125"/>
      <c r="N507" s="2541">
        <v>57.192</v>
      </c>
      <c r="O507" s="2542"/>
      <c r="P507" s="2543"/>
      <c r="Q507" s="2544"/>
      <c r="R507" s="2545"/>
      <c r="S507" s="2515"/>
      <c r="T507" s="2515"/>
      <c r="U507" s="2515"/>
      <c r="V507" s="2521">
        <v>0</v>
      </c>
      <c r="W507" s="2521">
        <v>0</v>
      </c>
      <c r="Y507" s="1"/>
      <c r="Z507" s="237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</row>
    <row r="508" spans="1:256" s="2" customFormat="1" ht="39" x14ac:dyDescent="0.25">
      <c r="A508" s="32"/>
      <c r="B508" s="1119" t="s">
        <v>149</v>
      </c>
      <c r="C508" s="88"/>
      <c r="D508" s="88"/>
      <c r="E508" s="88"/>
      <c r="F508" s="113" t="s">
        <v>148</v>
      </c>
      <c r="G508" s="94"/>
      <c r="H508" s="94"/>
      <c r="I508" s="94"/>
      <c r="J508" s="1064">
        <f>J510</f>
        <v>303</v>
      </c>
      <c r="K508" s="1064"/>
      <c r="L508" s="1064"/>
      <c r="M508" s="1552"/>
      <c r="N508" s="2516">
        <f>N510</f>
        <v>329</v>
      </c>
      <c r="O508" s="2557">
        <f>O510</f>
        <v>0</v>
      </c>
      <c r="P508" s="2558">
        <f>P510</f>
        <v>0</v>
      </c>
      <c r="Q508" s="2559">
        <f>Q510</f>
        <v>0</v>
      </c>
      <c r="R508" s="2560">
        <f>R510</f>
        <v>0</v>
      </c>
      <c r="S508" s="2515"/>
      <c r="T508" s="2515"/>
      <c r="U508" s="2515"/>
      <c r="V508" s="2556">
        <f>V510</f>
        <v>0</v>
      </c>
      <c r="W508" s="2556">
        <f>W510</f>
        <v>0</v>
      </c>
      <c r="Y508" s="1"/>
      <c r="Z508" s="237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</row>
    <row r="509" spans="1:256" s="2" customFormat="1" ht="13" x14ac:dyDescent="0.25">
      <c r="A509" s="32"/>
      <c r="B509" s="1119" t="s">
        <v>1069</v>
      </c>
      <c r="C509" s="88"/>
      <c r="D509" s="88"/>
      <c r="E509" s="88"/>
      <c r="F509" s="112" t="s">
        <v>148</v>
      </c>
      <c r="G509" s="88">
        <v>500</v>
      </c>
      <c r="H509" s="94"/>
      <c r="I509" s="94"/>
      <c r="J509" s="1064"/>
      <c r="K509" s="1064"/>
      <c r="L509" s="1064"/>
      <c r="M509" s="1552"/>
      <c r="N509" s="2541">
        <f>N510</f>
        <v>329</v>
      </c>
      <c r="O509" s="2557"/>
      <c r="P509" s="2558"/>
      <c r="Q509" s="2559"/>
      <c r="R509" s="2560"/>
      <c r="S509" s="2515"/>
      <c r="T509" s="2515"/>
      <c r="U509" s="2515"/>
      <c r="V509" s="2556"/>
      <c r="W509" s="2556"/>
      <c r="Y509" s="1"/>
      <c r="Z509" s="237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</row>
    <row r="510" spans="1:256" s="2" customFormat="1" ht="13" x14ac:dyDescent="0.25">
      <c r="A510" s="32"/>
      <c r="B510" s="1119" t="s">
        <v>130</v>
      </c>
      <c r="C510" s="88"/>
      <c r="D510" s="88"/>
      <c r="E510" s="88"/>
      <c r="F510" s="112" t="s">
        <v>148</v>
      </c>
      <c r="G510" s="88">
        <v>540</v>
      </c>
      <c r="H510" s="88"/>
      <c r="I510" s="88"/>
      <c r="J510" s="1061">
        <f>J511</f>
        <v>303</v>
      </c>
      <c r="K510" s="1061"/>
      <c r="L510" s="1061"/>
      <c r="M510" s="1125"/>
      <c r="N510" s="2541">
        <f t="shared" ref="N510:R510" si="238">N511</f>
        <v>329</v>
      </c>
      <c r="O510" s="2542">
        <f t="shared" si="238"/>
        <v>0</v>
      </c>
      <c r="P510" s="2543">
        <f t="shared" si="238"/>
        <v>0</v>
      </c>
      <c r="Q510" s="2544">
        <f t="shared" si="238"/>
        <v>0</v>
      </c>
      <c r="R510" s="2545">
        <f t="shared" si="238"/>
        <v>0</v>
      </c>
      <c r="S510" s="2515"/>
      <c r="T510" s="2515"/>
      <c r="U510" s="2515"/>
      <c r="V510" s="2521">
        <f t="shared" ref="V510:W510" si="239">V511</f>
        <v>0</v>
      </c>
      <c r="W510" s="2521">
        <f t="shared" si="239"/>
        <v>0</v>
      </c>
      <c r="Y510" s="1"/>
      <c r="Z510" s="237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</row>
    <row r="511" spans="1:256" s="2" customFormat="1" ht="42.5" customHeight="1" x14ac:dyDescent="0.3">
      <c r="A511" s="32"/>
      <c r="B511" s="2066" t="s">
        <v>105</v>
      </c>
      <c r="C511" s="88"/>
      <c r="D511" s="88"/>
      <c r="E511" s="88"/>
      <c r="F511" s="112" t="s">
        <v>148</v>
      </c>
      <c r="G511" s="88">
        <v>540</v>
      </c>
      <c r="H511" s="9" t="s">
        <v>456</v>
      </c>
      <c r="I511" s="33" t="s">
        <v>452</v>
      </c>
      <c r="J511" s="1061">
        <v>303</v>
      </c>
      <c r="K511" s="1061"/>
      <c r="L511" s="1061"/>
      <c r="M511" s="1125"/>
      <c r="N511" s="2541">
        <f>350-21</f>
        <v>329</v>
      </c>
      <c r="O511" s="2542"/>
      <c r="P511" s="2543"/>
      <c r="Q511" s="2544"/>
      <c r="R511" s="2545"/>
      <c r="S511" s="2515"/>
      <c r="T511" s="2515"/>
      <c r="U511" s="2515"/>
      <c r="V511" s="2521">
        <v>0</v>
      </c>
      <c r="W511" s="2521">
        <v>0</v>
      </c>
      <c r="Y511" s="1"/>
      <c r="Z511" s="237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</row>
    <row r="512" spans="1:256" s="2" customFormat="1" ht="42.5" customHeight="1" x14ac:dyDescent="0.25">
      <c r="A512" s="32"/>
      <c r="B512" s="1098" t="s">
        <v>1235</v>
      </c>
      <c r="C512" s="88"/>
      <c r="D512" s="88"/>
      <c r="E512" s="88"/>
      <c r="F512" s="113" t="s">
        <v>146</v>
      </c>
      <c r="G512" s="88"/>
      <c r="H512" s="9"/>
      <c r="I512" s="33"/>
      <c r="J512" s="1061"/>
      <c r="K512" s="1061"/>
      <c r="L512" s="1061"/>
      <c r="M512" s="1125"/>
      <c r="N512" s="2541">
        <f>N513</f>
        <v>19.20834</v>
      </c>
      <c r="O512" s="2542"/>
      <c r="P512" s="2543"/>
      <c r="Q512" s="2544"/>
      <c r="R512" s="2545"/>
      <c r="S512" s="2515"/>
      <c r="T512" s="2515"/>
      <c r="U512" s="2515"/>
      <c r="V512" s="2521">
        <f>-V513</f>
        <v>0</v>
      </c>
      <c r="W512" s="2521">
        <f>-W513</f>
        <v>0</v>
      </c>
      <c r="Y512" s="1"/>
      <c r="Z512" s="237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</row>
    <row r="513" spans="1:256" s="2" customFormat="1" ht="42.5" customHeight="1" x14ac:dyDescent="0.25">
      <c r="A513" s="32"/>
      <c r="B513" s="1119" t="s">
        <v>1069</v>
      </c>
      <c r="C513" s="88"/>
      <c r="D513" s="88"/>
      <c r="E513" s="88"/>
      <c r="F513" s="112" t="s">
        <v>146</v>
      </c>
      <c r="G513" s="88">
        <v>500</v>
      </c>
      <c r="H513" s="9"/>
      <c r="I513" s="33"/>
      <c r="J513" s="1061"/>
      <c r="K513" s="1061"/>
      <c r="L513" s="1061"/>
      <c r="M513" s="1125"/>
      <c r="N513" s="2541">
        <f>N514</f>
        <v>19.20834</v>
      </c>
      <c r="O513" s="2542"/>
      <c r="P513" s="2543"/>
      <c r="Q513" s="2544"/>
      <c r="R513" s="2545"/>
      <c r="S513" s="2515"/>
      <c r="T513" s="2515"/>
      <c r="U513" s="2515"/>
      <c r="V513" s="2521">
        <f>-V514</f>
        <v>0</v>
      </c>
      <c r="W513" s="2521">
        <f>-W514</f>
        <v>0</v>
      </c>
      <c r="Y513" s="1"/>
      <c r="Z513" s="237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</row>
    <row r="514" spans="1:256" s="2" customFormat="1" ht="13" x14ac:dyDescent="0.25">
      <c r="A514" s="32"/>
      <c r="B514" s="1119" t="s">
        <v>130</v>
      </c>
      <c r="C514" s="88"/>
      <c r="D514" s="88"/>
      <c r="E514" s="88"/>
      <c r="F514" s="112" t="s">
        <v>146</v>
      </c>
      <c r="G514" s="88">
        <v>540</v>
      </c>
      <c r="H514" s="88"/>
      <c r="I514" s="88"/>
      <c r="J514" s="1061"/>
      <c r="K514" s="1061"/>
      <c r="L514" s="1061"/>
      <c r="M514" s="1125"/>
      <c r="N514" s="2541">
        <f>N515</f>
        <v>19.20834</v>
      </c>
      <c r="O514" s="2542"/>
      <c r="P514" s="2543"/>
      <c r="Q514" s="2544"/>
      <c r="R514" s="2545"/>
      <c r="S514" s="2515"/>
      <c r="T514" s="2515"/>
      <c r="U514" s="2515"/>
      <c r="V514" s="2521">
        <f>V515</f>
        <v>0</v>
      </c>
      <c r="W514" s="2521">
        <f>W515</f>
        <v>0</v>
      </c>
      <c r="Y514" s="1"/>
      <c r="Z514" s="237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</row>
    <row r="515" spans="1:256" s="2" customFormat="1" ht="42.5" customHeight="1" x14ac:dyDescent="0.3">
      <c r="A515" s="32"/>
      <c r="B515" s="2066" t="s">
        <v>105</v>
      </c>
      <c r="C515" s="88"/>
      <c r="D515" s="88"/>
      <c r="E515" s="88"/>
      <c r="F515" s="112" t="s">
        <v>146</v>
      </c>
      <c r="G515" s="88">
        <v>540</v>
      </c>
      <c r="H515" s="88"/>
      <c r="I515" s="88" t="s">
        <v>103</v>
      </c>
      <c r="J515" s="1061"/>
      <c r="K515" s="1061"/>
      <c r="L515" s="1061"/>
      <c r="M515" s="1125"/>
      <c r="N515" s="2541">
        <v>19.20834</v>
      </c>
      <c r="O515" s="2542"/>
      <c r="P515" s="2543"/>
      <c r="Q515" s="2544"/>
      <c r="R515" s="2545"/>
      <c r="S515" s="2515"/>
      <c r="T515" s="2515"/>
      <c r="U515" s="2515"/>
      <c r="V515" s="2521">
        <v>0</v>
      </c>
      <c r="W515" s="2521">
        <v>0</v>
      </c>
      <c r="Y515" s="1"/>
      <c r="Z515" s="237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</row>
    <row r="516" spans="1:256" s="2" customFormat="1" ht="42.5" hidden="1" customHeight="1" x14ac:dyDescent="0.25">
      <c r="A516" s="32"/>
      <c r="B516" s="1120" t="s">
        <v>145</v>
      </c>
      <c r="C516" s="88"/>
      <c r="D516" s="88"/>
      <c r="E516" s="88"/>
      <c r="F516" s="113" t="s">
        <v>144</v>
      </c>
      <c r="G516" s="94"/>
      <c r="H516" s="94"/>
      <c r="I516" s="94"/>
      <c r="J516" s="1064">
        <f>J517</f>
        <v>169.6</v>
      </c>
      <c r="K516" s="1064"/>
      <c r="L516" s="1064"/>
      <c r="M516" s="1552"/>
      <c r="N516" s="2516">
        <f t="shared" ref="N516:R517" si="240">N517</f>
        <v>0</v>
      </c>
      <c r="O516" s="2557">
        <f t="shared" si="240"/>
        <v>0</v>
      </c>
      <c r="P516" s="2558">
        <f t="shared" si="240"/>
        <v>0</v>
      </c>
      <c r="Q516" s="2559">
        <f t="shared" si="240"/>
        <v>0</v>
      </c>
      <c r="R516" s="2560">
        <f t="shared" si="240"/>
        <v>0</v>
      </c>
      <c r="S516" s="2515"/>
      <c r="T516" s="2515"/>
      <c r="U516" s="2515"/>
      <c r="V516" s="2556">
        <f t="shared" ref="V516:W517" si="241">V517</f>
        <v>0</v>
      </c>
      <c r="W516" s="2556">
        <f t="shared" si="241"/>
        <v>0</v>
      </c>
      <c r="Y516" s="1"/>
      <c r="Z516" s="237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</row>
    <row r="517" spans="1:256" s="2" customFormat="1" ht="42.5" hidden="1" customHeight="1" x14ac:dyDescent="0.25">
      <c r="A517" s="32"/>
      <c r="B517" s="1120" t="s">
        <v>130</v>
      </c>
      <c r="C517" s="88"/>
      <c r="D517" s="88"/>
      <c r="E517" s="88"/>
      <c r="F517" s="112" t="s">
        <v>144</v>
      </c>
      <c r="G517" s="88">
        <v>540</v>
      </c>
      <c r="H517" s="88"/>
      <c r="I517" s="88"/>
      <c r="J517" s="1061">
        <f>J518</f>
        <v>169.6</v>
      </c>
      <c r="K517" s="1061"/>
      <c r="L517" s="1061"/>
      <c r="M517" s="1125"/>
      <c r="N517" s="2541">
        <f t="shared" si="240"/>
        <v>0</v>
      </c>
      <c r="O517" s="2542">
        <f t="shared" si="240"/>
        <v>0</v>
      </c>
      <c r="P517" s="2543">
        <f t="shared" si="240"/>
        <v>0</v>
      </c>
      <c r="Q517" s="2544">
        <f t="shared" si="240"/>
        <v>0</v>
      </c>
      <c r="R517" s="2545">
        <f t="shared" si="240"/>
        <v>0</v>
      </c>
      <c r="S517" s="2515"/>
      <c r="T517" s="2515"/>
      <c r="U517" s="2515"/>
      <c r="V517" s="2521">
        <f t="shared" si="241"/>
        <v>0</v>
      </c>
      <c r="W517" s="2521">
        <f t="shared" si="241"/>
        <v>0</v>
      </c>
      <c r="Y517" s="1"/>
      <c r="Z517" s="237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</row>
    <row r="518" spans="1:256" s="2" customFormat="1" ht="42.5" hidden="1" customHeight="1" x14ac:dyDescent="0.3">
      <c r="A518" s="32"/>
      <c r="B518" s="2066" t="s">
        <v>105</v>
      </c>
      <c r="C518" s="88"/>
      <c r="D518" s="88"/>
      <c r="E518" s="88"/>
      <c r="F518" s="112" t="s">
        <v>144</v>
      </c>
      <c r="G518" s="88">
        <v>540</v>
      </c>
      <c r="H518" s="9" t="s">
        <v>456</v>
      </c>
      <c r="I518" s="33" t="s">
        <v>452</v>
      </c>
      <c r="J518" s="1061">
        <v>169.6</v>
      </c>
      <c r="K518" s="1061"/>
      <c r="L518" s="1061"/>
      <c r="M518" s="1125"/>
      <c r="N518" s="2541">
        <v>0</v>
      </c>
      <c r="O518" s="2542"/>
      <c r="P518" s="2543"/>
      <c r="Q518" s="2544">
        <v>0</v>
      </c>
      <c r="R518" s="2545">
        <v>0</v>
      </c>
      <c r="S518" s="2515"/>
      <c r="T518" s="2515"/>
      <c r="U518" s="2515"/>
      <c r="V518" s="2521">
        <v>0</v>
      </c>
      <c r="W518" s="2521">
        <v>0</v>
      </c>
      <c r="Y518" s="1"/>
      <c r="Z518" s="237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</row>
    <row r="519" spans="1:256" ht="42.5" hidden="1" customHeight="1" x14ac:dyDescent="0.25">
      <c r="A519" s="32"/>
      <c r="B519" s="1093" t="s">
        <v>111</v>
      </c>
      <c r="C519" s="88"/>
      <c r="D519" s="88"/>
      <c r="E519" s="88"/>
      <c r="F519" s="34" t="s">
        <v>110</v>
      </c>
      <c r="G519" s="88"/>
      <c r="H519" s="88"/>
      <c r="I519" s="88"/>
      <c r="J519" s="1064">
        <f>J520</f>
        <v>0</v>
      </c>
      <c r="K519" s="1061"/>
      <c r="L519" s="1061"/>
      <c r="M519" s="1125"/>
      <c r="N519" s="2516">
        <f t="shared" ref="N519:R522" si="242">N520</f>
        <v>0</v>
      </c>
      <c r="O519" s="2557">
        <f t="shared" si="242"/>
        <v>0</v>
      </c>
      <c r="P519" s="2558">
        <f t="shared" si="242"/>
        <v>0</v>
      </c>
      <c r="Q519" s="2559">
        <f t="shared" si="242"/>
        <v>0</v>
      </c>
      <c r="R519" s="2560">
        <f t="shared" si="242"/>
        <v>0</v>
      </c>
      <c r="S519" s="2515"/>
      <c r="T519" s="2515"/>
      <c r="U519" s="2515"/>
      <c r="V519" s="2556">
        <f t="shared" ref="V519:W522" si="243">V520</f>
        <v>0</v>
      </c>
      <c r="W519" s="2556">
        <f t="shared" si="243"/>
        <v>0</v>
      </c>
    </row>
    <row r="520" spans="1:256" ht="42.5" hidden="1" customHeight="1" x14ac:dyDescent="0.25">
      <c r="A520" s="32"/>
      <c r="B520" s="1093" t="s">
        <v>109</v>
      </c>
      <c r="C520" s="88"/>
      <c r="D520" s="88"/>
      <c r="E520" s="88"/>
      <c r="F520" s="9" t="s">
        <v>108</v>
      </c>
      <c r="G520" s="88"/>
      <c r="H520" s="88"/>
      <c r="I520" s="88"/>
      <c r="J520" s="1061">
        <f>J521</f>
        <v>0</v>
      </c>
      <c r="K520" s="1061"/>
      <c r="L520" s="1061"/>
      <c r="M520" s="1125"/>
      <c r="N520" s="2541">
        <f t="shared" si="242"/>
        <v>0</v>
      </c>
      <c r="O520" s="2542">
        <f t="shared" si="242"/>
        <v>0</v>
      </c>
      <c r="P520" s="2543">
        <f t="shared" si="242"/>
        <v>0</v>
      </c>
      <c r="Q520" s="2544">
        <f t="shared" si="242"/>
        <v>0</v>
      </c>
      <c r="R520" s="2545">
        <f t="shared" si="242"/>
        <v>0</v>
      </c>
      <c r="S520" s="2515"/>
      <c r="T520" s="2515"/>
      <c r="U520" s="2515"/>
      <c r="V520" s="2521">
        <f t="shared" si="243"/>
        <v>0</v>
      </c>
      <c r="W520" s="2521">
        <f t="shared" si="243"/>
        <v>0</v>
      </c>
    </row>
    <row r="521" spans="1:256" ht="42.5" hidden="1" customHeight="1" x14ac:dyDescent="0.25">
      <c r="A521" s="32"/>
      <c r="B521" s="49" t="s">
        <v>107</v>
      </c>
      <c r="C521" s="88" t="s">
        <v>106</v>
      </c>
      <c r="D521" s="88" t="s">
        <v>69</v>
      </c>
      <c r="E521" s="88" t="s">
        <v>103</v>
      </c>
      <c r="F521" s="9" t="s">
        <v>104</v>
      </c>
      <c r="G521" s="9"/>
      <c r="H521" s="9"/>
      <c r="I521" s="88"/>
      <c r="J521" s="1060">
        <f>J522</f>
        <v>0</v>
      </c>
      <c r="K521" s="1059"/>
      <c r="L521" s="1059">
        <f>L522</f>
        <v>1223.8879999999999</v>
      </c>
      <c r="M521" s="1555">
        <f>M522</f>
        <v>1309.56</v>
      </c>
      <c r="N521" s="2510">
        <f t="shared" si="242"/>
        <v>0</v>
      </c>
      <c r="O521" s="2511">
        <f t="shared" si="242"/>
        <v>0</v>
      </c>
      <c r="P521" s="2512">
        <f t="shared" si="242"/>
        <v>0</v>
      </c>
      <c r="Q521" s="2513">
        <f t="shared" si="242"/>
        <v>0</v>
      </c>
      <c r="R521" s="2514">
        <f t="shared" si="242"/>
        <v>0</v>
      </c>
      <c r="S521" s="2515"/>
      <c r="T521" s="2515"/>
      <c r="U521" s="2515"/>
      <c r="V521" s="2628">
        <f t="shared" si="243"/>
        <v>0</v>
      </c>
      <c r="W521" s="2628">
        <f t="shared" si="243"/>
        <v>0</v>
      </c>
    </row>
    <row r="522" spans="1:256" ht="42.5" hidden="1" customHeight="1" x14ac:dyDescent="0.3">
      <c r="A522" s="32"/>
      <c r="B522" s="744" t="s">
        <v>7</v>
      </c>
      <c r="C522" s="88"/>
      <c r="D522" s="88" t="s">
        <v>69</v>
      </c>
      <c r="E522" s="88" t="s">
        <v>103</v>
      </c>
      <c r="F522" s="9" t="s">
        <v>104</v>
      </c>
      <c r="G522" s="88">
        <v>120</v>
      </c>
      <c r="H522" s="88"/>
      <c r="I522" s="88"/>
      <c r="J522" s="1060">
        <f>J523</f>
        <v>0</v>
      </c>
      <c r="K522" s="1060"/>
      <c r="L522" s="1061">
        <v>1223.8879999999999</v>
      </c>
      <c r="M522" s="1550">
        <v>1309.56</v>
      </c>
      <c r="N522" s="2510">
        <f t="shared" si="242"/>
        <v>0</v>
      </c>
      <c r="O522" s="2511">
        <f t="shared" si="242"/>
        <v>0</v>
      </c>
      <c r="P522" s="2512">
        <f t="shared" si="242"/>
        <v>0</v>
      </c>
      <c r="Q522" s="2513">
        <f t="shared" si="242"/>
        <v>0</v>
      </c>
      <c r="R522" s="2514">
        <f t="shared" si="242"/>
        <v>0</v>
      </c>
      <c r="S522" s="2515"/>
      <c r="T522" s="2515"/>
      <c r="U522" s="2515"/>
      <c r="V522" s="2628">
        <f t="shared" si="243"/>
        <v>0</v>
      </c>
      <c r="W522" s="2628">
        <f t="shared" si="243"/>
        <v>0</v>
      </c>
    </row>
    <row r="523" spans="1:256" ht="42.5" hidden="1" customHeight="1" x14ac:dyDescent="0.3">
      <c r="A523" s="32"/>
      <c r="B523" s="2066" t="s">
        <v>105</v>
      </c>
      <c r="C523" s="88"/>
      <c r="D523" s="88"/>
      <c r="E523" s="88"/>
      <c r="F523" s="9" t="s">
        <v>104</v>
      </c>
      <c r="G523" s="88">
        <v>120</v>
      </c>
      <c r="H523" s="88"/>
      <c r="I523" s="88" t="s">
        <v>103</v>
      </c>
      <c r="J523" s="1060"/>
      <c r="K523" s="1060"/>
      <c r="L523" s="1061">
        <v>1223.8879999999999</v>
      </c>
      <c r="M523" s="1550">
        <v>1309.56</v>
      </c>
      <c r="N523" s="2510"/>
      <c r="O523" s="2511"/>
      <c r="P523" s="2512"/>
      <c r="Q523" s="2513"/>
      <c r="R523" s="2514"/>
      <c r="S523" s="2515"/>
      <c r="T523" s="2515"/>
      <c r="U523" s="2515"/>
      <c r="V523" s="2628"/>
      <c r="W523" s="2628"/>
    </row>
    <row r="524" spans="1:256" ht="42.5" hidden="1" customHeight="1" x14ac:dyDescent="0.25">
      <c r="A524" s="32"/>
      <c r="B524" s="90" t="s">
        <v>784</v>
      </c>
      <c r="C524" s="88"/>
      <c r="D524" s="88" t="s">
        <v>69</v>
      </c>
      <c r="E524" s="88" t="s">
        <v>103</v>
      </c>
      <c r="F524" s="34" t="s">
        <v>141</v>
      </c>
      <c r="G524" s="9"/>
      <c r="H524" s="9"/>
      <c r="I524" s="88"/>
      <c r="J524" s="1065">
        <f>J525</f>
        <v>0</v>
      </c>
      <c r="K524" s="1065"/>
      <c r="L524" s="1065">
        <f t="shared" ref="L524:R524" si="244">L525</f>
        <v>171.8</v>
      </c>
      <c r="M524" s="1552">
        <f t="shared" si="244"/>
        <v>171.8</v>
      </c>
      <c r="N524" s="2516">
        <f t="shared" si="244"/>
        <v>0</v>
      </c>
      <c r="O524" s="2557">
        <f t="shared" si="244"/>
        <v>0</v>
      </c>
      <c r="P524" s="2558">
        <f t="shared" si="244"/>
        <v>0</v>
      </c>
      <c r="Q524" s="2559">
        <f t="shared" si="244"/>
        <v>0</v>
      </c>
      <c r="R524" s="2560">
        <f t="shared" si="244"/>
        <v>0</v>
      </c>
      <c r="S524" s="2515"/>
      <c r="T524" s="2515"/>
      <c r="U524" s="2515"/>
      <c r="V524" s="2556">
        <f t="shared" ref="V524:W524" si="245">V525</f>
        <v>0</v>
      </c>
      <c r="W524" s="2556">
        <f t="shared" si="245"/>
        <v>0</v>
      </c>
    </row>
    <row r="525" spans="1:256" ht="42.5" hidden="1" customHeight="1" x14ac:dyDescent="0.3">
      <c r="A525" s="32"/>
      <c r="B525" s="744" t="s">
        <v>142</v>
      </c>
      <c r="C525" s="88"/>
      <c r="D525" s="88" t="s">
        <v>69</v>
      </c>
      <c r="E525" s="88" t="s">
        <v>103</v>
      </c>
      <c r="F525" s="9" t="s">
        <v>141</v>
      </c>
      <c r="G525" s="9" t="s">
        <v>140</v>
      </c>
      <c r="H525" s="9"/>
      <c r="I525" s="88"/>
      <c r="J525" s="1063">
        <f>J526</f>
        <v>0</v>
      </c>
      <c r="K525" s="1063"/>
      <c r="L525" s="1063">
        <v>171.8</v>
      </c>
      <c r="M525" s="1125">
        <v>171.8</v>
      </c>
      <c r="N525" s="2541">
        <f>N526</f>
        <v>0</v>
      </c>
      <c r="O525" s="2542">
        <f>O526</f>
        <v>0</v>
      </c>
      <c r="P525" s="2543">
        <f>P526</f>
        <v>0</v>
      </c>
      <c r="Q525" s="2544">
        <f>Q526</f>
        <v>0</v>
      </c>
      <c r="R525" s="2545">
        <f>R526</f>
        <v>0</v>
      </c>
      <c r="S525" s="2515"/>
      <c r="T525" s="2515"/>
      <c r="U525" s="2515"/>
      <c r="V525" s="2521">
        <f>V526</f>
        <v>0</v>
      </c>
      <c r="W525" s="2521">
        <f>W526</f>
        <v>0</v>
      </c>
    </row>
    <row r="526" spans="1:256" ht="42.5" hidden="1" customHeight="1" x14ac:dyDescent="0.3">
      <c r="A526" s="32"/>
      <c r="B526" s="2066" t="s">
        <v>105</v>
      </c>
      <c r="C526" s="88"/>
      <c r="D526" s="88"/>
      <c r="E526" s="88"/>
      <c r="F526" s="9" t="s">
        <v>141</v>
      </c>
      <c r="G526" s="9" t="s">
        <v>140</v>
      </c>
      <c r="H526" s="9"/>
      <c r="I526" s="88" t="s">
        <v>103</v>
      </c>
      <c r="J526" s="1063"/>
      <c r="K526" s="1063"/>
      <c r="L526" s="1063">
        <v>171.8</v>
      </c>
      <c r="M526" s="1125">
        <v>171.8</v>
      </c>
      <c r="N526" s="2541"/>
      <c r="O526" s="2542"/>
      <c r="P526" s="2543"/>
      <c r="Q526" s="2544"/>
      <c r="R526" s="2545"/>
      <c r="S526" s="2515"/>
      <c r="T526" s="2515"/>
      <c r="U526" s="2515"/>
      <c r="V526" s="2521"/>
      <c r="W526" s="2521"/>
    </row>
    <row r="527" spans="1:256" ht="42.5" hidden="1" customHeight="1" x14ac:dyDescent="0.25">
      <c r="A527" s="32"/>
      <c r="B527" s="111" t="s">
        <v>785</v>
      </c>
      <c r="C527" s="88"/>
      <c r="D527" s="9" t="s">
        <v>69</v>
      </c>
      <c r="E527" s="9" t="s">
        <v>103</v>
      </c>
      <c r="F527" s="34" t="s">
        <v>136</v>
      </c>
      <c r="G527" s="9"/>
      <c r="H527" s="9"/>
      <c r="I527" s="9"/>
      <c r="J527" s="1065">
        <f>J529</f>
        <v>0</v>
      </c>
      <c r="K527" s="1065"/>
      <c r="L527" s="1065">
        <f t="shared" ref="L527:R527" si="246">L529</f>
        <v>263</v>
      </c>
      <c r="M527" s="1552">
        <f t="shared" si="246"/>
        <v>263</v>
      </c>
      <c r="N527" s="2516">
        <f t="shared" si="246"/>
        <v>0</v>
      </c>
      <c r="O527" s="2557">
        <f t="shared" si="246"/>
        <v>0</v>
      </c>
      <c r="P527" s="2558">
        <f t="shared" si="246"/>
        <v>0</v>
      </c>
      <c r="Q527" s="2559">
        <f t="shared" si="246"/>
        <v>0</v>
      </c>
      <c r="R527" s="2560">
        <f t="shared" si="246"/>
        <v>0</v>
      </c>
      <c r="S527" s="2515"/>
      <c r="T527" s="2515"/>
      <c r="U527" s="2515"/>
      <c r="V527" s="2556">
        <f t="shared" ref="V527:W527" si="247">V529</f>
        <v>0</v>
      </c>
      <c r="W527" s="2556">
        <f t="shared" si="247"/>
        <v>0</v>
      </c>
    </row>
    <row r="528" spans="1:256" ht="42.5" hidden="1" customHeight="1" x14ac:dyDescent="0.25">
      <c r="A528" s="32"/>
      <c r="B528" s="42" t="s">
        <v>138</v>
      </c>
      <c r="C528" s="9"/>
      <c r="D528" s="9" t="s">
        <v>69</v>
      </c>
      <c r="E528" s="9" t="s">
        <v>103</v>
      </c>
      <c r="F528" s="9" t="s">
        <v>137</v>
      </c>
      <c r="G528" s="9"/>
      <c r="H528" s="9"/>
      <c r="I528" s="9" t="s">
        <v>103</v>
      </c>
      <c r="J528" s="1062"/>
      <c r="K528" s="1062"/>
      <c r="L528" s="1062"/>
      <c r="M528" s="1556"/>
      <c r="N528" s="2510"/>
      <c r="O528" s="2511"/>
      <c r="P528" s="2512"/>
      <c r="Q528" s="2513"/>
      <c r="R528" s="2514"/>
      <c r="S528" s="2515"/>
      <c r="T528" s="2515"/>
      <c r="U528" s="2515"/>
      <c r="V528" s="2628"/>
      <c r="W528" s="2628"/>
    </row>
    <row r="529" spans="1:256" ht="42.5" hidden="1" customHeight="1" x14ac:dyDescent="0.3">
      <c r="A529" s="32"/>
      <c r="B529" s="744" t="s">
        <v>123</v>
      </c>
      <c r="C529" s="9"/>
      <c r="D529" s="9" t="s">
        <v>69</v>
      </c>
      <c r="E529" s="9" t="s">
        <v>103</v>
      </c>
      <c r="F529" s="9" t="s">
        <v>136</v>
      </c>
      <c r="G529" s="9" t="s">
        <v>120</v>
      </c>
      <c r="H529" s="9"/>
      <c r="I529" s="9"/>
      <c r="J529" s="1062">
        <f>J530</f>
        <v>0</v>
      </c>
      <c r="K529" s="1062"/>
      <c r="L529" s="1062">
        <v>263</v>
      </c>
      <c r="M529" s="1556">
        <v>263</v>
      </c>
      <c r="N529" s="2510">
        <f>N530</f>
        <v>0</v>
      </c>
      <c r="O529" s="2511">
        <f>O530</f>
        <v>0</v>
      </c>
      <c r="P529" s="2512">
        <f>P530</f>
        <v>0</v>
      </c>
      <c r="Q529" s="2513">
        <f>Q530</f>
        <v>0</v>
      </c>
      <c r="R529" s="2514">
        <f>R530</f>
        <v>0</v>
      </c>
      <c r="S529" s="2515"/>
      <c r="T529" s="2515"/>
      <c r="U529" s="2515"/>
      <c r="V529" s="2628">
        <f>V530</f>
        <v>0</v>
      </c>
      <c r="W529" s="2628">
        <f>W530</f>
        <v>0</v>
      </c>
    </row>
    <row r="530" spans="1:256" ht="42.5" hidden="1" customHeight="1" x14ac:dyDescent="0.3">
      <c r="A530" s="32"/>
      <c r="B530" s="2066" t="s">
        <v>105</v>
      </c>
      <c r="C530" s="9"/>
      <c r="D530" s="9"/>
      <c r="E530" s="9"/>
      <c r="F530" s="9" t="s">
        <v>136</v>
      </c>
      <c r="G530" s="9" t="s">
        <v>120</v>
      </c>
      <c r="H530" s="9"/>
      <c r="I530" s="9" t="s">
        <v>103</v>
      </c>
      <c r="J530" s="1062"/>
      <c r="K530" s="1062"/>
      <c r="L530" s="1062">
        <v>263</v>
      </c>
      <c r="M530" s="1556">
        <v>263</v>
      </c>
      <c r="N530" s="2510"/>
      <c r="O530" s="2511"/>
      <c r="P530" s="2512"/>
      <c r="Q530" s="2513"/>
      <c r="R530" s="2514"/>
      <c r="S530" s="2515"/>
      <c r="T530" s="2515"/>
      <c r="U530" s="2515"/>
      <c r="V530" s="2628"/>
      <c r="W530" s="2628"/>
    </row>
    <row r="531" spans="1:256" ht="42.5" hidden="1" customHeight="1" x14ac:dyDescent="0.25">
      <c r="A531" s="32"/>
      <c r="B531" s="110" t="s">
        <v>786</v>
      </c>
      <c r="C531" s="9"/>
      <c r="D531" s="9" t="s">
        <v>69</v>
      </c>
      <c r="E531" s="9" t="s">
        <v>103</v>
      </c>
      <c r="F531" s="34" t="s">
        <v>132</v>
      </c>
      <c r="G531" s="9"/>
      <c r="H531" s="9"/>
      <c r="I531" s="9"/>
      <c r="J531" s="1058">
        <f>J532</f>
        <v>0</v>
      </c>
      <c r="K531" s="1058"/>
      <c r="L531" s="1058">
        <f t="shared" ref="L531:R531" si="248">L532</f>
        <v>130.1</v>
      </c>
      <c r="M531" s="1555">
        <f t="shared" si="248"/>
        <v>130.1</v>
      </c>
      <c r="N531" s="2629">
        <f t="shared" si="248"/>
        <v>0</v>
      </c>
      <c r="O531" s="2630">
        <f t="shared" si="248"/>
        <v>0</v>
      </c>
      <c r="P531" s="2631">
        <f t="shared" si="248"/>
        <v>0</v>
      </c>
      <c r="Q531" s="2632">
        <f t="shared" si="248"/>
        <v>0</v>
      </c>
      <c r="R531" s="2633">
        <f t="shared" si="248"/>
        <v>0</v>
      </c>
      <c r="S531" s="2515"/>
      <c r="T531" s="2515"/>
      <c r="U531" s="2515"/>
      <c r="V531" s="2634">
        <f t="shared" ref="V531:W531" si="249">V532</f>
        <v>0</v>
      </c>
      <c r="W531" s="2634">
        <f t="shared" si="249"/>
        <v>0</v>
      </c>
    </row>
    <row r="532" spans="1:256" ht="42.5" hidden="1" customHeight="1" x14ac:dyDescent="0.3">
      <c r="A532" s="32"/>
      <c r="B532" s="744" t="s">
        <v>123</v>
      </c>
      <c r="C532" s="9"/>
      <c r="D532" s="9" t="s">
        <v>69</v>
      </c>
      <c r="E532" s="9" t="s">
        <v>103</v>
      </c>
      <c r="F532" s="9" t="s">
        <v>132</v>
      </c>
      <c r="G532" s="9" t="s">
        <v>120</v>
      </c>
      <c r="H532" s="9"/>
      <c r="I532" s="9"/>
      <c r="J532" s="1062">
        <f>J534</f>
        <v>0</v>
      </c>
      <c r="K532" s="1062"/>
      <c r="L532" s="1062">
        <v>130.1</v>
      </c>
      <c r="M532" s="1556">
        <v>130.1</v>
      </c>
      <c r="N532" s="2510">
        <f>N534</f>
        <v>0</v>
      </c>
      <c r="O532" s="2511">
        <f>O534</f>
        <v>0</v>
      </c>
      <c r="P532" s="2512">
        <f>P534</f>
        <v>0</v>
      </c>
      <c r="Q532" s="2513">
        <f>Q534</f>
        <v>0</v>
      </c>
      <c r="R532" s="2514">
        <f>R534</f>
        <v>0</v>
      </c>
      <c r="S532" s="2515"/>
      <c r="T532" s="2515"/>
      <c r="U532" s="2515"/>
      <c r="V532" s="2628">
        <f>V534</f>
        <v>0</v>
      </c>
      <c r="W532" s="2628">
        <f>W534</f>
        <v>0</v>
      </c>
    </row>
    <row r="533" spans="1:256" ht="42.5" hidden="1" customHeight="1" x14ac:dyDescent="0.25">
      <c r="A533" s="32"/>
      <c r="B533" s="109" t="s">
        <v>134</v>
      </c>
      <c r="C533" s="88"/>
      <c r="D533" s="88" t="s">
        <v>69</v>
      </c>
      <c r="E533" s="88" t="s">
        <v>103</v>
      </c>
      <c r="F533" s="9" t="s">
        <v>133</v>
      </c>
      <c r="G533" s="9"/>
      <c r="H533" s="9"/>
      <c r="I533" s="88" t="s">
        <v>103</v>
      </c>
      <c r="J533" s="1062"/>
      <c r="K533" s="1062"/>
      <c r="L533" s="1062"/>
      <c r="M533" s="1556"/>
      <c r="N533" s="2510"/>
      <c r="O533" s="2511"/>
      <c r="P533" s="2512"/>
      <c r="Q533" s="2513"/>
      <c r="R533" s="2514"/>
      <c r="S533" s="2515"/>
      <c r="T533" s="2515"/>
      <c r="U533" s="2515"/>
      <c r="V533" s="2628"/>
      <c r="W533" s="2628"/>
    </row>
    <row r="534" spans="1:256" s="6" customFormat="1" ht="42.5" hidden="1" customHeight="1" x14ac:dyDescent="0.3">
      <c r="A534" s="32"/>
      <c r="B534" s="2012" t="s">
        <v>105</v>
      </c>
      <c r="C534" s="88"/>
      <c r="D534" s="88"/>
      <c r="E534" s="88"/>
      <c r="F534" s="9" t="s">
        <v>132</v>
      </c>
      <c r="G534" s="9" t="s">
        <v>120</v>
      </c>
      <c r="H534" s="9"/>
      <c r="I534" s="9" t="s">
        <v>103</v>
      </c>
      <c r="J534" s="1062"/>
      <c r="K534" s="1062"/>
      <c r="L534" s="1062">
        <v>130.1</v>
      </c>
      <c r="M534" s="1556">
        <v>130.1</v>
      </c>
      <c r="N534" s="2510"/>
      <c r="O534" s="2511"/>
      <c r="P534" s="2512"/>
      <c r="Q534" s="2513"/>
      <c r="R534" s="2514"/>
      <c r="S534" s="2515"/>
      <c r="T534" s="2515"/>
      <c r="U534" s="2515"/>
      <c r="V534" s="2628"/>
      <c r="W534" s="2628"/>
      <c r="X534" s="750"/>
      <c r="Z534" s="2143"/>
    </row>
    <row r="535" spans="1:256" s="6" customFormat="1" ht="42.5" customHeight="1" x14ac:dyDescent="0.3">
      <c r="A535" s="32"/>
      <c r="B535" s="336" t="s">
        <v>131</v>
      </c>
      <c r="C535" s="88"/>
      <c r="D535" s="88"/>
      <c r="E535" s="88"/>
      <c r="F535" s="34" t="s">
        <v>129</v>
      </c>
      <c r="G535" s="34"/>
      <c r="H535" s="34"/>
      <c r="I535" s="34"/>
      <c r="J535" s="1058">
        <f>J538</f>
        <v>170.1</v>
      </c>
      <c r="K535" s="1058"/>
      <c r="L535" s="1058"/>
      <c r="M535" s="1555"/>
      <c r="N535" s="2629">
        <f>N537</f>
        <v>420.65</v>
      </c>
      <c r="O535" s="2630">
        <f>O538</f>
        <v>0</v>
      </c>
      <c r="P535" s="2631">
        <f>P538</f>
        <v>0</v>
      </c>
      <c r="Q535" s="2632"/>
      <c r="R535" s="2633"/>
      <c r="S535" s="2515"/>
      <c r="T535" s="2515"/>
      <c r="U535" s="2515"/>
      <c r="V535" s="2634">
        <f>V537</f>
        <v>0</v>
      </c>
      <c r="W535" s="2634">
        <f>W537</f>
        <v>0</v>
      </c>
      <c r="X535" s="750"/>
      <c r="Z535" s="2143"/>
    </row>
    <row r="536" spans="1:256" ht="13" x14ac:dyDescent="0.3">
      <c r="A536" s="32"/>
      <c r="B536" s="336" t="s">
        <v>1069</v>
      </c>
      <c r="C536" s="88"/>
      <c r="D536" s="88"/>
      <c r="E536" s="88"/>
      <c r="F536" s="9" t="s">
        <v>129</v>
      </c>
      <c r="G536" s="9" t="s">
        <v>1066</v>
      </c>
      <c r="H536" s="34"/>
      <c r="I536" s="34"/>
      <c r="J536" s="1058"/>
      <c r="K536" s="1058"/>
      <c r="L536" s="1058"/>
      <c r="M536" s="1555"/>
      <c r="N536" s="2510">
        <f>N537</f>
        <v>420.65</v>
      </c>
      <c r="O536" s="2630"/>
      <c r="P536" s="2631"/>
      <c r="Q536" s="2632"/>
      <c r="R536" s="2633"/>
      <c r="S536" s="2515"/>
      <c r="T536" s="2515"/>
      <c r="U536" s="2515"/>
      <c r="V536" s="2628">
        <f t="shared" ref="V536:W536" si="250">V537</f>
        <v>0</v>
      </c>
      <c r="W536" s="2628">
        <f t="shared" si="250"/>
        <v>0</v>
      </c>
    </row>
    <row r="537" spans="1:256" s="2" customFormat="1" ht="34.5" customHeight="1" x14ac:dyDescent="0.25">
      <c r="A537" s="32"/>
      <c r="B537" s="1120" t="s">
        <v>130</v>
      </c>
      <c r="C537" s="88"/>
      <c r="D537" s="88"/>
      <c r="E537" s="88"/>
      <c r="F537" s="9" t="s">
        <v>129</v>
      </c>
      <c r="G537" s="9" t="s">
        <v>120</v>
      </c>
      <c r="H537" s="9"/>
      <c r="I537" s="9"/>
      <c r="J537" s="1062"/>
      <c r="K537" s="1062"/>
      <c r="L537" s="1062"/>
      <c r="M537" s="1556"/>
      <c r="N537" s="2510">
        <f>N538</f>
        <v>420.65</v>
      </c>
      <c r="O537" s="2511">
        <f>O538</f>
        <v>0</v>
      </c>
      <c r="P537" s="2512">
        <f>P538</f>
        <v>0</v>
      </c>
      <c r="Q537" s="2513"/>
      <c r="R537" s="2514"/>
      <c r="S537" s="2515"/>
      <c r="T537" s="2515"/>
      <c r="U537" s="2515"/>
      <c r="V537" s="2628">
        <f>V538</f>
        <v>0</v>
      </c>
      <c r="W537" s="2628">
        <f>W538</f>
        <v>0</v>
      </c>
      <c r="Y537" s="1"/>
      <c r="Z537" s="237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</row>
    <row r="538" spans="1:256" s="2" customFormat="1" ht="42" customHeight="1" x14ac:dyDescent="0.3">
      <c r="A538" s="32"/>
      <c r="B538" s="2012" t="s">
        <v>122</v>
      </c>
      <c r="C538" s="88"/>
      <c r="D538" s="88"/>
      <c r="E538" s="88"/>
      <c r="F538" s="9" t="s">
        <v>129</v>
      </c>
      <c r="G538" s="9" t="s">
        <v>120</v>
      </c>
      <c r="H538" s="9" t="s">
        <v>456</v>
      </c>
      <c r="I538" s="33" t="s">
        <v>585</v>
      </c>
      <c r="J538" s="1062">
        <v>170.1</v>
      </c>
      <c r="K538" s="1062"/>
      <c r="L538" s="1062"/>
      <c r="M538" s="1556"/>
      <c r="N538" s="2510">
        <v>420.65</v>
      </c>
      <c r="O538" s="2511"/>
      <c r="P538" s="2512"/>
      <c r="Q538" s="2513"/>
      <c r="R538" s="2514"/>
      <c r="S538" s="2515"/>
      <c r="T538" s="2515"/>
      <c r="U538" s="2515"/>
      <c r="V538" s="2628">
        <v>0</v>
      </c>
      <c r="W538" s="2628">
        <v>0</v>
      </c>
      <c r="Y538" s="1"/>
      <c r="Z538" s="237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</row>
    <row r="539" spans="1:256" s="2" customFormat="1" ht="39" x14ac:dyDescent="0.25">
      <c r="A539" s="32"/>
      <c r="B539" s="107" t="s">
        <v>128</v>
      </c>
      <c r="C539" s="88"/>
      <c r="D539" s="88" t="s">
        <v>69</v>
      </c>
      <c r="E539" s="88" t="s">
        <v>103</v>
      </c>
      <c r="F539" s="34" t="s">
        <v>127</v>
      </c>
      <c r="G539" s="9"/>
      <c r="H539" s="9"/>
      <c r="I539" s="88"/>
      <c r="J539" s="1058">
        <f>J540+J543</f>
        <v>547.5</v>
      </c>
      <c r="K539" s="1058"/>
      <c r="L539" s="1058">
        <f t="shared" ref="L539:R539" si="251">L540+L543</f>
        <v>546.70000000000005</v>
      </c>
      <c r="M539" s="1555">
        <f t="shared" si="251"/>
        <v>546.70000000000005</v>
      </c>
      <c r="N539" s="2635">
        <f>N543</f>
        <v>7.04</v>
      </c>
      <c r="O539" s="2636">
        <f t="shared" si="251"/>
        <v>37.200000000000003</v>
      </c>
      <c r="P539" s="2637">
        <f t="shared" si="251"/>
        <v>37.200000000000003</v>
      </c>
      <c r="Q539" s="2638">
        <f t="shared" si="251"/>
        <v>7.1</v>
      </c>
      <c r="R539" s="2639">
        <f t="shared" si="251"/>
        <v>7.1</v>
      </c>
      <c r="S539" s="2515">
        <v>-648.9</v>
      </c>
      <c r="T539" s="2515">
        <v>-648.9</v>
      </c>
      <c r="U539" s="2515">
        <v>-648.9</v>
      </c>
      <c r="V539" s="2635">
        <f>V543</f>
        <v>7.04</v>
      </c>
      <c r="W539" s="2635">
        <f>W543</f>
        <v>7.04</v>
      </c>
      <c r="Y539" s="1"/>
      <c r="Z539" s="237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</row>
    <row r="540" spans="1:256" s="2" customFormat="1" ht="68.5" hidden="1" customHeight="1" x14ac:dyDescent="0.3">
      <c r="A540" s="32"/>
      <c r="B540" s="2056" t="s">
        <v>7</v>
      </c>
      <c r="C540" s="88"/>
      <c r="D540" s="88" t="s">
        <v>69</v>
      </c>
      <c r="E540" s="88" t="s">
        <v>103</v>
      </c>
      <c r="F540" s="9" t="s">
        <v>127</v>
      </c>
      <c r="G540" s="9" t="s">
        <v>5</v>
      </c>
      <c r="H540" s="9"/>
      <c r="I540" s="88"/>
      <c r="J540" s="1062">
        <f>J541</f>
        <v>510.3</v>
      </c>
      <c r="K540" s="1062"/>
      <c r="L540" s="1062">
        <f>546.7-45.2</f>
        <v>501.50000000000006</v>
      </c>
      <c r="M540" s="1556">
        <f>546.7-45.2</f>
        <v>501.50000000000006</v>
      </c>
      <c r="N540" s="2510">
        <f>N541</f>
        <v>0</v>
      </c>
      <c r="O540" s="2511">
        <f>O541</f>
        <v>0</v>
      </c>
      <c r="P540" s="2512">
        <f>P541</f>
        <v>0</v>
      </c>
      <c r="Q540" s="2513">
        <f>Q541</f>
        <v>0</v>
      </c>
      <c r="R540" s="2514">
        <f>R541</f>
        <v>0</v>
      </c>
      <c r="S540" s="2515"/>
      <c r="T540" s="2515"/>
      <c r="U540" s="2515"/>
      <c r="V540" s="2510">
        <f>V541</f>
        <v>0</v>
      </c>
      <c r="W540" s="2510">
        <f>W541</f>
        <v>0</v>
      </c>
      <c r="Y540" s="1"/>
      <c r="Z540" s="237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</row>
    <row r="541" spans="1:256" s="2" customFormat="1" ht="13.9" hidden="1" customHeight="1" x14ac:dyDescent="0.25">
      <c r="A541" s="839"/>
      <c r="B541" s="52" t="s">
        <v>833</v>
      </c>
      <c r="C541" s="76"/>
      <c r="D541" s="76"/>
      <c r="E541" s="76"/>
      <c r="F541" s="9" t="s">
        <v>127</v>
      </c>
      <c r="G541" s="9" t="s">
        <v>5</v>
      </c>
      <c r="H541" s="9" t="s">
        <v>495</v>
      </c>
      <c r="I541" s="9" t="s">
        <v>832</v>
      </c>
      <c r="J541" s="1121">
        <f>392.863+117.437</f>
        <v>510.3</v>
      </c>
      <c r="K541" s="1121"/>
      <c r="L541" s="1121">
        <f>546.7-45.2</f>
        <v>501.50000000000006</v>
      </c>
      <c r="M541" s="1568">
        <f>546.7-45.2</f>
        <v>501.50000000000006</v>
      </c>
      <c r="N541" s="2510"/>
      <c r="O541" s="2640"/>
      <c r="P541" s="2641"/>
      <c r="Q541" s="2513"/>
      <c r="R541" s="2514"/>
      <c r="S541" s="2642"/>
      <c r="T541" s="2642"/>
      <c r="U541" s="2642"/>
      <c r="V541" s="2510"/>
      <c r="W541" s="2510"/>
      <c r="Y541" s="1"/>
      <c r="Z541" s="237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</row>
    <row r="542" spans="1:256" s="2" customFormat="1" ht="28.15" customHeight="1" x14ac:dyDescent="0.25">
      <c r="A542" s="839"/>
      <c r="B542" s="724" t="s">
        <v>948</v>
      </c>
      <c r="C542" s="76"/>
      <c r="D542" s="76"/>
      <c r="E542" s="76"/>
      <c r="F542" s="9" t="s">
        <v>127</v>
      </c>
      <c r="G542" s="9" t="s">
        <v>955</v>
      </c>
      <c r="H542" s="9"/>
      <c r="I542" s="9"/>
      <c r="J542" s="1121"/>
      <c r="K542" s="1121"/>
      <c r="L542" s="1121"/>
      <c r="M542" s="1568"/>
      <c r="N542" s="2510">
        <f>N543</f>
        <v>7.04</v>
      </c>
      <c r="O542" s="2640"/>
      <c r="P542" s="2641"/>
      <c r="Q542" s="2513"/>
      <c r="R542" s="2514"/>
      <c r="S542" s="2642"/>
      <c r="T542" s="2642"/>
      <c r="U542" s="2642"/>
      <c r="V542" s="2510">
        <f t="shared" ref="V542:W542" si="252">V543</f>
        <v>7.04</v>
      </c>
      <c r="W542" s="2510">
        <f t="shared" si="252"/>
        <v>7.04</v>
      </c>
      <c r="Y542" s="1"/>
      <c r="Z542" s="237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</row>
    <row r="543" spans="1:256" s="2" customFormat="1" ht="54.65" customHeight="1" x14ac:dyDescent="0.25">
      <c r="A543" s="32"/>
      <c r="B543" s="1993" t="s">
        <v>4</v>
      </c>
      <c r="C543" s="88"/>
      <c r="D543" s="88"/>
      <c r="E543" s="88"/>
      <c r="F543" s="9" t="s">
        <v>127</v>
      </c>
      <c r="G543" s="9" t="s">
        <v>1</v>
      </c>
      <c r="H543" s="9"/>
      <c r="I543" s="88"/>
      <c r="J543" s="1062">
        <f>J544</f>
        <v>37.200000000000003</v>
      </c>
      <c r="K543" s="1062"/>
      <c r="L543" s="1062">
        <v>45.2</v>
      </c>
      <c r="M543" s="1556">
        <v>45.2</v>
      </c>
      <c r="N543" s="2510">
        <f>N544</f>
        <v>7.04</v>
      </c>
      <c r="O543" s="2511">
        <f>O544</f>
        <v>37.200000000000003</v>
      </c>
      <c r="P543" s="2512">
        <f>P544</f>
        <v>37.200000000000003</v>
      </c>
      <c r="Q543" s="2513">
        <f>Q544</f>
        <v>7.1</v>
      </c>
      <c r="R543" s="2514">
        <f>R544</f>
        <v>7.1</v>
      </c>
      <c r="S543" s="2515"/>
      <c r="T543" s="2515"/>
      <c r="U543" s="2515"/>
      <c r="V543" s="2510">
        <f>V544</f>
        <v>7.04</v>
      </c>
      <c r="W543" s="2510">
        <f>W544</f>
        <v>7.04</v>
      </c>
      <c r="Y543" s="1"/>
      <c r="Z543" s="237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</row>
    <row r="544" spans="1:256" s="2" customFormat="1" ht="28.15" customHeight="1" x14ac:dyDescent="0.25">
      <c r="A544" s="32"/>
      <c r="B544" s="52" t="s">
        <v>1070</v>
      </c>
      <c r="C544" s="88"/>
      <c r="D544" s="88"/>
      <c r="E544" s="88"/>
      <c r="F544" s="9" t="s">
        <v>127</v>
      </c>
      <c r="G544" s="9" t="s">
        <v>1</v>
      </c>
      <c r="H544" s="9" t="s">
        <v>495</v>
      </c>
      <c r="I544" s="9" t="s">
        <v>832</v>
      </c>
      <c r="J544" s="1062">
        <f>17.5+15.7+4</f>
        <v>37.200000000000003</v>
      </c>
      <c r="K544" s="1062"/>
      <c r="L544" s="1062">
        <v>45.2</v>
      </c>
      <c r="M544" s="1556">
        <v>45.2</v>
      </c>
      <c r="N544" s="2510">
        <f>7.1-0.06</f>
        <v>7.04</v>
      </c>
      <c r="O544" s="2511">
        <v>37.200000000000003</v>
      </c>
      <c r="P544" s="2512">
        <v>37.200000000000003</v>
      </c>
      <c r="Q544" s="2513">
        <v>7.1</v>
      </c>
      <c r="R544" s="2514">
        <v>7.1</v>
      </c>
      <c r="S544" s="2643">
        <v>7.1</v>
      </c>
      <c r="T544" s="2643">
        <v>7.1</v>
      </c>
      <c r="U544" s="2643">
        <v>7.1</v>
      </c>
      <c r="V544" s="2510">
        <f>7.1-0.06</f>
        <v>7.04</v>
      </c>
      <c r="W544" s="2510">
        <f>7.1-0.06</f>
        <v>7.04</v>
      </c>
      <c r="Y544" s="1"/>
      <c r="Z544" s="237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</row>
    <row r="545" spans="1:256" s="2" customFormat="1" ht="28.15" hidden="1" customHeight="1" x14ac:dyDescent="0.25">
      <c r="A545" s="32"/>
      <c r="B545" s="52" t="s">
        <v>122</v>
      </c>
      <c r="C545" s="9"/>
      <c r="D545" s="94" t="s">
        <v>69</v>
      </c>
      <c r="E545" s="34" t="s">
        <v>119</v>
      </c>
      <c r="F545" s="94" t="s">
        <v>71</v>
      </c>
      <c r="G545" s="94" t="s">
        <v>71</v>
      </c>
      <c r="H545" s="94"/>
      <c r="I545" s="34"/>
      <c r="J545" s="1065">
        <f>J546</f>
        <v>0</v>
      </c>
      <c r="K545" s="1065"/>
      <c r="L545" s="1065">
        <f t="shared" ref="L545:R548" si="253">L546</f>
        <v>99.305000000000007</v>
      </c>
      <c r="M545" s="1552">
        <f t="shared" si="253"/>
        <v>99.305000000000007</v>
      </c>
      <c r="N545" s="2516">
        <f t="shared" si="253"/>
        <v>0</v>
      </c>
      <c r="O545" s="2557">
        <f t="shared" si="253"/>
        <v>0</v>
      </c>
      <c r="P545" s="2558">
        <f t="shared" si="253"/>
        <v>0</v>
      </c>
      <c r="Q545" s="2559">
        <f t="shared" si="253"/>
        <v>0</v>
      </c>
      <c r="R545" s="2560">
        <f t="shared" si="253"/>
        <v>0</v>
      </c>
      <c r="S545" s="2515"/>
      <c r="T545" s="2515"/>
      <c r="U545" s="2515"/>
      <c r="V545" s="2516">
        <f t="shared" ref="V545:W548" si="254">V546</f>
        <v>0</v>
      </c>
      <c r="W545" s="2516">
        <f t="shared" si="254"/>
        <v>0</v>
      </c>
      <c r="Y545" s="1"/>
      <c r="Z545" s="237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</row>
    <row r="546" spans="1:256" s="2" customFormat="1" ht="16.149999999999999" hidden="1" customHeight="1" x14ac:dyDescent="0.25">
      <c r="A546" s="32"/>
      <c r="B546" s="52" t="s">
        <v>126</v>
      </c>
      <c r="C546" s="9"/>
      <c r="D546" s="94" t="s">
        <v>69</v>
      </c>
      <c r="E546" s="94" t="s">
        <v>119</v>
      </c>
      <c r="F546" s="34" t="s">
        <v>125</v>
      </c>
      <c r="G546" s="79"/>
      <c r="H546" s="79"/>
      <c r="I546" s="94"/>
      <c r="J546" s="1065">
        <f>J547</f>
        <v>0</v>
      </c>
      <c r="K546" s="1065"/>
      <c r="L546" s="1065">
        <f t="shared" si="253"/>
        <v>99.305000000000007</v>
      </c>
      <c r="M546" s="1552">
        <f t="shared" si="253"/>
        <v>99.305000000000007</v>
      </c>
      <c r="N546" s="2516">
        <f t="shared" si="253"/>
        <v>0</v>
      </c>
      <c r="O546" s="2557">
        <f t="shared" si="253"/>
        <v>0</v>
      </c>
      <c r="P546" s="2558">
        <f t="shared" si="253"/>
        <v>0</v>
      </c>
      <c r="Q546" s="2559">
        <f t="shared" si="253"/>
        <v>0</v>
      </c>
      <c r="R546" s="2560">
        <f t="shared" si="253"/>
        <v>0</v>
      </c>
      <c r="S546" s="2515"/>
      <c r="T546" s="2515"/>
      <c r="U546" s="2515"/>
      <c r="V546" s="2516">
        <f t="shared" si="254"/>
        <v>0</v>
      </c>
      <c r="W546" s="2516">
        <f t="shared" si="254"/>
        <v>0</v>
      </c>
      <c r="Y546" s="1"/>
      <c r="Z546" s="237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</row>
    <row r="547" spans="1:256" s="2" customFormat="1" ht="40.15" hidden="1" customHeight="1" x14ac:dyDescent="0.25">
      <c r="A547" s="32"/>
      <c r="B547" s="105" t="s">
        <v>787</v>
      </c>
      <c r="C547" s="9"/>
      <c r="D547" s="88" t="s">
        <v>69</v>
      </c>
      <c r="E547" s="88" t="s">
        <v>119</v>
      </c>
      <c r="F547" s="34" t="s">
        <v>121</v>
      </c>
      <c r="G547" s="9"/>
      <c r="H547" s="9"/>
      <c r="I547" s="88"/>
      <c r="J547" s="1062">
        <f>J548</f>
        <v>0</v>
      </c>
      <c r="K547" s="1062"/>
      <c r="L547" s="1062">
        <f t="shared" si="253"/>
        <v>99.305000000000007</v>
      </c>
      <c r="M547" s="1556">
        <f t="shared" si="253"/>
        <v>99.305000000000007</v>
      </c>
      <c r="N547" s="2510">
        <f t="shared" si="253"/>
        <v>0</v>
      </c>
      <c r="O547" s="2511">
        <f t="shared" si="253"/>
        <v>0</v>
      </c>
      <c r="P547" s="2512">
        <f t="shared" si="253"/>
        <v>0</v>
      </c>
      <c r="Q547" s="2513">
        <f t="shared" si="253"/>
        <v>0</v>
      </c>
      <c r="R547" s="2514">
        <f t="shared" si="253"/>
        <v>0</v>
      </c>
      <c r="S547" s="2515"/>
      <c r="T547" s="2515"/>
      <c r="U547" s="2515"/>
      <c r="V547" s="2510">
        <f t="shared" si="254"/>
        <v>0</v>
      </c>
      <c r="W547" s="2510">
        <f t="shared" si="254"/>
        <v>0</v>
      </c>
      <c r="Y547" s="1"/>
      <c r="Z547" s="237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</row>
    <row r="548" spans="1:256" s="2" customFormat="1" ht="13" hidden="1" x14ac:dyDescent="0.3">
      <c r="A548" s="32"/>
      <c r="B548" s="2003" t="s">
        <v>123</v>
      </c>
      <c r="C548" s="9"/>
      <c r="D548" s="88" t="s">
        <v>69</v>
      </c>
      <c r="E548" s="88" t="s">
        <v>119</v>
      </c>
      <c r="F548" s="9" t="s">
        <v>121</v>
      </c>
      <c r="G548" s="9" t="s">
        <v>120</v>
      </c>
      <c r="H548" s="9"/>
      <c r="I548" s="88"/>
      <c r="J548" s="1062">
        <f>J549</f>
        <v>0</v>
      </c>
      <c r="K548" s="1062"/>
      <c r="L548" s="1062">
        <v>99.305000000000007</v>
      </c>
      <c r="M548" s="1556">
        <v>99.305000000000007</v>
      </c>
      <c r="N548" s="2510">
        <f t="shared" si="253"/>
        <v>0</v>
      </c>
      <c r="O548" s="2511">
        <f t="shared" si="253"/>
        <v>0</v>
      </c>
      <c r="P548" s="2512">
        <f t="shared" si="253"/>
        <v>0</v>
      </c>
      <c r="Q548" s="2513">
        <f t="shared" si="253"/>
        <v>0</v>
      </c>
      <c r="R548" s="2514">
        <f t="shared" si="253"/>
        <v>0</v>
      </c>
      <c r="S548" s="2515"/>
      <c r="T548" s="2515"/>
      <c r="U548" s="2515"/>
      <c r="V548" s="2510">
        <f t="shared" si="254"/>
        <v>0</v>
      </c>
      <c r="W548" s="2510">
        <f t="shared" si="254"/>
        <v>0</v>
      </c>
      <c r="Y548" s="1"/>
      <c r="Z548" s="237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</row>
    <row r="549" spans="1:256" s="2" customFormat="1" ht="21" hidden="1" customHeight="1" x14ac:dyDescent="0.3">
      <c r="A549" s="32"/>
      <c r="B549" s="2012" t="s">
        <v>122</v>
      </c>
      <c r="C549" s="9"/>
      <c r="D549" s="88"/>
      <c r="E549" s="88"/>
      <c r="F549" s="9" t="s">
        <v>121</v>
      </c>
      <c r="G549" s="9" t="s">
        <v>120</v>
      </c>
      <c r="H549" s="9"/>
      <c r="I549" s="88" t="s">
        <v>119</v>
      </c>
      <c r="J549" s="1062"/>
      <c r="K549" s="1062"/>
      <c r="L549" s="1062">
        <v>99.305000000000007</v>
      </c>
      <c r="M549" s="1556">
        <v>99.305000000000007</v>
      </c>
      <c r="N549" s="2510"/>
      <c r="O549" s="2511"/>
      <c r="P549" s="2512"/>
      <c r="Q549" s="2513"/>
      <c r="R549" s="2514"/>
      <c r="S549" s="2515"/>
      <c r="T549" s="2515"/>
      <c r="U549" s="2515"/>
      <c r="V549" s="2510"/>
      <c r="W549" s="2510"/>
      <c r="Y549" s="1"/>
      <c r="Z549" s="237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</row>
    <row r="550" spans="1:256" s="2" customFormat="1" ht="39" hidden="1" x14ac:dyDescent="0.25">
      <c r="A550" s="32"/>
      <c r="B550" s="1093" t="s">
        <v>118</v>
      </c>
      <c r="C550" s="9"/>
      <c r="D550" s="88"/>
      <c r="E550" s="88"/>
      <c r="F550" s="34" t="s">
        <v>117</v>
      </c>
      <c r="G550" s="9"/>
      <c r="H550" s="9"/>
      <c r="I550" s="88"/>
      <c r="J550" s="1062"/>
      <c r="K550" s="1062"/>
      <c r="L550" s="1062"/>
      <c r="M550" s="1556"/>
      <c r="N550" s="2510">
        <f>N551</f>
        <v>0</v>
      </c>
      <c r="O550" s="2511">
        <f t="shared" ref="O550:R553" si="255">O551</f>
        <v>659.56200000000001</v>
      </c>
      <c r="P550" s="2512">
        <f t="shared" si="255"/>
        <v>725.51900000000001</v>
      </c>
      <c r="Q550" s="2513">
        <f t="shared" si="255"/>
        <v>0</v>
      </c>
      <c r="R550" s="2514">
        <f t="shared" si="255"/>
        <v>0</v>
      </c>
      <c r="S550" s="2515"/>
      <c r="T550" s="2515"/>
      <c r="U550" s="2515"/>
      <c r="V550" s="2510">
        <f t="shared" ref="V550:W553" si="256">V551</f>
        <v>0</v>
      </c>
      <c r="W550" s="2510">
        <f t="shared" si="256"/>
        <v>0</v>
      </c>
      <c r="Y550" s="1"/>
      <c r="Z550" s="237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</row>
    <row r="551" spans="1:256" s="2" customFormat="1" ht="40" hidden="1" customHeight="1" x14ac:dyDescent="0.25">
      <c r="A551" s="32"/>
      <c r="B551" s="1093" t="s">
        <v>109</v>
      </c>
      <c r="C551" s="9"/>
      <c r="D551" s="88"/>
      <c r="E551" s="88"/>
      <c r="F551" s="9" t="s">
        <v>116</v>
      </c>
      <c r="G551" s="9"/>
      <c r="H551" s="9"/>
      <c r="I551" s="88"/>
      <c r="J551" s="1062"/>
      <c r="K551" s="1062"/>
      <c r="L551" s="1062"/>
      <c r="M551" s="1556"/>
      <c r="N551" s="2510">
        <f>N552</f>
        <v>0</v>
      </c>
      <c r="O551" s="2511">
        <f t="shared" si="255"/>
        <v>659.56200000000001</v>
      </c>
      <c r="P551" s="2512">
        <f t="shared" si="255"/>
        <v>725.51900000000001</v>
      </c>
      <c r="Q551" s="2513">
        <f t="shared" si="255"/>
        <v>0</v>
      </c>
      <c r="R551" s="2514">
        <f t="shared" si="255"/>
        <v>0</v>
      </c>
      <c r="S551" s="2515"/>
      <c r="T551" s="2515"/>
      <c r="U551" s="2515"/>
      <c r="V551" s="2510">
        <f t="shared" si="256"/>
        <v>0</v>
      </c>
      <c r="W551" s="2510">
        <f t="shared" si="256"/>
        <v>0</v>
      </c>
      <c r="Y551" s="1"/>
      <c r="Z551" s="237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</row>
    <row r="552" spans="1:256" s="2" customFormat="1" ht="26" hidden="1" x14ac:dyDescent="0.25">
      <c r="A552" s="32"/>
      <c r="B552" s="1110" t="s">
        <v>115</v>
      </c>
      <c r="C552" s="9"/>
      <c r="D552" s="88"/>
      <c r="E552" s="88"/>
      <c r="F552" s="9" t="s">
        <v>113</v>
      </c>
      <c r="G552" s="9"/>
      <c r="H552" s="9"/>
      <c r="I552" s="88"/>
      <c r="J552" s="1062"/>
      <c r="K552" s="1062"/>
      <c r="L552" s="1062"/>
      <c r="M552" s="1556"/>
      <c r="N552" s="2510">
        <f>N553</f>
        <v>0</v>
      </c>
      <c r="O552" s="2511">
        <f t="shared" si="255"/>
        <v>659.56200000000001</v>
      </c>
      <c r="P552" s="2512">
        <f t="shared" si="255"/>
        <v>725.51900000000001</v>
      </c>
      <c r="Q552" s="2513">
        <f t="shared" si="255"/>
        <v>0</v>
      </c>
      <c r="R552" s="2514">
        <f t="shared" si="255"/>
        <v>0</v>
      </c>
      <c r="S552" s="2515"/>
      <c r="T552" s="2515"/>
      <c r="U552" s="2515"/>
      <c r="V552" s="2510">
        <f t="shared" si="256"/>
        <v>0</v>
      </c>
      <c r="W552" s="2510">
        <f t="shared" si="256"/>
        <v>0</v>
      </c>
      <c r="Y552" s="1"/>
      <c r="Z552" s="237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</row>
    <row r="553" spans="1:256" s="2" customFormat="1" ht="13" hidden="1" x14ac:dyDescent="0.3">
      <c r="A553" s="32"/>
      <c r="B553" s="744" t="s">
        <v>7</v>
      </c>
      <c r="C553" s="9"/>
      <c r="D553" s="88"/>
      <c r="E553" s="88"/>
      <c r="F553" s="9" t="s">
        <v>113</v>
      </c>
      <c r="G553" s="9" t="s">
        <v>5</v>
      </c>
      <c r="H553" s="9"/>
      <c r="I553" s="88"/>
      <c r="J553" s="1062"/>
      <c r="K553" s="1062"/>
      <c r="L553" s="1062"/>
      <c r="M553" s="1556"/>
      <c r="N553" s="2510">
        <f>N554</f>
        <v>0</v>
      </c>
      <c r="O553" s="2511">
        <f t="shared" si="255"/>
        <v>659.56200000000001</v>
      </c>
      <c r="P553" s="2512">
        <f t="shared" si="255"/>
        <v>725.51900000000001</v>
      </c>
      <c r="Q553" s="2513">
        <f t="shared" si="255"/>
        <v>0</v>
      </c>
      <c r="R553" s="2514">
        <f t="shared" si="255"/>
        <v>0</v>
      </c>
      <c r="S553" s="2515"/>
      <c r="T553" s="2515"/>
      <c r="U553" s="2515"/>
      <c r="V553" s="2510">
        <f t="shared" si="256"/>
        <v>0</v>
      </c>
      <c r="W553" s="2510">
        <f t="shared" si="256"/>
        <v>0</v>
      </c>
      <c r="Y553" s="1"/>
      <c r="Z553" s="237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</row>
    <row r="554" spans="1:256" ht="39" hidden="1" x14ac:dyDescent="0.3">
      <c r="A554" s="32"/>
      <c r="B554" s="336" t="s">
        <v>114</v>
      </c>
      <c r="C554" s="9"/>
      <c r="D554" s="88"/>
      <c r="E554" s="88"/>
      <c r="F554" s="9" t="s">
        <v>113</v>
      </c>
      <c r="G554" s="9" t="s">
        <v>5</v>
      </c>
      <c r="H554" s="9" t="s">
        <v>456</v>
      </c>
      <c r="I554" s="9" t="s">
        <v>495</v>
      </c>
      <c r="J554" s="1062"/>
      <c r="K554" s="1062"/>
      <c r="L554" s="1062"/>
      <c r="M554" s="1556"/>
      <c r="N554" s="2644">
        <f>530.24-530.24</f>
        <v>0</v>
      </c>
      <c r="O554" s="2511">
        <v>659.56200000000001</v>
      </c>
      <c r="P554" s="2512">
        <v>725.51900000000001</v>
      </c>
      <c r="Q554" s="2645">
        <f>530.24-530.24</f>
        <v>0</v>
      </c>
      <c r="R554" s="2646">
        <f>530.24-530.24</f>
        <v>0</v>
      </c>
      <c r="S554" s="2515"/>
      <c r="T554" s="2515"/>
      <c r="U554" s="2515"/>
      <c r="V554" s="2644">
        <f>530.24-530.24</f>
        <v>0</v>
      </c>
      <c r="W554" s="2644">
        <f>530.24-530.24</f>
        <v>0</v>
      </c>
    </row>
    <row r="555" spans="1:256" ht="39" x14ac:dyDescent="0.25">
      <c r="A555" s="32"/>
      <c r="B555" s="1093" t="s">
        <v>111</v>
      </c>
      <c r="C555" s="88"/>
      <c r="D555" s="88"/>
      <c r="E555" s="88"/>
      <c r="F555" s="34" t="s">
        <v>110</v>
      </c>
      <c r="G555" s="88"/>
      <c r="H555" s="88"/>
      <c r="I555" s="88"/>
      <c r="J555" s="1064">
        <f>J556</f>
        <v>1183.2429999999999</v>
      </c>
      <c r="K555" s="1061"/>
      <c r="L555" s="1061"/>
      <c r="M555" s="1125"/>
      <c r="N555" s="2516">
        <f t="shared" ref="N555:R559" si="257">N556</f>
        <v>1594.0889999999999</v>
      </c>
      <c r="O555" s="2557">
        <f t="shared" si="257"/>
        <v>1627.663</v>
      </c>
      <c r="P555" s="2558">
        <f t="shared" si="257"/>
        <v>1782.7329999999999</v>
      </c>
      <c r="Q555" s="2559">
        <f t="shared" si="257"/>
        <v>1573.104</v>
      </c>
      <c r="R555" s="2560">
        <f t="shared" si="257"/>
        <v>1636.028</v>
      </c>
      <c r="S555" s="2515"/>
      <c r="T555" s="2515"/>
      <c r="U555" s="2515"/>
      <c r="V555" s="2516">
        <f t="shared" ref="V555:W559" si="258">V556</f>
        <v>1657.854</v>
      </c>
      <c r="W555" s="2516">
        <f t="shared" si="258"/>
        <v>1724.1669999999999</v>
      </c>
    </row>
    <row r="556" spans="1:256" ht="13" x14ac:dyDescent="0.25">
      <c r="A556" s="32"/>
      <c r="B556" s="1093" t="s">
        <v>109</v>
      </c>
      <c r="C556" s="88"/>
      <c r="D556" s="88"/>
      <c r="E556" s="88"/>
      <c r="F556" s="9" t="s">
        <v>108</v>
      </c>
      <c r="G556" s="88"/>
      <c r="H556" s="88"/>
      <c r="I556" s="88"/>
      <c r="J556" s="1061">
        <f>J557</f>
        <v>1183.2429999999999</v>
      </c>
      <c r="K556" s="1061"/>
      <c r="L556" s="1061"/>
      <c r="M556" s="1125"/>
      <c r="N556" s="2541">
        <f t="shared" si="257"/>
        <v>1594.0889999999999</v>
      </c>
      <c r="O556" s="2542">
        <f t="shared" si="257"/>
        <v>1627.663</v>
      </c>
      <c r="P556" s="2543">
        <f t="shared" si="257"/>
        <v>1782.7329999999999</v>
      </c>
      <c r="Q556" s="2544">
        <f t="shared" si="257"/>
        <v>1573.104</v>
      </c>
      <c r="R556" s="2545">
        <f t="shared" si="257"/>
        <v>1636.028</v>
      </c>
      <c r="S556" s="2515"/>
      <c r="T556" s="2515"/>
      <c r="U556" s="2515"/>
      <c r="V556" s="2541">
        <f t="shared" si="258"/>
        <v>1657.854</v>
      </c>
      <c r="W556" s="2541">
        <f t="shared" si="258"/>
        <v>1724.1669999999999</v>
      </c>
    </row>
    <row r="557" spans="1:256" ht="26" x14ac:dyDescent="0.25">
      <c r="A557" s="32"/>
      <c r="B557" s="49" t="s">
        <v>107</v>
      </c>
      <c r="C557" s="88" t="s">
        <v>106</v>
      </c>
      <c r="D557" s="88" t="s">
        <v>69</v>
      </c>
      <c r="E557" s="88" t="s">
        <v>103</v>
      </c>
      <c r="F557" s="9" t="s">
        <v>104</v>
      </c>
      <c r="G557" s="9"/>
      <c r="H557" s="9"/>
      <c r="I557" s="88"/>
      <c r="J557" s="1060">
        <f>J559</f>
        <v>1183.2429999999999</v>
      </c>
      <c r="K557" s="1059"/>
      <c r="L557" s="1059">
        <f t="shared" ref="L557:R557" si="259">L559</f>
        <v>1223.8879999999999</v>
      </c>
      <c r="M557" s="1555">
        <f t="shared" si="259"/>
        <v>1309.56</v>
      </c>
      <c r="N557" s="2510">
        <f t="shared" si="259"/>
        <v>1594.0889999999999</v>
      </c>
      <c r="O557" s="2511">
        <f t="shared" si="259"/>
        <v>1627.663</v>
      </c>
      <c r="P557" s="2512">
        <f t="shared" si="259"/>
        <v>1782.7329999999999</v>
      </c>
      <c r="Q557" s="2513">
        <f t="shared" si="259"/>
        <v>1573.104</v>
      </c>
      <c r="R557" s="2514">
        <f t="shared" si="259"/>
        <v>1636.028</v>
      </c>
      <c r="S557" s="2515"/>
      <c r="T557" s="2515"/>
      <c r="U557" s="2515"/>
      <c r="V557" s="2510">
        <f>V559</f>
        <v>1657.854</v>
      </c>
      <c r="W557" s="2510">
        <f>W559</f>
        <v>1724.1669999999999</v>
      </c>
    </row>
    <row r="558" spans="1:256" ht="39" hidden="1" x14ac:dyDescent="0.25">
      <c r="A558" s="32"/>
      <c r="B558" s="49" t="s">
        <v>1063</v>
      </c>
      <c r="C558" s="88"/>
      <c r="D558" s="88"/>
      <c r="E558" s="88"/>
      <c r="F558" s="9" t="s">
        <v>104</v>
      </c>
      <c r="G558" s="9" t="s">
        <v>1062</v>
      </c>
      <c r="H558" s="9"/>
      <c r="I558" s="88"/>
      <c r="J558" s="1060"/>
      <c r="K558" s="1059"/>
      <c r="L558" s="1059"/>
      <c r="M558" s="1555"/>
      <c r="N558" s="2510">
        <f>N559</f>
        <v>1594.0889999999999</v>
      </c>
      <c r="O558" s="2511"/>
      <c r="P558" s="2512"/>
      <c r="Q558" s="2513"/>
      <c r="R558" s="2514"/>
      <c r="S558" s="2515"/>
      <c r="T558" s="2515"/>
      <c r="U558" s="2515"/>
      <c r="V558" s="2510">
        <f t="shared" ref="V558:W558" si="260">V559</f>
        <v>1657.854</v>
      </c>
      <c r="W558" s="2510">
        <f t="shared" si="260"/>
        <v>1724.1669999999999</v>
      </c>
    </row>
    <row r="559" spans="1:256" ht="13" x14ac:dyDescent="0.3">
      <c r="A559" s="32"/>
      <c r="B559" s="744" t="s">
        <v>7</v>
      </c>
      <c r="C559" s="88"/>
      <c r="D559" s="88" t="s">
        <v>69</v>
      </c>
      <c r="E559" s="88" t="s">
        <v>103</v>
      </c>
      <c r="F559" s="9" t="s">
        <v>104</v>
      </c>
      <c r="G559" s="88">
        <v>120</v>
      </c>
      <c r="H559" s="88"/>
      <c r="I559" s="88"/>
      <c r="J559" s="1060">
        <f>J560</f>
        <v>1183.2429999999999</v>
      </c>
      <c r="K559" s="1060"/>
      <c r="L559" s="1061">
        <v>1223.8879999999999</v>
      </c>
      <c r="M559" s="1550">
        <v>1309.56</v>
      </c>
      <c r="N559" s="2510">
        <f t="shared" si="257"/>
        <v>1594.0889999999999</v>
      </c>
      <c r="O559" s="2511">
        <f t="shared" si="257"/>
        <v>1627.663</v>
      </c>
      <c r="P559" s="2512">
        <f t="shared" si="257"/>
        <v>1782.7329999999999</v>
      </c>
      <c r="Q559" s="2513">
        <f t="shared" si="257"/>
        <v>1573.104</v>
      </c>
      <c r="R559" s="2514">
        <f t="shared" si="257"/>
        <v>1636.028</v>
      </c>
      <c r="S559" s="2515"/>
      <c r="T559" s="2515"/>
      <c r="U559" s="2515"/>
      <c r="V559" s="2510">
        <f t="shared" si="258"/>
        <v>1657.854</v>
      </c>
      <c r="W559" s="2510">
        <f t="shared" si="258"/>
        <v>1724.1669999999999</v>
      </c>
    </row>
    <row r="560" spans="1:256" ht="39" x14ac:dyDescent="0.3">
      <c r="A560" s="32"/>
      <c r="B560" s="2066" t="s">
        <v>105</v>
      </c>
      <c r="C560" s="88"/>
      <c r="D560" s="88"/>
      <c r="E560" s="88"/>
      <c r="F560" s="9" t="s">
        <v>104</v>
      </c>
      <c r="G560" s="88">
        <v>120</v>
      </c>
      <c r="H560" s="9" t="s">
        <v>456</v>
      </c>
      <c r="I560" s="33" t="s">
        <v>452</v>
      </c>
      <c r="J560" s="1060">
        <f>946.688+236.555</f>
        <v>1183.2429999999999</v>
      </c>
      <c r="K560" s="1060"/>
      <c r="L560" s="1061">
        <v>1223.8879999999999</v>
      </c>
      <c r="M560" s="1550">
        <v>1309.56</v>
      </c>
      <c r="N560" s="2510">
        <v>1594.0889999999999</v>
      </c>
      <c r="O560" s="2511">
        <v>1627.663</v>
      </c>
      <c r="P560" s="2512">
        <v>1782.7329999999999</v>
      </c>
      <c r="Q560" s="2513">
        <v>1573.104</v>
      </c>
      <c r="R560" s="2514">
        <v>1636.028</v>
      </c>
      <c r="S560" s="2515"/>
      <c r="T560" s="2515"/>
      <c r="U560" s="2515"/>
      <c r="V560" s="2510">
        <v>1657.854</v>
      </c>
      <c r="W560" s="2510">
        <v>1724.1669999999999</v>
      </c>
    </row>
    <row r="561" spans="1:26" ht="26" x14ac:dyDescent="0.25">
      <c r="A561" s="91">
        <v>14</v>
      </c>
      <c r="B561" s="52" t="s">
        <v>102</v>
      </c>
      <c r="C561" s="34"/>
      <c r="D561" s="34" t="s">
        <v>69</v>
      </c>
      <c r="E561" s="34" t="s">
        <v>90</v>
      </c>
      <c r="F561" s="34" t="s">
        <v>101</v>
      </c>
      <c r="G561" s="34"/>
      <c r="H561" s="34"/>
      <c r="I561" s="34"/>
      <c r="J561" s="1065">
        <f>J563</f>
        <v>213.2</v>
      </c>
      <c r="K561" s="1065"/>
      <c r="L561" s="1065">
        <f>L564</f>
        <v>108</v>
      </c>
      <c r="M561" s="1552">
        <f>M564</f>
        <v>108</v>
      </c>
      <c r="N561" s="2516">
        <f>N562</f>
        <v>2202.8000000000002</v>
      </c>
      <c r="O561" s="2557">
        <f t="shared" ref="O561:R562" si="261">O562</f>
        <v>213.5</v>
      </c>
      <c r="P561" s="2558">
        <f t="shared" si="261"/>
        <v>213.5</v>
      </c>
      <c r="Q561" s="2559">
        <f t="shared" si="261"/>
        <v>500</v>
      </c>
      <c r="R561" s="2560">
        <f t="shared" si="261"/>
        <v>600</v>
      </c>
      <c r="S561" s="2515"/>
      <c r="T561" s="2515"/>
      <c r="U561" s="2515"/>
      <c r="V561" s="2516">
        <f t="shared" ref="V561:W563" si="262">V562</f>
        <v>560</v>
      </c>
      <c r="W561" s="2516">
        <f t="shared" si="262"/>
        <v>1660</v>
      </c>
    </row>
    <row r="562" spans="1:26" ht="13" x14ac:dyDescent="0.25">
      <c r="A562" s="91"/>
      <c r="B562" s="49" t="s">
        <v>83</v>
      </c>
      <c r="C562" s="34"/>
      <c r="D562" s="34"/>
      <c r="E562" s="34"/>
      <c r="F562" s="9" t="s">
        <v>100</v>
      </c>
      <c r="G562" s="34"/>
      <c r="H562" s="34"/>
      <c r="I562" s="34"/>
      <c r="J562" s="1065"/>
      <c r="K562" s="1065"/>
      <c r="L562" s="1065"/>
      <c r="M562" s="1552"/>
      <c r="N562" s="2541">
        <f>N563</f>
        <v>2202.8000000000002</v>
      </c>
      <c r="O562" s="2542">
        <f t="shared" si="261"/>
        <v>213.5</v>
      </c>
      <c r="P562" s="2543">
        <f t="shared" si="261"/>
        <v>213.5</v>
      </c>
      <c r="Q562" s="2544">
        <f t="shared" si="261"/>
        <v>500</v>
      </c>
      <c r="R562" s="2545">
        <f t="shared" si="261"/>
        <v>600</v>
      </c>
      <c r="S562" s="2515"/>
      <c r="T562" s="2515"/>
      <c r="U562" s="2515"/>
      <c r="V562" s="2541">
        <f t="shared" si="262"/>
        <v>560</v>
      </c>
      <c r="W562" s="2541">
        <f t="shared" si="262"/>
        <v>1660</v>
      </c>
    </row>
    <row r="563" spans="1:26" ht="13" x14ac:dyDescent="0.25">
      <c r="A563" s="91"/>
      <c r="B563" s="49" t="s">
        <v>83</v>
      </c>
      <c r="C563" s="34"/>
      <c r="D563" s="34"/>
      <c r="E563" s="34"/>
      <c r="F563" s="9" t="s">
        <v>99</v>
      </c>
      <c r="G563" s="34"/>
      <c r="H563" s="34"/>
      <c r="I563" s="34"/>
      <c r="J563" s="1063">
        <f>J567+J574</f>
        <v>213.2</v>
      </c>
      <c r="K563" s="1065"/>
      <c r="L563" s="1065"/>
      <c r="M563" s="1552"/>
      <c r="N563" s="2541">
        <f>N564</f>
        <v>2202.8000000000002</v>
      </c>
      <c r="O563" s="2542">
        <f>O567+O574</f>
        <v>213.5</v>
      </c>
      <c r="P563" s="2543">
        <f>P567+P574</f>
        <v>213.5</v>
      </c>
      <c r="Q563" s="2544">
        <f>Q567+Q574</f>
        <v>500</v>
      </c>
      <c r="R563" s="2545">
        <f>R567+R574</f>
        <v>600</v>
      </c>
      <c r="S563" s="2515"/>
      <c r="T563" s="2515"/>
      <c r="U563" s="2515"/>
      <c r="V563" s="2541">
        <f t="shared" si="262"/>
        <v>560</v>
      </c>
      <c r="W563" s="2541">
        <f t="shared" si="262"/>
        <v>1660</v>
      </c>
    </row>
    <row r="564" spans="1:26" ht="13" x14ac:dyDescent="0.25">
      <c r="A564" s="32"/>
      <c r="B564" s="49" t="s">
        <v>98</v>
      </c>
      <c r="C564" s="34"/>
      <c r="D564" s="9" t="s">
        <v>69</v>
      </c>
      <c r="E564" s="9" t="s">
        <v>90</v>
      </c>
      <c r="F564" s="9" t="s">
        <v>92</v>
      </c>
      <c r="G564" s="34"/>
      <c r="H564" s="34"/>
      <c r="I564" s="9"/>
      <c r="J564" s="1063">
        <f>J566</f>
        <v>198.2</v>
      </c>
      <c r="K564" s="1063"/>
      <c r="L564" s="1063">
        <f>L566+L573</f>
        <v>108</v>
      </c>
      <c r="M564" s="1125">
        <f>M566+M573</f>
        <v>108</v>
      </c>
      <c r="N564" s="2541">
        <f>N567+N572+N574</f>
        <v>2202.8000000000002</v>
      </c>
      <c r="O564" s="2542">
        <f>O566</f>
        <v>178.5</v>
      </c>
      <c r="P564" s="2543">
        <f>P566</f>
        <v>178.5</v>
      </c>
      <c r="Q564" s="2544">
        <f>Q566+Q573</f>
        <v>500</v>
      </c>
      <c r="R564" s="2545">
        <f>R566+R573</f>
        <v>600</v>
      </c>
      <c r="S564" s="2515"/>
      <c r="T564" s="2515"/>
      <c r="U564" s="2515"/>
      <c r="V564" s="2541">
        <f>V567+V572+V574</f>
        <v>560</v>
      </c>
      <c r="W564" s="2541">
        <f>W567+W572+W574</f>
        <v>1660</v>
      </c>
    </row>
    <row r="565" spans="1:26" ht="26" x14ac:dyDescent="0.25">
      <c r="A565" s="32"/>
      <c r="B565" s="724" t="s">
        <v>948</v>
      </c>
      <c r="C565" s="34"/>
      <c r="D565" s="9"/>
      <c r="E565" s="9"/>
      <c r="F565" s="9" t="s">
        <v>92</v>
      </c>
      <c r="G565" s="9" t="s">
        <v>955</v>
      </c>
      <c r="H565" s="34"/>
      <c r="I565" s="9"/>
      <c r="J565" s="1063"/>
      <c r="K565" s="1063"/>
      <c r="L565" s="1063"/>
      <c r="M565" s="1125"/>
      <c r="N565" s="2541">
        <f>N566</f>
        <v>1586.9684</v>
      </c>
      <c r="O565" s="2542"/>
      <c r="P565" s="2543"/>
      <c r="Q565" s="2544"/>
      <c r="R565" s="2545"/>
      <c r="S565" s="2515"/>
      <c r="T565" s="2515"/>
      <c r="U565" s="2515"/>
      <c r="V565" s="2541">
        <f t="shared" ref="V565:W565" si="263">V566</f>
        <v>550</v>
      </c>
      <c r="W565" s="2541">
        <f t="shared" si="263"/>
        <v>1650</v>
      </c>
    </row>
    <row r="566" spans="1:26" ht="26" x14ac:dyDescent="0.25">
      <c r="A566" s="32"/>
      <c r="B566" s="1993" t="s">
        <v>4</v>
      </c>
      <c r="C566" s="34"/>
      <c r="D566" s="9" t="s">
        <v>69</v>
      </c>
      <c r="E566" s="9" t="s">
        <v>90</v>
      </c>
      <c r="F566" s="9" t="s">
        <v>92</v>
      </c>
      <c r="G566" s="9" t="s">
        <v>1</v>
      </c>
      <c r="H566" s="9"/>
      <c r="I566" s="9"/>
      <c r="J566" s="1063">
        <f>J567</f>
        <v>198.2</v>
      </c>
      <c r="K566" s="1063"/>
      <c r="L566" s="1063">
        <v>105</v>
      </c>
      <c r="M566" s="1125">
        <v>105</v>
      </c>
      <c r="N566" s="2541">
        <f t="shared" ref="N566:R566" si="264">N567</f>
        <v>1586.9684</v>
      </c>
      <c r="O566" s="2542">
        <f t="shared" si="264"/>
        <v>178.5</v>
      </c>
      <c r="P566" s="2543">
        <f t="shared" si="264"/>
        <v>178.5</v>
      </c>
      <c r="Q566" s="2544">
        <f t="shared" si="264"/>
        <v>400</v>
      </c>
      <c r="R566" s="2545">
        <f t="shared" si="264"/>
        <v>500</v>
      </c>
      <c r="S566" s="2515"/>
      <c r="T566" s="2515"/>
      <c r="U566" s="2515"/>
      <c r="V566" s="2541">
        <f t="shared" ref="V566:W566" si="265">V567</f>
        <v>550</v>
      </c>
      <c r="W566" s="2541">
        <f t="shared" si="265"/>
        <v>1650</v>
      </c>
    </row>
    <row r="567" spans="1:26" ht="13" x14ac:dyDescent="0.25">
      <c r="A567" s="32"/>
      <c r="B567" s="52" t="s">
        <v>93</v>
      </c>
      <c r="C567" s="34"/>
      <c r="D567" s="9"/>
      <c r="E567" s="9"/>
      <c r="F567" s="9" t="s">
        <v>92</v>
      </c>
      <c r="G567" s="9" t="s">
        <v>1</v>
      </c>
      <c r="H567" s="9" t="s">
        <v>456</v>
      </c>
      <c r="I567" s="9" t="s">
        <v>573</v>
      </c>
      <c r="J567" s="1063">
        <v>198.2</v>
      </c>
      <c r="K567" s="1063"/>
      <c r="L567" s="1063">
        <v>105</v>
      </c>
      <c r="M567" s="1125">
        <v>105</v>
      </c>
      <c r="N567" s="2541">
        <f>1500-316.64-189.1916+250+342.8</f>
        <v>1586.9684</v>
      </c>
      <c r="O567" s="2542">
        <v>178.5</v>
      </c>
      <c r="P567" s="2543">
        <v>178.5</v>
      </c>
      <c r="Q567" s="2544">
        <v>400</v>
      </c>
      <c r="R567" s="2545">
        <v>500</v>
      </c>
      <c r="S567" s="2515"/>
      <c r="T567" s="2515"/>
      <c r="U567" s="2515"/>
      <c r="V567" s="2541">
        <f>1650-1100</f>
        <v>550</v>
      </c>
      <c r="W567" s="2541">
        <v>1650</v>
      </c>
    </row>
    <row r="568" spans="1:26" s="83" customFormat="1" ht="13" hidden="1" x14ac:dyDescent="0.3">
      <c r="A568" s="32"/>
      <c r="B568" s="99" t="s">
        <v>97</v>
      </c>
      <c r="C568" s="34"/>
      <c r="D568" s="9" t="s">
        <v>69</v>
      </c>
      <c r="E568" s="9" t="s">
        <v>90</v>
      </c>
      <c r="F568" s="9" t="s">
        <v>96</v>
      </c>
      <c r="G568" s="9" t="s">
        <v>95</v>
      </c>
      <c r="H568" s="9"/>
      <c r="I568" s="1063"/>
      <c r="J568" s="1063">
        <f>J569</f>
        <v>0</v>
      </c>
      <c r="K568" s="1063"/>
      <c r="L568" s="1063"/>
      <c r="M568" s="2"/>
      <c r="N568" s="2541">
        <f>N569</f>
        <v>0</v>
      </c>
      <c r="O568" s="2542">
        <f>O569</f>
        <v>0</v>
      </c>
      <c r="P568" s="2543">
        <f>P569</f>
        <v>0</v>
      </c>
      <c r="Q568" s="2544">
        <f>Q569</f>
        <v>0</v>
      </c>
      <c r="R568" s="2545">
        <f>R569</f>
        <v>0</v>
      </c>
      <c r="S568" s="2515"/>
      <c r="T568" s="2515"/>
      <c r="U568" s="2515"/>
      <c r="V568" s="2541">
        <f>V569</f>
        <v>0</v>
      </c>
      <c r="W568" s="2541">
        <f>W569</f>
        <v>0</v>
      </c>
      <c r="X568" s="84"/>
      <c r="Z568" s="2141"/>
    </row>
    <row r="569" spans="1:26" s="83" customFormat="1" ht="13" hidden="1" x14ac:dyDescent="0.3">
      <c r="A569" s="32"/>
      <c r="B569" s="52" t="s">
        <v>93</v>
      </c>
      <c r="C569" s="34"/>
      <c r="D569" s="9"/>
      <c r="E569" s="9"/>
      <c r="F569" s="9" t="s">
        <v>96</v>
      </c>
      <c r="G569" s="9" t="s">
        <v>95</v>
      </c>
      <c r="H569" s="9"/>
      <c r="I569" s="9" t="s">
        <v>90</v>
      </c>
      <c r="J569" s="1063"/>
      <c r="K569" s="1063"/>
      <c r="L569" s="1063"/>
      <c r="M569" s="1125"/>
      <c r="N569" s="2541"/>
      <c r="O569" s="2542"/>
      <c r="P569" s="2543"/>
      <c r="Q569" s="2544"/>
      <c r="R569" s="2545"/>
      <c r="S569" s="2515"/>
      <c r="T569" s="2515"/>
      <c r="U569" s="2515"/>
      <c r="V569" s="2541"/>
      <c r="W569" s="2541"/>
      <c r="X569" s="84"/>
      <c r="Z569" s="2141"/>
    </row>
    <row r="570" spans="1:26" s="83" customFormat="1" ht="13" x14ac:dyDescent="0.3">
      <c r="A570" s="32"/>
      <c r="B570" s="2152" t="s">
        <v>1065</v>
      </c>
      <c r="C570" s="34"/>
      <c r="D570" s="9"/>
      <c r="E570" s="9"/>
      <c r="F570" s="9" t="s">
        <v>92</v>
      </c>
      <c r="G570" s="9" t="s">
        <v>1064</v>
      </c>
      <c r="H570" s="9"/>
      <c r="I570" s="9"/>
      <c r="J570" s="1063"/>
      <c r="K570" s="1063"/>
      <c r="L570" s="1063"/>
      <c r="M570" s="1125"/>
      <c r="N570" s="2541">
        <f>N571+N573</f>
        <v>615.83159999999998</v>
      </c>
      <c r="O570" s="2542"/>
      <c r="P570" s="2543"/>
      <c r="Q570" s="2544"/>
      <c r="R570" s="2545"/>
      <c r="S570" s="2515"/>
      <c r="T570" s="2515"/>
      <c r="U570" s="2515"/>
      <c r="V570" s="2541">
        <f t="shared" ref="V570:W570" si="266">V571+V573</f>
        <v>10</v>
      </c>
      <c r="W570" s="2541">
        <f t="shared" si="266"/>
        <v>10</v>
      </c>
      <c r="X570" s="84"/>
      <c r="Z570" s="2141"/>
    </row>
    <row r="571" spans="1:26" s="83" customFormat="1" ht="13" x14ac:dyDescent="0.3">
      <c r="A571" s="32"/>
      <c r="B571" s="534" t="s">
        <v>97</v>
      </c>
      <c r="C571" s="34"/>
      <c r="D571" s="9"/>
      <c r="E571" s="9"/>
      <c r="F571" s="9" t="s">
        <v>92</v>
      </c>
      <c r="G571" s="9" t="s">
        <v>95</v>
      </c>
      <c r="H571" s="9"/>
      <c r="I571" s="9"/>
      <c r="J571" s="1063"/>
      <c r="K571" s="1063"/>
      <c r="L571" s="1063"/>
      <c r="M571" s="1125"/>
      <c r="N571" s="2541">
        <f>N572</f>
        <v>605.83159999999998</v>
      </c>
      <c r="O571" s="2542"/>
      <c r="P571" s="2543"/>
      <c r="Q571" s="2544"/>
      <c r="R571" s="2545"/>
      <c r="S571" s="2515"/>
      <c r="T571" s="2515"/>
      <c r="U571" s="2515"/>
      <c r="V571" s="2541">
        <f>V572</f>
        <v>0</v>
      </c>
      <c r="W571" s="2541">
        <f>W572</f>
        <v>0</v>
      </c>
      <c r="X571" s="84"/>
      <c r="Z571" s="2141"/>
    </row>
    <row r="572" spans="1:26" s="83" customFormat="1" ht="13" x14ac:dyDescent="0.3">
      <c r="A572" s="32"/>
      <c r="B572" s="52" t="s">
        <v>93</v>
      </c>
      <c r="C572" s="34"/>
      <c r="D572" s="9"/>
      <c r="E572" s="9"/>
      <c r="F572" s="9" t="s">
        <v>92</v>
      </c>
      <c r="G572" s="9" t="s">
        <v>95</v>
      </c>
      <c r="H572" s="9" t="s">
        <v>456</v>
      </c>
      <c r="I572" s="9" t="s">
        <v>573</v>
      </c>
      <c r="J572" s="1063"/>
      <c r="K572" s="1063"/>
      <c r="L572" s="1063"/>
      <c r="M572" s="1125"/>
      <c r="N572" s="2541">
        <f>100+316.64+189.1916</f>
        <v>605.83159999999998</v>
      </c>
      <c r="O572" s="2542"/>
      <c r="P572" s="2543"/>
      <c r="Q572" s="2544"/>
      <c r="R572" s="2545"/>
      <c r="S572" s="2515"/>
      <c r="T572" s="2515"/>
      <c r="U572" s="2515"/>
      <c r="V572" s="2541">
        <v>0</v>
      </c>
      <c r="W572" s="2541">
        <v>0</v>
      </c>
      <c r="X572" s="84"/>
      <c r="Z572" s="2141"/>
    </row>
    <row r="573" spans="1:26" s="83" customFormat="1" ht="13" x14ac:dyDescent="0.3">
      <c r="A573" s="32"/>
      <c r="B573" s="2003" t="s">
        <v>94</v>
      </c>
      <c r="C573" s="34"/>
      <c r="D573" s="9" t="s">
        <v>69</v>
      </c>
      <c r="E573" s="9" t="s">
        <v>90</v>
      </c>
      <c r="F573" s="9" t="s">
        <v>92</v>
      </c>
      <c r="G573" s="9" t="s">
        <v>91</v>
      </c>
      <c r="H573" s="9"/>
      <c r="I573" s="9"/>
      <c r="J573" s="1063">
        <f>J574</f>
        <v>15</v>
      </c>
      <c r="K573" s="1063"/>
      <c r="L573" s="1063">
        <v>3</v>
      </c>
      <c r="M573" s="1125">
        <v>3</v>
      </c>
      <c r="N573" s="2541">
        <f>N574</f>
        <v>10</v>
      </c>
      <c r="O573" s="2542">
        <f>O574</f>
        <v>35</v>
      </c>
      <c r="P573" s="2543">
        <f>P574</f>
        <v>35</v>
      </c>
      <c r="Q573" s="2544">
        <f>Q574</f>
        <v>100</v>
      </c>
      <c r="R573" s="2545">
        <f>R574</f>
        <v>100</v>
      </c>
      <c r="S573" s="2515"/>
      <c r="T573" s="2515"/>
      <c r="U573" s="2515"/>
      <c r="V573" s="2541">
        <f>V574</f>
        <v>10</v>
      </c>
      <c r="W573" s="2541">
        <f>W574</f>
        <v>10</v>
      </c>
      <c r="X573" s="84"/>
      <c r="Z573" s="2141"/>
    </row>
    <row r="574" spans="1:26" s="83" customFormat="1" ht="13" x14ac:dyDescent="0.3">
      <c r="A574" s="32"/>
      <c r="B574" s="52" t="s">
        <v>93</v>
      </c>
      <c r="C574" s="34"/>
      <c r="D574" s="9"/>
      <c r="E574" s="9"/>
      <c r="F574" s="9" t="s">
        <v>92</v>
      </c>
      <c r="G574" s="9" t="s">
        <v>91</v>
      </c>
      <c r="H574" s="9" t="s">
        <v>456</v>
      </c>
      <c r="I574" s="9" t="s">
        <v>573</v>
      </c>
      <c r="J574" s="1063">
        <f>13+2</f>
        <v>15</v>
      </c>
      <c r="K574" s="1063"/>
      <c r="L574" s="1063">
        <v>3</v>
      </c>
      <c r="M574" s="1125">
        <v>3</v>
      </c>
      <c r="N574" s="2541">
        <v>10</v>
      </c>
      <c r="O574" s="2542">
        <v>35</v>
      </c>
      <c r="P574" s="2543">
        <v>35</v>
      </c>
      <c r="Q574" s="2544">
        <v>100</v>
      </c>
      <c r="R574" s="2545">
        <v>100</v>
      </c>
      <c r="S574" s="2515"/>
      <c r="T574" s="2515"/>
      <c r="U574" s="2515"/>
      <c r="V574" s="2541">
        <v>10</v>
      </c>
      <c r="W574" s="2541">
        <v>10</v>
      </c>
      <c r="X574" s="84"/>
      <c r="Z574" s="2141"/>
    </row>
    <row r="575" spans="1:26" s="83" customFormat="1" ht="39" x14ac:dyDescent="0.3">
      <c r="A575" s="91">
        <v>14</v>
      </c>
      <c r="B575" s="52" t="s">
        <v>25</v>
      </c>
      <c r="C575" s="9"/>
      <c r="D575" s="94" t="s">
        <v>69</v>
      </c>
      <c r="E575" s="34" t="s">
        <v>66</v>
      </c>
      <c r="F575" s="94" t="s">
        <v>89</v>
      </c>
      <c r="G575" s="94"/>
      <c r="H575" s="94"/>
      <c r="I575" s="34"/>
      <c r="J575" s="1072">
        <f>J589+J602+J605+J623+J628+J667+J670+J681+J583+J653+J599+J585+J658+J661+J576+J595+J596+J719</f>
        <v>32462.342000000001</v>
      </c>
      <c r="K575" s="1061"/>
      <c r="L575" s="1064">
        <f>L589+L602+L605+L623+L628+L667+L670+L723+L583+L653</f>
        <v>13168.182999999999</v>
      </c>
      <c r="M575" s="1563">
        <f>M589+M602+M605+M623+M628+M667+M670+M723+M583+M653</f>
        <v>13168.182999999999</v>
      </c>
      <c r="N575" s="2516">
        <f>N579</f>
        <v>14443.167959999999</v>
      </c>
      <c r="O575" s="2557">
        <f>O584+O592+O626+O652+O654+O657+O669+O683+O685+O722</f>
        <v>4416.915</v>
      </c>
      <c r="P575" s="2558">
        <f>P584+P592+P626+P652+P654+P657+P669+P683+P685+P722</f>
        <v>4792.1499999999996</v>
      </c>
      <c r="Q575" s="2559">
        <f>Q584+Q592+Q615+Q626+Q652+Q695+Q698+Q701+Q707+Q722</f>
        <v>7937.2269999999999</v>
      </c>
      <c r="R575" s="2560">
        <f>R584+R592+R615+R619+R626+R652+R695+R698+R701+R707+R722</f>
        <v>7219.3109999999997</v>
      </c>
      <c r="S575" s="2546"/>
      <c r="T575" s="2546"/>
      <c r="U575" s="2546"/>
      <c r="V575" s="2516">
        <f>V579</f>
        <v>10776.649230000001</v>
      </c>
      <c r="W575" s="2516">
        <f>W579</f>
        <v>17976.542999999998</v>
      </c>
      <c r="X575" s="84"/>
      <c r="Z575" s="2141"/>
    </row>
    <row r="576" spans="1:26" s="83" customFormat="1" ht="23.5" hidden="1" customHeight="1" x14ac:dyDescent="0.3">
      <c r="A576" s="91"/>
      <c r="B576" s="336" t="s">
        <v>88</v>
      </c>
      <c r="C576" s="9"/>
      <c r="D576" s="94"/>
      <c r="E576" s="34"/>
      <c r="F576" s="34" t="s">
        <v>86</v>
      </c>
      <c r="G576" s="94"/>
      <c r="H576" s="94"/>
      <c r="I576" s="34"/>
      <c r="J576" s="1060"/>
      <c r="K576" s="1061"/>
      <c r="L576" s="1064"/>
      <c r="M576" s="1563"/>
      <c r="N576" s="2510"/>
      <c r="O576" s="2511"/>
      <c r="P576" s="2512"/>
      <c r="Q576" s="2513"/>
      <c r="R576" s="2514"/>
      <c r="S576" s="2546"/>
      <c r="T576" s="2546"/>
      <c r="U576" s="2546"/>
      <c r="V576" s="2510"/>
      <c r="W576" s="2510"/>
      <c r="X576" s="84"/>
      <c r="Z576" s="2141"/>
    </row>
    <row r="577" spans="1:26" s="83" customFormat="1" ht="26" hidden="1" x14ac:dyDescent="0.3">
      <c r="A577" s="91"/>
      <c r="B577" s="1993" t="s">
        <v>4</v>
      </c>
      <c r="C577" s="9"/>
      <c r="D577" s="94"/>
      <c r="E577" s="34"/>
      <c r="F577" s="9" t="s">
        <v>86</v>
      </c>
      <c r="G577" s="9" t="s">
        <v>1</v>
      </c>
      <c r="H577" s="9"/>
      <c r="I577" s="34"/>
      <c r="J577" s="1060"/>
      <c r="K577" s="1061"/>
      <c r="L577" s="1064"/>
      <c r="M577" s="1563"/>
      <c r="N577" s="2510"/>
      <c r="O577" s="2511"/>
      <c r="P577" s="2512"/>
      <c r="Q577" s="2513"/>
      <c r="R577" s="2514"/>
      <c r="S577" s="2546"/>
      <c r="T577" s="2546"/>
      <c r="U577" s="2546"/>
      <c r="V577" s="2510"/>
      <c r="W577" s="2510"/>
      <c r="X577" s="84"/>
      <c r="Z577" s="2141"/>
    </row>
    <row r="578" spans="1:26" s="83" customFormat="1" ht="13" hidden="1" x14ac:dyDescent="0.3">
      <c r="A578" s="91"/>
      <c r="B578" s="49" t="s">
        <v>87</v>
      </c>
      <c r="C578" s="9"/>
      <c r="D578" s="94"/>
      <c r="E578" s="34"/>
      <c r="F578" s="9" t="s">
        <v>86</v>
      </c>
      <c r="G578" s="9" t="s">
        <v>1</v>
      </c>
      <c r="H578" s="9"/>
      <c r="I578" s="33" t="s">
        <v>85</v>
      </c>
      <c r="J578" s="1060"/>
      <c r="K578" s="1061"/>
      <c r="L578" s="1064"/>
      <c r="M578" s="1563"/>
      <c r="N578" s="2510"/>
      <c r="O578" s="2511"/>
      <c r="P578" s="2512"/>
      <c r="Q578" s="2513"/>
      <c r="R578" s="2514"/>
      <c r="S578" s="2546"/>
      <c r="T578" s="2546"/>
      <c r="U578" s="2546"/>
      <c r="V578" s="2510"/>
      <c r="W578" s="2510"/>
      <c r="X578" s="84"/>
      <c r="Z578" s="2141"/>
    </row>
    <row r="579" spans="1:26" s="83" customFormat="1" ht="13" x14ac:dyDescent="0.3">
      <c r="A579" s="91"/>
      <c r="B579" s="49" t="s">
        <v>83</v>
      </c>
      <c r="C579" s="9"/>
      <c r="D579" s="94"/>
      <c r="E579" s="34"/>
      <c r="F579" s="88" t="s">
        <v>84</v>
      </c>
      <c r="G579" s="9"/>
      <c r="H579" s="9"/>
      <c r="I579" s="33"/>
      <c r="J579" s="1060">
        <f>J580</f>
        <v>32462.342000000001</v>
      </c>
      <c r="K579" s="1061"/>
      <c r="L579" s="1064"/>
      <c r="M579" s="1563"/>
      <c r="N579" s="2510">
        <f>N580</f>
        <v>14443.167959999999</v>
      </c>
      <c r="O579" s="2511">
        <f>O580</f>
        <v>4416.915</v>
      </c>
      <c r="P579" s="2512">
        <f>P580</f>
        <v>4792.1499999999996</v>
      </c>
      <c r="Q579" s="2513">
        <f>Q580</f>
        <v>7937.2269999999999</v>
      </c>
      <c r="R579" s="2514">
        <f>R580</f>
        <v>7219.3109999999997</v>
      </c>
      <c r="S579" s="2546"/>
      <c r="T579" s="2546"/>
      <c r="U579" s="2546"/>
      <c r="V579" s="2510">
        <f>V580</f>
        <v>10776.649230000001</v>
      </c>
      <c r="W579" s="2510">
        <f>W580</f>
        <v>17976.542999999998</v>
      </c>
      <c r="X579" s="84"/>
      <c r="Z579" s="2141"/>
    </row>
    <row r="580" spans="1:26" s="83" customFormat="1" ht="13" x14ac:dyDescent="0.3">
      <c r="A580" s="91"/>
      <c r="B580" s="49" t="s">
        <v>83</v>
      </c>
      <c r="C580" s="9"/>
      <c r="D580" s="94"/>
      <c r="E580" s="34"/>
      <c r="F580" s="88" t="s">
        <v>82</v>
      </c>
      <c r="G580" s="9"/>
      <c r="H580" s="9"/>
      <c r="I580" s="33"/>
      <c r="J580" s="1060">
        <f>J575</f>
        <v>32462.342000000001</v>
      </c>
      <c r="K580" s="1061"/>
      <c r="L580" s="1064"/>
      <c r="M580" s="1563"/>
      <c r="N580" s="2510">
        <f>N584+N587+N592+N615+N619+N626+N648+N652+N691+N695+N698+N701+N722+N704+N633+N637+N645+N611+N641+N711+N715+N718</f>
        <v>14443.167959999999</v>
      </c>
      <c r="O580" s="2511">
        <f>O575</f>
        <v>4416.915</v>
      </c>
      <c r="P580" s="2512">
        <f>P575</f>
        <v>4792.1499999999996</v>
      </c>
      <c r="Q580" s="2513">
        <f>Q575</f>
        <v>7937.2269999999999</v>
      </c>
      <c r="R580" s="2513">
        <f>R575</f>
        <v>7219.3109999999997</v>
      </c>
      <c r="S580" s="2546"/>
      <c r="T580" s="2546"/>
      <c r="U580" s="2546"/>
      <c r="V580" s="2510">
        <f>V584+V587+V592+V615+V619+V626+V648+V652+V691+V695+V698+V701+V722+V704+V633+V637+V645+V715</f>
        <v>10776.649230000001</v>
      </c>
      <c r="W580" s="2510">
        <f>W584+W587+W592+W615+W619+W626+W648+W652+W691+W695+W698+W701+W722+W704+W633+W637+W645+W715</f>
        <v>17976.542999999998</v>
      </c>
      <c r="X580" s="84"/>
      <c r="Z580" s="2141"/>
    </row>
    <row r="581" spans="1:26" ht="30" customHeight="1" x14ac:dyDescent="0.3">
      <c r="A581" s="91"/>
      <c r="B581" s="262" t="s">
        <v>81</v>
      </c>
      <c r="C581" s="9"/>
      <c r="D581" s="94"/>
      <c r="E581" s="34"/>
      <c r="F581" s="79" t="s">
        <v>78</v>
      </c>
      <c r="G581" s="9"/>
      <c r="H581" s="9"/>
      <c r="I581" s="33"/>
      <c r="J581" s="1060">
        <f>J583</f>
        <v>48</v>
      </c>
      <c r="K581" s="1061"/>
      <c r="L581" s="1064"/>
      <c r="M581" s="1563"/>
      <c r="N581" s="2629">
        <f>N583</f>
        <v>690.87300000000005</v>
      </c>
      <c r="O581" s="2630">
        <f>O583</f>
        <v>531.38</v>
      </c>
      <c r="P581" s="2631">
        <f>P583</f>
        <v>584.51300000000003</v>
      </c>
      <c r="Q581" s="2632">
        <f>Q583</f>
        <v>639.61699999999996</v>
      </c>
      <c r="R581" s="2633">
        <f>R583</f>
        <v>665.20100000000002</v>
      </c>
      <c r="S581" s="2546"/>
      <c r="T581" s="2546"/>
      <c r="U581" s="2546"/>
      <c r="V581" s="2629">
        <f>V583</f>
        <v>718.50800000000004</v>
      </c>
      <c r="W581" s="2629">
        <f>W583</f>
        <v>747.24800000000005</v>
      </c>
    </row>
    <row r="582" spans="1:26" ht="19.5" customHeight="1" x14ac:dyDescent="0.3">
      <c r="A582" s="91"/>
      <c r="B582" s="2153" t="s">
        <v>852</v>
      </c>
      <c r="C582" s="9"/>
      <c r="D582" s="94"/>
      <c r="E582" s="34"/>
      <c r="F582" s="77" t="s">
        <v>78</v>
      </c>
      <c r="G582" s="9" t="s">
        <v>860</v>
      </c>
      <c r="H582" s="9"/>
      <c r="I582" s="33"/>
      <c r="J582" s="1060"/>
      <c r="K582" s="1061"/>
      <c r="L582" s="1064"/>
      <c r="M582" s="1563"/>
      <c r="N582" s="2629">
        <f>N583</f>
        <v>690.87300000000005</v>
      </c>
      <c r="O582" s="2630"/>
      <c r="P582" s="2631"/>
      <c r="Q582" s="2632"/>
      <c r="R582" s="2633"/>
      <c r="S582" s="2546"/>
      <c r="T582" s="2546"/>
      <c r="U582" s="2546"/>
      <c r="V582" s="2629">
        <f t="shared" ref="V582:W582" si="267">V583</f>
        <v>718.50800000000004</v>
      </c>
      <c r="W582" s="2629">
        <f t="shared" si="267"/>
        <v>747.24800000000005</v>
      </c>
    </row>
    <row r="583" spans="1:26" ht="26" x14ac:dyDescent="0.3">
      <c r="A583" s="91"/>
      <c r="B583" s="2012" t="s">
        <v>80</v>
      </c>
      <c r="C583" s="89"/>
      <c r="D583" s="9" t="s">
        <v>44</v>
      </c>
      <c r="E583" s="9" t="s">
        <v>76</v>
      </c>
      <c r="F583" s="77" t="s">
        <v>78</v>
      </c>
      <c r="G583" s="33" t="s">
        <v>77</v>
      </c>
      <c r="H583" s="33"/>
      <c r="I583" s="89"/>
      <c r="J583" s="1063">
        <f>J584</f>
        <v>48</v>
      </c>
      <c r="K583" s="1063">
        <f>K584</f>
        <v>240.5</v>
      </c>
      <c r="L583" s="1063">
        <f>L584</f>
        <v>240.5</v>
      </c>
      <c r="M583" s="1125">
        <f>M584</f>
        <v>240.5</v>
      </c>
      <c r="N583" s="2541">
        <f t="shared" ref="N583:R583" si="268">N584</f>
        <v>690.87300000000005</v>
      </c>
      <c r="O583" s="2542">
        <f t="shared" si="268"/>
        <v>531.38</v>
      </c>
      <c r="P583" s="2543">
        <f t="shared" si="268"/>
        <v>584.51300000000003</v>
      </c>
      <c r="Q583" s="2544">
        <f t="shared" si="268"/>
        <v>639.61699999999996</v>
      </c>
      <c r="R583" s="2545">
        <f t="shared" si="268"/>
        <v>665.20100000000002</v>
      </c>
      <c r="S583" s="2546"/>
      <c r="T583" s="2546"/>
      <c r="U583" s="2546"/>
      <c r="V583" s="2541">
        <f t="shared" ref="V583:W583" si="269">V584</f>
        <v>718.50800000000004</v>
      </c>
      <c r="W583" s="2541">
        <f t="shared" si="269"/>
        <v>747.24800000000005</v>
      </c>
    </row>
    <row r="584" spans="1:26" s="2879" customFormat="1" ht="13" x14ac:dyDescent="0.3">
      <c r="A584" s="2864"/>
      <c r="B584" s="2865" t="s">
        <v>79</v>
      </c>
      <c r="C584" s="2866"/>
      <c r="D584" s="2867" t="s">
        <v>44</v>
      </c>
      <c r="E584" s="2867" t="s">
        <v>76</v>
      </c>
      <c r="F584" s="2868" t="s">
        <v>78</v>
      </c>
      <c r="G584" s="2869" t="s">
        <v>77</v>
      </c>
      <c r="H584" s="2869" t="s">
        <v>496</v>
      </c>
      <c r="I584" s="2869" t="s">
        <v>456</v>
      </c>
      <c r="J584" s="2870">
        <v>48</v>
      </c>
      <c r="K584" s="2870">
        <v>240.5</v>
      </c>
      <c r="L584" s="2870">
        <v>240.5</v>
      </c>
      <c r="M584" s="2871">
        <v>240.5</v>
      </c>
      <c r="N584" s="2872">
        <v>690.87300000000005</v>
      </c>
      <c r="O584" s="2873">
        <v>531.38</v>
      </c>
      <c r="P584" s="2874">
        <v>584.51300000000003</v>
      </c>
      <c r="Q584" s="2875">
        <v>639.61699999999996</v>
      </c>
      <c r="R584" s="2876">
        <v>665.20100000000002</v>
      </c>
      <c r="S584" s="2877"/>
      <c r="T584" s="2877"/>
      <c r="U584" s="2877"/>
      <c r="V584" s="2872">
        <v>718.50800000000004</v>
      </c>
      <c r="W584" s="2872">
        <v>747.24800000000005</v>
      </c>
      <c r="X584" s="2878"/>
      <c r="Z584" s="2880"/>
    </row>
    <row r="585" spans="1:26" ht="13" hidden="1" x14ac:dyDescent="0.3">
      <c r="A585" s="91"/>
      <c r="B585" s="1253" t="s">
        <v>1168</v>
      </c>
      <c r="C585" s="9"/>
      <c r="D585" s="9" t="s">
        <v>15</v>
      </c>
      <c r="E585" s="9" t="s">
        <v>13</v>
      </c>
      <c r="F585" s="34" t="s">
        <v>1232</v>
      </c>
      <c r="G585" s="33"/>
      <c r="H585" s="33"/>
      <c r="I585" s="33"/>
      <c r="J585" s="47"/>
      <c r="K585" s="1063"/>
      <c r="L585" s="1063"/>
      <c r="M585" s="1125"/>
      <c r="N585" s="2541">
        <f>N586</f>
        <v>0</v>
      </c>
      <c r="O585" s="2594"/>
      <c r="P585" s="2595"/>
      <c r="Q585" s="2596"/>
      <c r="R585" s="2597"/>
      <c r="S585" s="2546"/>
      <c r="T585" s="2546"/>
      <c r="U585" s="2546"/>
      <c r="V585" s="2541">
        <f t="shared" ref="V585:W587" si="270">V586</f>
        <v>0</v>
      </c>
      <c r="W585" s="2541">
        <f t="shared" si="270"/>
        <v>0</v>
      </c>
    </row>
    <row r="586" spans="1:26" ht="26" hidden="1" x14ac:dyDescent="0.3">
      <c r="A586" s="91"/>
      <c r="B586" s="724" t="s">
        <v>948</v>
      </c>
      <c r="C586" s="9"/>
      <c r="D586" s="9"/>
      <c r="E586" s="9"/>
      <c r="F586" s="9" t="s">
        <v>1232</v>
      </c>
      <c r="G586" s="9" t="s">
        <v>955</v>
      </c>
      <c r="H586" s="9"/>
      <c r="I586" s="33"/>
      <c r="J586" s="47"/>
      <c r="K586" s="1063"/>
      <c r="L586" s="1063"/>
      <c r="M586" s="1125"/>
      <c r="N586" s="2541">
        <f>N587</f>
        <v>0</v>
      </c>
      <c r="O586" s="2594"/>
      <c r="P586" s="2595"/>
      <c r="Q586" s="2596"/>
      <c r="R586" s="2597"/>
      <c r="S586" s="2546"/>
      <c r="T586" s="2546"/>
      <c r="U586" s="2546"/>
      <c r="V586" s="2541">
        <f t="shared" si="270"/>
        <v>0</v>
      </c>
      <c r="W586" s="2541">
        <f t="shared" si="270"/>
        <v>0</v>
      </c>
    </row>
    <row r="587" spans="1:26" ht="13" hidden="1" x14ac:dyDescent="0.3">
      <c r="A587" s="91"/>
      <c r="B587" s="744" t="s">
        <v>16</v>
      </c>
      <c r="C587" s="9"/>
      <c r="D587" s="9"/>
      <c r="E587" s="9"/>
      <c r="F587" s="9" t="s">
        <v>1232</v>
      </c>
      <c r="G587" s="9" t="s">
        <v>1</v>
      </c>
      <c r="H587" s="9"/>
      <c r="I587" s="9"/>
      <c r="J587" s="47"/>
      <c r="K587" s="1063"/>
      <c r="L587" s="1063"/>
      <c r="M587" s="1125"/>
      <c r="N587" s="2541">
        <f>N588</f>
        <v>0</v>
      </c>
      <c r="O587" s="2594"/>
      <c r="P587" s="2595"/>
      <c r="Q587" s="2596"/>
      <c r="R587" s="2597"/>
      <c r="S587" s="2546"/>
      <c r="T587" s="2546"/>
      <c r="U587" s="2546"/>
      <c r="V587" s="2541">
        <f t="shared" si="270"/>
        <v>0</v>
      </c>
      <c r="W587" s="2541">
        <f t="shared" si="270"/>
        <v>0</v>
      </c>
    </row>
    <row r="588" spans="1:26" ht="13" hidden="1" x14ac:dyDescent="0.3">
      <c r="A588" s="91"/>
      <c r="B588" s="2863" t="s">
        <v>1161</v>
      </c>
      <c r="C588" s="9"/>
      <c r="D588" s="9"/>
      <c r="E588" s="9"/>
      <c r="F588" s="9"/>
      <c r="G588" s="9" t="s">
        <v>1</v>
      </c>
      <c r="H588" s="9" t="s">
        <v>452</v>
      </c>
      <c r="I588" s="9" t="s">
        <v>463</v>
      </c>
      <c r="J588" s="47"/>
      <c r="K588" s="1063"/>
      <c r="L588" s="1063"/>
      <c r="M588" s="1125"/>
      <c r="N588" s="2541"/>
      <c r="O588" s="2594"/>
      <c r="P588" s="2595"/>
      <c r="Q588" s="2596"/>
      <c r="R588" s="2597"/>
      <c r="S588" s="2546"/>
      <c r="T588" s="2546"/>
      <c r="U588" s="2546"/>
      <c r="V588" s="2541">
        <v>0</v>
      </c>
      <c r="W588" s="2541">
        <v>0</v>
      </c>
    </row>
    <row r="589" spans="1:26" s="2879" customFormat="1" ht="26" x14ac:dyDescent="0.25">
      <c r="A589" s="2881"/>
      <c r="B589" s="2882" t="s">
        <v>72</v>
      </c>
      <c r="C589" s="2867"/>
      <c r="D589" s="2883" t="s">
        <v>69</v>
      </c>
      <c r="E589" s="2867" t="s">
        <v>66</v>
      </c>
      <c r="F589" s="2884" t="s">
        <v>67</v>
      </c>
      <c r="G589" s="2883" t="s">
        <v>71</v>
      </c>
      <c r="H589" s="2883"/>
      <c r="I589" s="2867"/>
      <c r="J589" s="2885">
        <f>J591</f>
        <v>2173</v>
      </c>
      <c r="K589" s="2885"/>
      <c r="L589" s="2885">
        <f t="shared" ref="L589:R589" si="271">L591</f>
        <v>2000</v>
      </c>
      <c r="M589" s="2886">
        <f t="shared" si="271"/>
        <v>2000</v>
      </c>
      <c r="N589" s="2887">
        <f t="shared" si="271"/>
        <v>2400</v>
      </c>
      <c r="O589" s="2888">
        <f t="shared" si="271"/>
        <v>2500.6</v>
      </c>
      <c r="P589" s="2889">
        <f t="shared" si="271"/>
        <v>2701.74</v>
      </c>
      <c r="Q589" s="2890">
        <f t="shared" si="271"/>
        <v>2900</v>
      </c>
      <c r="R589" s="2891">
        <f t="shared" si="271"/>
        <v>2980</v>
      </c>
      <c r="S589" s="2892"/>
      <c r="T589" s="2892"/>
      <c r="U589" s="2892"/>
      <c r="V589" s="2893">
        <f t="shared" ref="V589:W589" si="272">V591</f>
        <v>2500</v>
      </c>
      <c r="W589" s="2893">
        <f t="shared" si="272"/>
        <v>2650</v>
      </c>
      <c r="X589" s="2878"/>
      <c r="Z589" s="2880"/>
    </row>
    <row r="590" spans="1:26" ht="22" customHeight="1" x14ac:dyDescent="0.25">
      <c r="A590" s="32"/>
      <c r="B590" s="2152" t="s">
        <v>1065</v>
      </c>
      <c r="C590" s="9"/>
      <c r="D590" s="88" t="s">
        <v>1065</v>
      </c>
      <c r="E590" s="9"/>
      <c r="F590" s="9" t="s">
        <v>67</v>
      </c>
      <c r="G590" s="88">
        <v>800</v>
      </c>
      <c r="H590" s="88"/>
      <c r="I590" s="9"/>
      <c r="J590" s="1061"/>
      <c r="K590" s="1061"/>
      <c r="L590" s="1061"/>
      <c r="M590" s="1550"/>
      <c r="N590" s="2521">
        <f>N591</f>
        <v>2400</v>
      </c>
      <c r="O590" s="2557"/>
      <c r="P590" s="2558"/>
      <c r="Q590" s="2559"/>
      <c r="R590" s="2560"/>
      <c r="S590" s="2515"/>
      <c r="T590" s="2515"/>
      <c r="U590" s="2515"/>
      <c r="V590" s="2516">
        <f t="shared" ref="V590:W590" si="273">V591</f>
        <v>2500</v>
      </c>
      <c r="W590" s="2516">
        <f t="shared" si="273"/>
        <v>2650</v>
      </c>
    </row>
    <row r="591" spans="1:26" ht="13" x14ac:dyDescent="0.3">
      <c r="A591" s="32"/>
      <c r="B591" s="744" t="s">
        <v>70</v>
      </c>
      <c r="C591" s="9"/>
      <c r="D591" s="88" t="s">
        <v>69</v>
      </c>
      <c r="E591" s="9" t="s">
        <v>66</v>
      </c>
      <c r="F591" s="9" t="s">
        <v>67</v>
      </c>
      <c r="G591" s="88">
        <v>870</v>
      </c>
      <c r="H591" s="88"/>
      <c r="I591" s="9"/>
      <c r="J591" s="1061">
        <f>J592</f>
        <v>2173</v>
      </c>
      <c r="K591" s="1061"/>
      <c r="L591" s="1061">
        <v>2000</v>
      </c>
      <c r="M591" s="1550">
        <v>2000</v>
      </c>
      <c r="N591" s="2521">
        <f>N592</f>
        <v>2400</v>
      </c>
      <c r="O591" s="2542">
        <f>O592</f>
        <v>2500.6</v>
      </c>
      <c r="P591" s="2543">
        <f>P592</f>
        <v>2701.74</v>
      </c>
      <c r="Q591" s="2544">
        <f>Q592</f>
        <v>2900</v>
      </c>
      <c r="R591" s="2545">
        <f>R592</f>
        <v>2980</v>
      </c>
      <c r="S591" s="2515"/>
      <c r="T591" s="2515"/>
      <c r="U591" s="2515"/>
      <c r="V591" s="2541">
        <f>V592</f>
        <v>2500</v>
      </c>
      <c r="W591" s="2541">
        <f>W592</f>
        <v>2650</v>
      </c>
    </row>
    <row r="592" spans="1:26" ht="13" x14ac:dyDescent="0.3">
      <c r="A592" s="32"/>
      <c r="B592" s="2003" t="s">
        <v>68</v>
      </c>
      <c r="C592" s="9"/>
      <c r="D592" s="88"/>
      <c r="E592" s="9"/>
      <c r="F592" s="9" t="s">
        <v>67</v>
      </c>
      <c r="G592" s="88">
        <v>870</v>
      </c>
      <c r="H592" s="9" t="s">
        <v>456</v>
      </c>
      <c r="I592" s="9" t="s">
        <v>464</v>
      </c>
      <c r="J592" s="1061">
        <f>2175-2</f>
        <v>2173</v>
      </c>
      <c r="K592" s="1061"/>
      <c r="L592" s="1061">
        <v>2000</v>
      </c>
      <c r="M592" s="1550">
        <v>2000</v>
      </c>
      <c r="N592" s="2521">
        <v>2400</v>
      </c>
      <c r="O592" s="2542">
        <v>2500.6</v>
      </c>
      <c r="P592" s="2543">
        <v>2701.74</v>
      </c>
      <c r="Q592" s="2544">
        <v>2900</v>
      </c>
      <c r="R592" s="2545">
        <v>2980</v>
      </c>
      <c r="S592" s="2515"/>
      <c r="T592" s="2515"/>
      <c r="U592" s="2515"/>
      <c r="V592" s="2541">
        <v>2500</v>
      </c>
      <c r="W592" s="2541">
        <v>2650</v>
      </c>
    </row>
    <row r="593" spans="1:26" ht="39" hidden="1" x14ac:dyDescent="0.25">
      <c r="A593" s="32"/>
      <c r="B593" s="1993" t="s">
        <v>65</v>
      </c>
      <c r="C593" s="9"/>
      <c r="D593" s="88"/>
      <c r="E593" s="9"/>
      <c r="F593" s="34" t="s">
        <v>63</v>
      </c>
      <c r="G593" s="88"/>
      <c r="H593" s="88"/>
      <c r="I593" s="9"/>
      <c r="J593" s="1061"/>
      <c r="K593" s="1061"/>
      <c r="L593" s="1061"/>
      <c r="M593" s="1124"/>
      <c r="N593" s="2541"/>
      <c r="O593" s="2542"/>
      <c r="P593" s="2543"/>
      <c r="Q593" s="2544"/>
      <c r="R593" s="2545"/>
      <c r="S593" s="2515"/>
      <c r="T593" s="2515"/>
      <c r="U593" s="2515"/>
      <c r="V593" s="2541"/>
      <c r="W593" s="2541"/>
    </row>
    <row r="594" spans="1:26" ht="26" hidden="1" x14ac:dyDescent="0.25">
      <c r="A594" s="32"/>
      <c r="B594" s="1993" t="s">
        <v>4</v>
      </c>
      <c r="C594" s="9"/>
      <c r="D594" s="88"/>
      <c r="E594" s="9"/>
      <c r="F594" s="9" t="s">
        <v>63</v>
      </c>
      <c r="G594" s="9" t="s">
        <v>1</v>
      </c>
      <c r="H594" s="9"/>
      <c r="I594" s="9"/>
      <c r="J594" s="1061"/>
      <c r="K594" s="1061"/>
      <c r="L594" s="1061"/>
      <c r="M594" s="1124"/>
      <c r="N594" s="2541"/>
      <c r="O594" s="2542"/>
      <c r="P594" s="2543"/>
      <c r="Q594" s="2544"/>
      <c r="R594" s="2545"/>
      <c r="S594" s="2515"/>
      <c r="T594" s="2515"/>
      <c r="U594" s="2515"/>
      <c r="V594" s="2541"/>
      <c r="W594" s="2541"/>
    </row>
    <row r="595" spans="1:26" s="83" customFormat="1" ht="13" hidden="1" x14ac:dyDescent="0.3">
      <c r="A595" s="32"/>
      <c r="B595" s="49" t="s">
        <v>64</v>
      </c>
      <c r="C595" s="9"/>
      <c r="D595" s="88"/>
      <c r="E595" s="9"/>
      <c r="F595" s="9" t="s">
        <v>63</v>
      </c>
      <c r="G595" s="9" t="s">
        <v>1</v>
      </c>
      <c r="H595" s="9"/>
      <c r="I595" s="9" t="s">
        <v>62</v>
      </c>
      <c r="J595" s="1061"/>
      <c r="K595" s="1061"/>
      <c r="L595" s="1061"/>
      <c r="M595" s="1124"/>
      <c r="N595" s="2541"/>
      <c r="O595" s="2542"/>
      <c r="P595" s="2543"/>
      <c r="Q595" s="2544"/>
      <c r="R595" s="2545"/>
      <c r="S595" s="2515"/>
      <c r="T595" s="2515"/>
      <c r="U595" s="2515"/>
      <c r="V595" s="2541"/>
      <c r="W595" s="2541"/>
      <c r="X595" s="84"/>
      <c r="Z595" s="2141"/>
    </row>
    <row r="596" spans="1:26" s="83" customFormat="1" ht="26" hidden="1" x14ac:dyDescent="0.3">
      <c r="A596" s="32"/>
      <c r="B596" s="58" t="s">
        <v>29</v>
      </c>
      <c r="C596" s="9"/>
      <c r="D596" s="9" t="s">
        <v>15</v>
      </c>
      <c r="E596" s="9" t="s">
        <v>9</v>
      </c>
      <c r="F596" s="34" t="s">
        <v>27</v>
      </c>
      <c r="G596" s="48"/>
      <c r="H596" s="48"/>
      <c r="I596" s="9"/>
      <c r="J596" s="57">
        <f>J598</f>
        <v>0</v>
      </c>
      <c r="K596" s="1061"/>
      <c r="L596" s="1061"/>
      <c r="M596" s="1124"/>
      <c r="N596" s="2647">
        <f>N598</f>
        <v>0</v>
      </c>
      <c r="O596" s="2648">
        <f>O598</f>
        <v>0</v>
      </c>
      <c r="P596" s="2648">
        <f>P598</f>
        <v>0</v>
      </c>
      <c r="Q596" s="2649">
        <f>Q598</f>
        <v>0</v>
      </c>
      <c r="R596" s="2650">
        <f>R598</f>
        <v>0</v>
      </c>
      <c r="S596" s="2515"/>
      <c r="T596" s="2515"/>
      <c r="U596" s="2515"/>
      <c r="V596" s="2647">
        <f>V598</f>
        <v>0</v>
      </c>
      <c r="W596" s="2647">
        <f>W598</f>
        <v>0</v>
      </c>
      <c r="X596" s="84"/>
      <c r="Z596" s="2141"/>
    </row>
    <row r="597" spans="1:26" s="83" customFormat="1" ht="13" hidden="1" x14ac:dyDescent="0.3">
      <c r="A597" s="32"/>
      <c r="B597" s="2080" t="s">
        <v>28</v>
      </c>
      <c r="C597" s="9"/>
      <c r="D597" s="9"/>
      <c r="E597" s="9"/>
      <c r="F597" s="9" t="s">
        <v>27</v>
      </c>
      <c r="G597" s="9" t="s">
        <v>26</v>
      </c>
      <c r="H597" s="9"/>
      <c r="I597" s="9"/>
      <c r="J597" s="1061"/>
      <c r="K597" s="1061"/>
      <c r="L597" s="1061"/>
      <c r="M597" s="1124"/>
      <c r="N597" s="2541"/>
      <c r="O597" s="2542"/>
      <c r="P597" s="2543"/>
      <c r="Q597" s="2544"/>
      <c r="R597" s="2545"/>
      <c r="S597" s="2515"/>
      <c r="T597" s="2515"/>
      <c r="U597" s="2515"/>
      <c r="V597" s="2541"/>
      <c r="W597" s="2541"/>
      <c r="X597" s="84"/>
      <c r="Z597" s="2141"/>
    </row>
    <row r="598" spans="1:26" s="83" customFormat="1" ht="13" hidden="1" x14ac:dyDescent="0.3">
      <c r="A598" s="32"/>
      <c r="B598" s="744" t="s">
        <v>11</v>
      </c>
      <c r="C598" s="9"/>
      <c r="D598" s="9" t="s">
        <v>15</v>
      </c>
      <c r="E598" s="9" t="s">
        <v>9</v>
      </c>
      <c r="F598" s="9" t="s">
        <v>27</v>
      </c>
      <c r="G598" s="9" t="s">
        <v>26</v>
      </c>
      <c r="H598" s="9"/>
      <c r="I598" s="9" t="s">
        <v>9</v>
      </c>
      <c r="J598" s="1061"/>
      <c r="K598" s="1061"/>
      <c r="L598" s="1061"/>
      <c r="M598" s="1124"/>
      <c r="N598" s="2541"/>
      <c r="O598" s="2542"/>
      <c r="P598" s="2543"/>
      <c r="Q598" s="2544"/>
      <c r="R598" s="2545"/>
      <c r="S598" s="2515"/>
      <c r="T598" s="2515"/>
      <c r="U598" s="2515"/>
      <c r="V598" s="2541"/>
      <c r="W598" s="2541"/>
      <c r="X598" s="84"/>
      <c r="Z598" s="2141"/>
    </row>
    <row r="599" spans="1:26" s="83" customFormat="1" ht="26" hidden="1" x14ac:dyDescent="0.3">
      <c r="A599" s="32"/>
      <c r="B599" s="1098" t="s">
        <v>863</v>
      </c>
      <c r="C599" s="9"/>
      <c r="D599" s="88"/>
      <c r="E599" s="9"/>
      <c r="F599" s="34" t="s">
        <v>862</v>
      </c>
      <c r="G599" s="88"/>
      <c r="H599" s="88"/>
      <c r="I599" s="9"/>
      <c r="J599" s="1061"/>
      <c r="K599" s="1061"/>
      <c r="L599" s="1061"/>
      <c r="M599" s="1124"/>
      <c r="N599" s="2516"/>
      <c r="O599" s="2542"/>
      <c r="P599" s="2543"/>
      <c r="Q599" s="2559"/>
      <c r="R599" s="2560"/>
      <c r="S599" s="2515"/>
      <c r="T599" s="2515"/>
      <c r="U599" s="2515"/>
      <c r="V599" s="2516"/>
      <c r="W599" s="2516"/>
      <c r="X599" s="84"/>
      <c r="Z599" s="2141"/>
    </row>
    <row r="600" spans="1:26" s="83" customFormat="1" ht="26" hidden="1" x14ac:dyDescent="0.3">
      <c r="A600" s="32"/>
      <c r="B600" s="1993" t="s">
        <v>4</v>
      </c>
      <c r="C600" s="89"/>
      <c r="D600" s="9" t="s">
        <v>52</v>
      </c>
      <c r="E600" s="9" t="s">
        <v>58</v>
      </c>
      <c r="F600" s="9" t="s">
        <v>862</v>
      </c>
      <c r="G600" s="88">
        <v>240</v>
      </c>
      <c r="H600" s="88"/>
      <c r="I600" s="1063"/>
      <c r="J600" s="1061"/>
      <c r="K600" s="1063"/>
      <c r="L600" s="1063"/>
      <c r="M600" s="84"/>
      <c r="N600" s="2541"/>
      <c r="O600" s="2542"/>
      <c r="P600" s="2543"/>
      <c r="Q600" s="2544"/>
      <c r="R600" s="2545"/>
      <c r="S600" s="2515"/>
      <c r="T600" s="2515"/>
      <c r="U600" s="2515"/>
      <c r="V600" s="2541"/>
      <c r="W600" s="2541"/>
      <c r="X600" s="84"/>
      <c r="Z600" s="2141"/>
    </row>
    <row r="601" spans="1:26" s="83" customFormat="1" ht="13" hidden="1" x14ac:dyDescent="0.3">
      <c r="A601" s="32"/>
      <c r="B601" s="90" t="s">
        <v>60</v>
      </c>
      <c r="C601" s="89"/>
      <c r="D601" s="9"/>
      <c r="E601" s="9"/>
      <c r="F601" s="9" t="s">
        <v>862</v>
      </c>
      <c r="G601" s="88">
        <v>240</v>
      </c>
      <c r="H601" s="9" t="s">
        <v>452</v>
      </c>
      <c r="I601" s="9" t="s">
        <v>539</v>
      </c>
      <c r="J601" s="1061"/>
      <c r="K601" s="1063"/>
      <c r="L601" s="1063"/>
      <c r="M601" s="84"/>
      <c r="N601" s="2541"/>
      <c r="O601" s="2542"/>
      <c r="P601" s="2543"/>
      <c r="Q601" s="2544"/>
      <c r="R601" s="2545"/>
      <c r="S601" s="2515"/>
      <c r="T601" s="2515"/>
      <c r="U601" s="2515"/>
      <c r="V601" s="2541"/>
      <c r="W601" s="2541"/>
      <c r="X601" s="84"/>
      <c r="Z601" s="2141"/>
    </row>
    <row r="602" spans="1:26" s="83" customFormat="1" ht="13" hidden="1" x14ac:dyDescent="0.3">
      <c r="A602" s="85"/>
      <c r="B602" s="49" t="s">
        <v>57</v>
      </c>
      <c r="C602" s="9"/>
      <c r="D602" s="9" t="s">
        <v>52</v>
      </c>
      <c r="E602" s="9" t="s">
        <v>49</v>
      </c>
      <c r="F602" s="34" t="s">
        <v>56</v>
      </c>
      <c r="G602" s="34"/>
      <c r="H602" s="34"/>
      <c r="I602" s="9"/>
      <c r="J602" s="1065">
        <f>J603</f>
        <v>0</v>
      </c>
      <c r="K602" s="1065"/>
      <c r="L602" s="1065">
        <f t="shared" ref="L602:R602" si="274">L603</f>
        <v>0</v>
      </c>
      <c r="M602" s="1552">
        <f t="shared" si="274"/>
        <v>0</v>
      </c>
      <c r="N602" s="2516">
        <f t="shared" si="274"/>
        <v>0</v>
      </c>
      <c r="O602" s="2557">
        <f t="shared" si="274"/>
        <v>0</v>
      </c>
      <c r="P602" s="2558">
        <f t="shared" si="274"/>
        <v>0</v>
      </c>
      <c r="Q602" s="2559">
        <f t="shared" si="274"/>
        <v>0</v>
      </c>
      <c r="R602" s="2560">
        <f t="shared" si="274"/>
        <v>0</v>
      </c>
      <c r="S602" s="2546"/>
      <c r="T602" s="2546"/>
      <c r="U602" s="2546"/>
      <c r="V602" s="2516">
        <f t="shared" ref="V602:W602" si="275">V603</f>
        <v>0</v>
      </c>
      <c r="W602" s="2516">
        <f t="shared" si="275"/>
        <v>0</v>
      </c>
      <c r="X602" s="84"/>
      <c r="Z602" s="2141"/>
    </row>
    <row r="603" spans="1:26" s="83" customFormat="1" ht="26" hidden="1" x14ac:dyDescent="0.3">
      <c r="A603" s="85"/>
      <c r="B603" s="1993" t="s">
        <v>4</v>
      </c>
      <c r="C603" s="9"/>
      <c r="D603" s="9" t="s">
        <v>52</v>
      </c>
      <c r="E603" s="9" t="s">
        <v>49</v>
      </c>
      <c r="F603" s="9" t="s">
        <v>56</v>
      </c>
      <c r="G603" s="9" t="s">
        <v>1</v>
      </c>
      <c r="H603" s="9"/>
      <c r="I603" s="9"/>
      <c r="J603" s="1063">
        <f>J604</f>
        <v>0</v>
      </c>
      <c r="K603" s="1063"/>
      <c r="L603" s="1063"/>
      <c r="M603" s="1125"/>
      <c r="N603" s="2541">
        <f>N604</f>
        <v>0</v>
      </c>
      <c r="O603" s="2542">
        <f>O604</f>
        <v>0</v>
      </c>
      <c r="P603" s="2543">
        <f>P604</f>
        <v>0</v>
      </c>
      <c r="Q603" s="2544">
        <f>Q604</f>
        <v>0</v>
      </c>
      <c r="R603" s="2545">
        <f>R604</f>
        <v>0</v>
      </c>
      <c r="S603" s="2546"/>
      <c r="T603" s="2546"/>
      <c r="U603" s="2546"/>
      <c r="V603" s="2541">
        <f>V604</f>
        <v>0</v>
      </c>
      <c r="W603" s="2541">
        <f>W604</f>
        <v>0</v>
      </c>
      <c r="X603" s="84"/>
      <c r="Z603" s="2141"/>
    </row>
    <row r="604" spans="1:26" s="83" customFormat="1" ht="13" hidden="1" x14ac:dyDescent="0.3">
      <c r="A604" s="85"/>
      <c r="B604" s="2003" t="s">
        <v>51</v>
      </c>
      <c r="C604" s="9"/>
      <c r="D604" s="9"/>
      <c r="E604" s="9"/>
      <c r="F604" s="9" t="s">
        <v>56</v>
      </c>
      <c r="G604" s="9" t="s">
        <v>1</v>
      </c>
      <c r="H604" s="9"/>
      <c r="I604" s="9" t="s">
        <v>49</v>
      </c>
      <c r="J604" s="1063"/>
      <c r="K604" s="1063"/>
      <c r="L604" s="1063"/>
      <c r="M604" s="1125"/>
      <c r="N604" s="2541"/>
      <c r="O604" s="2542"/>
      <c r="P604" s="2543"/>
      <c r="Q604" s="2544"/>
      <c r="R604" s="2545"/>
      <c r="S604" s="2546"/>
      <c r="T604" s="2546"/>
      <c r="U604" s="2546"/>
      <c r="V604" s="2541"/>
      <c r="W604" s="2541"/>
      <c r="X604" s="84"/>
      <c r="Z604" s="2141"/>
    </row>
    <row r="605" spans="1:26" s="83" customFormat="1" ht="13" hidden="1" x14ac:dyDescent="0.3">
      <c r="A605" s="85"/>
      <c r="B605" s="49" t="s">
        <v>55</v>
      </c>
      <c r="C605" s="9"/>
      <c r="D605" s="9" t="s">
        <v>52</v>
      </c>
      <c r="E605" s="9" t="s">
        <v>49</v>
      </c>
      <c r="F605" s="34" t="s">
        <v>54</v>
      </c>
      <c r="G605" s="9"/>
      <c r="H605" s="9"/>
      <c r="I605" s="9"/>
      <c r="J605" s="1065">
        <f>J606</f>
        <v>94.8</v>
      </c>
      <c r="K605" s="1065"/>
      <c r="L605" s="1065">
        <f t="shared" ref="L605:R605" si="276">L606</f>
        <v>64.8</v>
      </c>
      <c r="M605" s="1552">
        <f t="shared" si="276"/>
        <v>64.8</v>
      </c>
      <c r="N605" s="2516">
        <f t="shared" si="276"/>
        <v>0</v>
      </c>
      <c r="O605" s="2557">
        <f t="shared" si="276"/>
        <v>0</v>
      </c>
      <c r="P605" s="2558">
        <f t="shared" si="276"/>
        <v>0</v>
      </c>
      <c r="Q605" s="2559">
        <f t="shared" si="276"/>
        <v>0</v>
      </c>
      <c r="R605" s="2560">
        <f t="shared" si="276"/>
        <v>0</v>
      </c>
      <c r="S605" s="2546"/>
      <c r="T605" s="2546"/>
      <c r="U605" s="2546"/>
      <c r="V605" s="2516">
        <f t="shared" ref="V605:W605" si="277">V606</f>
        <v>0</v>
      </c>
      <c r="W605" s="2516">
        <f t="shared" si="277"/>
        <v>0</v>
      </c>
      <c r="X605" s="84"/>
      <c r="Z605" s="2141"/>
    </row>
    <row r="606" spans="1:26" s="83" customFormat="1" ht="26" hidden="1" x14ac:dyDescent="0.3">
      <c r="A606" s="85"/>
      <c r="B606" s="1993" t="s">
        <v>4</v>
      </c>
      <c r="C606" s="9"/>
      <c r="D606" s="9" t="s">
        <v>52</v>
      </c>
      <c r="E606" s="9" t="s">
        <v>49</v>
      </c>
      <c r="F606" s="9" t="s">
        <v>54</v>
      </c>
      <c r="G606" s="9" t="s">
        <v>1</v>
      </c>
      <c r="H606" s="9"/>
      <c r="I606" s="9"/>
      <c r="J606" s="1063">
        <f>J607</f>
        <v>94.8</v>
      </c>
      <c r="K606" s="1063"/>
      <c r="L606" s="1063">
        <v>64.8</v>
      </c>
      <c r="M606" s="1125">
        <v>64.8</v>
      </c>
      <c r="N606" s="2541">
        <f>N607</f>
        <v>0</v>
      </c>
      <c r="O606" s="2542">
        <f>O607</f>
        <v>0</v>
      </c>
      <c r="P606" s="2543">
        <f>P607</f>
        <v>0</v>
      </c>
      <c r="Q606" s="2544">
        <f>Q607</f>
        <v>0</v>
      </c>
      <c r="R606" s="2545">
        <f>R607</f>
        <v>0</v>
      </c>
      <c r="S606" s="2546"/>
      <c r="T606" s="2546"/>
      <c r="U606" s="2546"/>
      <c r="V606" s="2541">
        <f>V607</f>
        <v>0</v>
      </c>
      <c r="W606" s="2541">
        <f>W607</f>
        <v>0</v>
      </c>
      <c r="X606" s="84"/>
      <c r="Z606" s="2141"/>
    </row>
    <row r="607" spans="1:26" s="83" customFormat="1" ht="13" hidden="1" x14ac:dyDescent="0.3">
      <c r="A607" s="85"/>
      <c r="B607" s="2003" t="s">
        <v>51</v>
      </c>
      <c r="C607" s="9"/>
      <c r="D607" s="9"/>
      <c r="E607" s="9"/>
      <c r="F607" s="9" t="s">
        <v>54</v>
      </c>
      <c r="G607" s="9" t="s">
        <v>1</v>
      </c>
      <c r="H607" s="9"/>
      <c r="I607" s="9" t="s">
        <v>49</v>
      </c>
      <c r="J607" s="1063">
        <v>94.8</v>
      </c>
      <c r="K607" s="1063"/>
      <c r="L607" s="1063">
        <v>64.8</v>
      </c>
      <c r="M607" s="1125">
        <v>64.8</v>
      </c>
      <c r="N607" s="2541"/>
      <c r="O607" s="2542"/>
      <c r="P607" s="2543"/>
      <c r="Q607" s="2544"/>
      <c r="R607" s="2545"/>
      <c r="S607" s="2546"/>
      <c r="T607" s="2546"/>
      <c r="U607" s="2546"/>
      <c r="V607" s="2541"/>
      <c r="W607" s="2541"/>
      <c r="X607" s="84"/>
      <c r="Z607" s="2141"/>
    </row>
    <row r="608" spans="1:26" s="83" customFormat="1" ht="13" hidden="1" x14ac:dyDescent="0.3">
      <c r="A608" s="85"/>
      <c r="B608" s="262" t="s">
        <v>1175</v>
      </c>
      <c r="C608" s="9"/>
      <c r="D608" s="94"/>
      <c r="E608" s="34"/>
      <c r="F608" s="79" t="s">
        <v>1174</v>
      </c>
      <c r="G608" s="9"/>
      <c r="H608" s="9"/>
      <c r="I608" s="33"/>
      <c r="J608" s="1125"/>
      <c r="K608" s="1122"/>
      <c r="L608" s="1122"/>
      <c r="M608" s="1122"/>
      <c r="N608" s="2521">
        <f>N609</f>
        <v>0</v>
      </c>
      <c r="O608" s="2651"/>
      <c r="P608" s="2651"/>
      <c r="Q608" s="2652"/>
      <c r="R608" s="2653"/>
      <c r="S608" s="2654"/>
      <c r="T608" s="2654"/>
      <c r="U608" s="2654"/>
      <c r="V608" s="2521">
        <f t="shared" ref="V608:W610" si="278">V609</f>
        <v>0</v>
      </c>
      <c r="W608" s="2521">
        <f t="shared" si="278"/>
        <v>0</v>
      </c>
      <c r="X608" s="84"/>
      <c r="Z608" s="2141"/>
    </row>
    <row r="609" spans="1:28" s="83" customFormat="1" ht="26" hidden="1" x14ac:dyDescent="0.3">
      <c r="A609" s="85"/>
      <c r="B609" s="2153" t="s">
        <v>948</v>
      </c>
      <c r="C609" s="9"/>
      <c r="D609" s="94"/>
      <c r="E609" s="34"/>
      <c r="F609" s="77" t="s">
        <v>1174</v>
      </c>
      <c r="G609" s="9" t="s">
        <v>955</v>
      </c>
      <c r="H609" s="9"/>
      <c r="I609" s="33"/>
      <c r="J609" s="1125"/>
      <c r="K609" s="1122"/>
      <c r="L609" s="1122"/>
      <c r="M609" s="1122"/>
      <c r="N609" s="2521">
        <f>N610</f>
        <v>0</v>
      </c>
      <c r="O609" s="2651"/>
      <c r="P609" s="2651"/>
      <c r="Q609" s="2652"/>
      <c r="R609" s="2653"/>
      <c r="S609" s="2654"/>
      <c r="T609" s="2654"/>
      <c r="U609" s="2654"/>
      <c r="V609" s="2521">
        <f t="shared" si="278"/>
        <v>0</v>
      </c>
      <c r="W609" s="2521">
        <f t="shared" si="278"/>
        <v>0</v>
      </c>
      <c r="X609" s="84"/>
      <c r="Z609" s="2141"/>
    </row>
    <row r="610" spans="1:28" s="83" customFormat="1" ht="13" hidden="1" x14ac:dyDescent="0.3">
      <c r="A610" s="85"/>
      <c r="B610" s="2012" t="s">
        <v>16</v>
      </c>
      <c r="C610" s="89"/>
      <c r="D610" s="9" t="s">
        <v>44</v>
      </c>
      <c r="E610" s="9" t="s">
        <v>76</v>
      </c>
      <c r="F610" s="77" t="s">
        <v>1174</v>
      </c>
      <c r="G610" s="9" t="s">
        <v>1</v>
      </c>
      <c r="H610" s="33"/>
      <c r="I610" s="89"/>
      <c r="J610" s="1125"/>
      <c r="K610" s="1122"/>
      <c r="L610" s="1122"/>
      <c r="M610" s="1122"/>
      <c r="N610" s="2521">
        <f>N611</f>
        <v>0</v>
      </c>
      <c r="O610" s="2651"/>
      <c r="P610" s="2651"/>
      <c r="Q610" s="2652"/>
      <c r="R610" s="2653"/>
      <c r="S610" s="2654"/>
      <c r="T610" s="2654"/>
      <c r="U610" s="2654"/>
      <c r="V610" s="2521">
        <f t="shared" si="278"/>
        <v>0</v>
      </c>
      <c r="W610" s="2521">
        <f t="shared" si="278"/>
        <v>0</v>
      </c>
      <c r="X610" s="84"/>
      <c r="Z610" s="2141"/>
    </row>
    <row r="611" spans="1:28" s="83" customFormat="1" ht="13" hidden="1" x14ac:dyDescent="0.3">
      <c r="A611" s="85"/>
      <c r="B611" s="90" t="s">
        <v>34</v>
      </c>
      <c r="C611" s="89"/>
      <c r="D611" s="9" t="s">
        <v>44</v>
      </c>
      <c r="E611" s="9" t="s">
        <v>76</v>
      </c>
      <c r="F611" s="77" t="s">
        <v>1174</v>
      </c>
      <c r="G611" s="9" t="s">
        <v>1</v>
      </c>
      <c r="H611" s="33" t="s">
        <v>463</v>
      </c>
      <c r="I611" s="33" t="s">
        <v>495</v>
      </c>
      <c r="J611" s="1125"/>
      <c r="K611" s="1122"/>
      <c r="L611" s="1122"/>
      <c r="M611" s="1122"/>
      <c r="N611" s="2521">
        <v>0</v>
      </c>
      <c r="O611" s="2651"/>
      <c r="P611" s="2651"/>
      <c r="Q611" s="2652"/>
      <c r="R611" s="2653"/>
      <c r="S611" s="2654"/>
      <c r="T611" s="2654"/>
      <c r="U611" s="2654"/>
      <c r="V611" s="2521">
        <v>0</v>
      </c>
      <c r="W611" s="2521">
        <v>0</v>
      </c>
      <c r="X611" s="84"/>
      <c r="Z611" s="2141"/>
    </row>
    <row r="612" spans="1:28" s="83" customFormat="1" ht="13" x14ac:dyDescent="0.3">
      <c r="A612" s="85"/>
      <c r="B612" s="49" t="s">
        <v>57</v>
      </c>
      <c r="C612" s="9"/>
      <c r="D612" s="9"/>
      <c r="E612" s="9"/>
      <c r="F612" s="89" t="s">
        <v>536</v>
      </c>
      <c r="G612" s="9"/>
      <c r="H612" s="9"/>
      <c r="I612" s="535"/>
      <c r="J612" s="1125"/>
      <c r="K612" s="1122"/>
      <c r="L612" s="1122"/>
      <c r="M612" s="1122"/>
      <c r="N612" s="2516">
        <f>N614</f>
        <v>728.04995999999983</v>
      </c>
      <c r="O612" s="2655"/>
      <c r="P612" s="2655"/>
      <c r="Q612" s="2559">
        <f>Q614</f>
        <v>902.4</v>
      </c>
      <c r="R612" s="2560">
        <f>R614</f>
        <v>248.7</v>
      </c>
      <c r="S612" s="2546"/>
      <c r="T612" s="2546"/>
      <c r="U612" s="2546"/>
      <c r="V612" s="2516">
        <f>V614</f>
        <v>700.1</v>
      </c>
      <c r="W612" s="2516">
        <f>W614</f>
        <v>1041.866</v>
      </c>
      <c r="X612" s="84"/>
      <c r="Z612" s="2141"/>
    </row>
    <row r="613" spans="1:28" s="83" customFormat="1" ht="26" x14ac:dyDescent="0.3">
      <c r="A613" s="85"/>
      <c r="B613" s="724" t="s">
        <v>948</v>
      </c>
      <c r="C613" s="9"/>
      <c r="D613" s="9"/>
      <c r="E613" s="9"/>
      <c r="F613" s="33" t="s">
        <v>536</v>
      </c>
      <c r="G613" s="9" t="s">
        <v>955</v>
      </c>
      <c r="H613" s="9"/>
      <c r="I613" s="535"/>
      <c r="J613" s="1125"/>
      <c r="K613" s="1122"/>
      <c r="L613" s="1122"/>
      <c r="M613" s="1122"/>
      <c r="N613" s="2541">
        <f>N614</f>
        <v>728.04995999999983</v>
      </c>
      <c r="O613" s="2655"/>
      <c r="P613" s="2655"/>
      <c r="Q613" s="2559"/>
      <c r="R613" s="2560"/>
      <c r="S613" s="2546"/>
      <c r="T613" s="2546"/>
      <c r="U613" s="2546"/>
      <c r="V613" s="2516">
        <f t="shared" ref="V613:W613" si="279">V614</f>
        <v>700.1</v>
      </c>
      <c r="W613" s="2516">
        <f t="shared" si="279"/>
        <v>1041.866</v>
      </c>
      <c r="X613" s="84"/>
      <c r="Z613" s="2141"/>
      <c r="AB613" s="2388"/>
    </row>
    <row r="614" spans="1:28" ht="13" x14ac:dyDescent="0.3">
      <c r="A614" s="85"/>
      <c r="B614" s="744" t="s">
        <v>16</v>
      </c>
      <c r="C614" s="9"/>
      <c r="D614" s="9"/>
      <c r="E614" s="9"/>
      <c r="F614" s="33" t="s">
        <v>536</v>
      </c>
      <c r="G614" s="9" t="s">
        <v>1</v>
      </c>
      <c r="H614" s="9"/>
      <c r="I614" s="535"/>
      <c r="J614" s="1125"/>
      <c r="K614" s="1122"/>
      <c r="L614" s="1122"/>
      <c r="M614" s="1122"/>
      <c r="N614" s="2541">
        <f>N615</f>
        <v>728.04995999999983</v>
      </c>
      <c r="O614" s="2655"/>
      <c r="P614" s="2655"/>
      <c r="Q614" s="2544">
        <f>Q615</f>
        <v>902.4</v>
      </c>
      <c r="R614" s="2545">
        <f>R615</f>
        <v>248.7</v>
      </c>
      <c r="S614" s="2546"/>
      <c r="T614" s="2546"/>
      <c r="U614" s="2546"/>
      <c r="V614" s="2541">
        <f>V615</f>
        <v>700.1</v>
      </c>
      <c r="W614" s="2541">
        <f>W615</f>
        <v>1041.866</v>
      </c>
      <c r="X614" s="1"/>
    </row>
    <row r="615" spans="1:28" ht="13" x14ac:dyDescent="0.3">
      <c r="A615" s="85"/>
      <c r="B615" s="2003" t="s">
        <v>51</v>
      </c>
      <c r="C615" s="9"/>
      <c r="D615" s="9"/>
      <c r="E615" s="9"/>
      <c r="F615" s="33" t="s">
        <v>536</v>
      </c>
      <c r="G615" s="9" t="s">
        <v>1</v>
      </c>
      <c r="H615" s="9" t="s">
        <v>452</v>
      </c>
      <c r="I615" s="535" t="s">
        <v>534</v>
      </c>
      <c r="J615" s="1125"/>
      <c r="K615" s="1122"/>
      <c r="L615" s="1122"/>
      <c r="M615" s="1122"/>
      <c r="N615" s="2541">
        <f>1754.399-110.158-0.04884-23.708-204.697-344.9372-342.8</f>
        <v>728.04995999999983</v>
      </c>
      <c r="O615" s="2655"/>
      <c r="P615" s="2655"/>
      <c r="Q615" s="2544">
        <v>902.4</v>
      </c>
      <c r="R615" s="2545">
        <v>248.7</v>
      </c>
      <c r="S615" s="2546"/>
      <c r="T615" s="2546"/>
      <c r="U615" s="2546"/>
      <c r="V615" s="2541">
        <v>700.1</v>
      </c>
      <c r="W615" s="2541">
        <f>1142.106-100.24</f>
        <v>1041.866</v>
      </c>
      <c r="X615" s="1"/>
    </row>
    <row r="616" spans="1:28" s="83" customFormat="1" ht="13" x14ac:dyDescent="0.3">
      <c r="A616" s="85"/>
      <c r="B616" s="537" t="s">
        <v>535</v>
      </c>
      <c r="C616" s="9"/>
      <c r="D616" s="9"/>
      <c r="E616" s="9"/>
      <c r="F616" s="89" t="s">
        <v>54</v>
      </c>
      <c r="G616" s="9"/>
      <c r="H616" s="9"/>
      <c r="I616" s="535"/>
      <c r="J616" s="1125"/>
      <c r="K616" s="1122"/>
      <c r="L616" s="1122"/>
      <c r="M616" s="1122"/>
      <c r="N616" s="2516">
        <f>N618</f>
        <v>94.8</v>
      </c>
      <c r="O616" s="2655"/>
      <c r="P616" s="2655"/>
      <c r="Q616" s="2559"/>
      <c r="R616" s="2560"/>
      <c r="S616" s="2546"/>
      <c r="T616" s="2546"/>
      <c r="U616" s="2546"/>
      <c r="V616" s="2516">
        <f>V618</f>
        <v>94.8</v>
      </c>
      <c r="W616" s="2516">
        <f>W618</f>
        <v>94.8</v>
      </c>
      <c r="X616" s="84"/>
      <c r="Z616" s="2141"/>
    </row>
    <row r="617" spans="1:28" s="83" customFormat="1" ht="26" x14ac:dyDescent="0.3">
      <c r="A617" s="85"/>
      <c r="B617" s="724" t="s">
        <v>948</v>
      </c>
      <c r="C617" s="9"/>
      <c r="D617" s="9"/>
      <c r="E617" s="9"/>
      <c r="F617" s="33" t="s">
        <v>54</v>
      </c>
      <c r="G617" s="9" t="s">
        <v>955</v>
      </c>
      <c r="H617" s="9"/>
      <c r="I617" s="535"/>
      <c r="J617" s="1125"/>
      <c r="K617" s="1122"/>
      <c r="L617" s="1122"/>
      <c r="M617" s="1122"/>
      <c r="N617" s="2541">
        <f>N618</f>
        <v>94.8</v>
      </c>
      <c r="O617" s="2655"/>
      <c r="P617" s="2655"/>
      <c r="Q617" s="2559"/>
      <c r="R617" s="2560"/>
      <c r="S617" s="2546"/>
      <c r="T617" s="2546"/>
      <c r="U617" s="2546"/>
      <c r="V617" s="2516">
        <f t="shared" ref="V617:W617" si="280">V618</f>
        <v>94.8</v>
      </c>
      <c r="W617" s="2516">
        <f t="shared" si="280"/>
        <v>94.8</v>
      </c>
      <c r="X617" s="84"/>
      <c r="Z617" s="2141"/>
    </row>
    <row r="618" spans="1:28" s="83" customFormat="1" ht="13" x14ac:dyDescent="0.3">
      <c r="A618" s="85"/>
      <c r="B618" s="744" t="s">
        <v>16</v>
      </c>
      <c r="C618" s="9"/>
      <c r="D618" s="9"/>
      <c r="E618" s="9"/>
      <c r="F618" s="33" t="s">
        <v>54</v>
      </c>
      <c r="G618" s="9" t="s">
        <v>1</v>
      </c>
      <c r="H618" s="9"/>
      <c r="I618" s="535"/>
      <c r="J618" s="1125"/>
      <c r="K618" s="1122"/>
      <c r="L618" s="1122"/>
      <c r="M618" s="1122"/>
      <c r="N618" s="2541">
        <f>N619</f>
        <v>94.8</v>
      </c>
      <c r="O618" s="2655"/>
      <c r="P618" s="2655"/>
      <c r="Q618" s="2544"/>
      <c r="R618" s="2545"/>
      <c r="S618" s="2546"/>
      <c r="T618" s="2546"/>
      <c r="U618" s="2546"/>
      <c r="V618" s="2541">
        <f>V619</f>
        <v>94.8</v>
      </c>
      <c r="W618" s="2541">
        <f>W619</f>
        <v>94.8</v>
      </c>
      <c r="X618" s="84"/>
      <c r="Z618" s="2141"/>
    </row>
    <row r="619" spans="1:28" s="83" customFormat="1" ht="13" x14ac:dyDescent="0.3">
      <c r="A619" s="85"/>
      <c r="B619" s="2003" t="s">
        <v>51</v>
      </c>
      <c r="C619" s="9"/>
      <c r="D619" s="9"/>
      <c r="E619" s="9"/>
      <c r="F619" s="33" t="s">
        <v>54</v>
      </c>
      <c r="G619" s="9" t="s">
        <v>1</v>
      </c>
      <c r="H619" s="9" t="s">
        <v>452</v>
      </c>
      <c r="I619" s="535" t="s">
        <v>534</v>
      </c>
      <c r="J619" s="1125"/>
      <c r="K619" s="1122"/>
      <c r="L619" s="1122"/>
      <c r="M619" s="1122"/>
      <c r="N619" s="2541">
        <v>94.8</v>
      </c>
      <c r="O619" s="2655"/>
      <c r="P619" s="2655"/>
      <c r="Q619" s="2544"/>
      <c r="R619" s="2545"/>
      <c r="S619" s="2546"/>
      <c r="T619" s="2546"/>
      <c r="U619" s="2546"/>
      <c r="V619" s="2541">
        <v>94.8</v>
      </c>
      <c r="W619" s="2541">
        <v>94.8</v>
      </c>
      <c r="X619" s="84"/>
      <c r="Z619" s="2141"/>
    </row>
    <row r="620" spans="1:28" s="83" customFormat="1" ht="39" hidden="1" x14ac:dyDescent="0.3">
      <c r="A620" s="85"/>
      <c r="B620" s="533" t="s">
        <v>788</v>
      </c>
      <c r="C620" s="9"/>
      <c r="D620" s="9"/>
      <c r="E620" s="9"/>
      <c r="F620" s="89" t="s">
        <v>789</v>
      </c>
      <c r="G620" s="9"/>
      <c r="H620" s="9"/>
      <c r="I620" s="535"/>
      <c r="J620" s="1125"/>
      <c r="K620" s="1122"/>
      <c r="L620" s="1122"/>
      <c r="M620" s="1122"/>
      <c r="N620" s="2516">
        <f>N621</f>
        <v>0</v>
      </c>
      <c r="O620" s="2655"/>
      <c r="P620" s="2655"/>
      <c r="Q620" s="2559">
        <f>Q621</f>
        <v>0</v>
      </c>
      <c r="R620" s="2560">
        <f>R621</f>
        <v>0</v>
      </c>
      <c r="S620" s="2546"/>
      <c r="T620" s="2546"/>
      <c r="U620" s="2546"/>
      <c r="V620" s="2516">
        <f>V621</f>
        <v>0</v>
      </c>
      <c r="W620" s="2516">
        <f>W621</f>
        <v>0</v>
      </c>
      <c r="X620" s="84"/>
      <c r="Z620" s="2141"/>
    </row>
    <row r="621" spans="1:28" s="83" customFormat="1" ht="13" hidden="1" x14ac:dyDescent="0.3">
      <c r="A621" s="842"/>
      <c r="B621" s="744" t="s">
        <v>16</v>
      </c>
      <c r="C621" s="409" t="s">
        <v>430</v>
      </c>
      <c r="D621" s="409" t="s">
        <v>456</v>
      </c>
      <c r="E621" s="409" t="s">
        <v>506</v>
      </c>
      <c r="F621" s="33" t="s">
        <v>789</v>
      </c>
      <c r="G621" s="532" t="s">
        <v>1</v>
      </c>
      <c r="H621" s="531"/>
      <c r="I621" s="529"/>
      <c r="J621" s="269"/>
      <c r="K621" s="830"/>
      <c r="L621" s="2"/>
      <c r="M621" s="2"/>
      <c r="N621" s="2644">
        <f>N622</f>
        <v>0</v>
      </c>
      <c r="O621" s="2515"/>
      <c r="P621" s="2515"/>
      <c r="Q621" s="2656">
        <f>Q622</f>
        <v>0</v>
      </c>
      <c r="R621" s="2657">
        <f>R622</f>
        <v>0</v>
      </c>
      <c r="S621" s="2658"/>
      <c r="T621" s="2658"/>
      <c r="U621" s="2658"/>
      <c r="V621" s="2644">
        <f>V622</f>
        <v>0</v>
      </c>
      <c r="W621" s="2644">
        <f>W622</f>
        <v>0</v>
      </c>
      <c r="X621" s="84"/>
      <c r="Z621" s="2141"/>
    </row>
    <row r="622" spans="1:28" s="83" customFormat="1" ht="26.5" hidden="1" customHeight="1" x14ac:dyDescent="0.3">
      <c r="A622" s="843"/>
      <c r="B622" s="534" t="s">
        <v>419</v>
      </c>
      <c r="C622" s="409" t="s">
        <v>430</v>
      </c>
      <c r="D622" s="409" t="s">
        <v>456</v>
      </c>
      <c r="E622" s="409" t="s">
        <v>506</v>
      </c>
      <c r="F622" s="33" t="s">
        <v>789</v>
      </c>
      <c r="G622" s="532" t="s">
        <v>1</v>
      </c>
      <c r="H622" s="9" t="s">
        <v>456</v>
      </c>
      <c r="I622" s="9" t="s">
        <v>506</v>
      </c>
      <c r="J622" s="269"/>
      <c r="K622" s="830"/>
      <c r="L622" s="2"/>
      <c r="M622" s="2"/>
      <c r="N622" s="2644">
        <v>0</v>
      </c>
      <c r="O622" s="2515"/>
      <c r="P622" s="2515"/>
      <c r="Q622" s="2656">
        <v>0</v>
      </c>
      <c r="R622" s="2657">
        <v>0</v>
      </c>
      <c r="S622" s="2658"/>
      <c r="T622" s="2658"/>
      <c r="U622" s="2658"/>
      <c r="V622" s="2644">
        <v>0</v>
      </c>
      <c r="W622" s="2644">
        <v>0</v>
      </c>
      <c r="X622" s="84"/>
      <c r="Z622" s="2141"/>
    </row>
    <row r="623" spans="1:28" ht="39.65" customHeight="1" x14ac:dyDescent="0.3">
      <c r="A623" s="85"/>
      <c r="B623" s="2085" t="s">
        <v>53</v>
      </c>
      <c r="C623" s="9"/>
      <c r="D623" s="9" t="s">
        <v>52</v>
      </c>
      <c r="E623" s="9" t="s">
        <v>49</v>
      </c>
      <c r="F623" s="34" t="s">
        <v>50</v>
      </c>
      <c r="G623" s="9"/>
      <c r="H623" s="9"/>
      <c r="I623" s="9"/>
      <c r="J623" s="1064">
        <f>J625</f>
        <v>3163.5070000000001</v>
      </c>
      <c r="K623" s="1065"/>
      <c r="L623" s="1065">
        <f t="shared" ref="L623:R623" si="281">L625</f>
        <v>0</v>
      </c>
      <c r="M623" s="1552">
        <f t="shared" si="281"/>
        <v>0</v>
      </c>
      <c r="N623" s="2516">
        <f>N625</f>
        <v>1820</v>
      </c>
      <c r="O623" s="2557">
        <f t="shared" si="281"/>
        <v>0</v>
      </c>
      <c r="P623" s="2558">
        <f t="shared" si="281"/>
        <v>0</v>
      </c>
      <c r="Q623" s="2559">
        <f t="shared" si="281"/>
        <v>504</v>
      </c>
      <c r="R623" s="2560">
        <f t="shared" si="281"/>
        <v>304</v>
      </c>
      <c r="S623" s="2546"/>
      <c r="T623" s="2546"/>
      <c r="U623" s="2546"/>
      <c r="V623" s="2516">
        <f>V625</f>
        <v>203.73523</v>
      </c>
      <c r="W623" s="2516">
        <f>W625</f>
        <v>1311.2539999999999</v>
      </c>
    </row>
    <row r="624" spans="1:28" ht="39.65" customHeight="1" x14ac:dyDescent="0.3">
      <c r="A624" s="85"/>
      <c r="B624" s="724" t="s">
        <v>948</v>
      </c>
      <c r="C624" s="9"/>
      <c r="D624" s="9"/>
      <c r="E624" s="9"/>
      <c r="F624" s="9" t="s">
        <v>50</v>
      </c>
      <c r="G624" s="9" t="s">
        <v>955</v>
      </c>
      <c r="H624" s="9"/>
      <c r="I624" s="9"/>
      <c r="J624" s="1064"/>
      <c r="K624" s="1065"/>
      <c r="L624" s="1065"/>
      <c r="M624" s="1552"/>
      <c r="N624" s="2541">
        <f>N625</f>
        <v>1820</v>
      </c>
      <c r="O624" s="2557"/>
      <c r="P624" s="2558"/>
      <c r="Q624" s="2559"/>
      <c r="R624" s="2560"/>
      <c r="S624" s="2546"/>
      <c r="T624" s="2546"/>
      <c r="U624" s="2546"/>
      <c r="V624" s="2516">
        <f t="shared" ref="V624:W624" si="282">V625</f>
        <v>203.73523</v>
      </c>
      <c r="W624" s="2516">
        <f t="shared" si="282"/>
        <v>1311.2539999999999</v>
      </c>
    </row>
    <row r="625" spans="1:23" ht="13" x14ac:dyDescent="0.3">
      <c r="A625" s="85"/>
      <c r="B625" s="744" t="s">
        <v>16</v>
      </c>
      <c r="C625" s="9"/>
      <c r="D625" s="9" t="s">
        <v>52</v>
      </c>
      <c r="E625" s="9" t="s">
        <v>49</v>
      </c>
      <c r="F625" s="9" t="s">
        <v>50</v>
      </c>
      <c r="G625" s="9" t="s">
        <v>1</v>
      </c>
      <c r="H625" s="9"/>
      <c r="I625" s="9"/>
      <c r="J625" s="1061">
        <f>J626</f>
        <v>3163.5070000000001</v>
      </c>
      <c r="K625" s="1065"/>
      <c r="L625" s="1065"/>
      <c r="M625" s="1552"/>
      <c r="N625" s="2541">
        <f>N626</f>
        <v>1820</v>
      </c>
      <c r="O625" s="2542">
        <f>O626</f>
        <v>0</v>
      </c>
      <c r="P625" s="2543">
        <f>P626</f>
        <v>0</v>
      </c>
      <c r="Q625" s="2544">
        <f>Q626</f>
        <v>504</v>
      </c>
      <c r="R625" s="2545">
        <f>R626</f>
        <v>304</v>
      </c>
      <c r="S625" s="2546"/>
      <c r="T625" s="2546"/>
      <c r="U625" s="2546"/>
      <c r="V625" s="2541">
        <f>V626</f>
        <v>203.73523</v>
      </c>
      <c r="W625" s="2541">
        <f>W626</f>
        <v>1311.2539999999999</v>
      </c>
    </row>
    <row r="626" spans="1:23" ht="28.5" customHeight="1" x14ac:dyDescent="0.3">
      <c r="A626" s="85"/>
      <c r="B626" s="2003" t="s">
        <v>51</v>
      </c>
      <c r="C626" s="9"/>
      <c r="D626" s="9"/>
      <c r="E626" s="9"/>
      <c r="F626" s="9" t="s">
        <v>50</v>
      </c>
      <c r="G626" s="9" t="s">
        <v>1</v>
      </c>
      <c r="H626" s="9" t="s">
        <v>452</v>
      </c>
      <c r="I626" s="9" t="s">
        <v>534</v>
      </c>
      <c r="J626" s="1126">
        <v>3163.5070000000001</v>
      </c>
      <c r="K626" s="1065"/>
      <c r="L626" s="1065"/>
      <c r="M626" s="1552"/>
      <c r="N626" s="2541">
        <f>3026-600-606</f>
        <v>1820</v>
      </c>
      <c r="O626" s="2542"/>
      <c r="P626" s="2543"/>
      <c r="Q626" s="2544">
        <v>504</v>
      </c>
      <c r="R626" s="2545">
        <v>304</v>
      </c>
      <c r="S626" s="2546"/>
      <c r="T626" s="2546"/>
      <c r="U626" s="2546"/>
      <c r="V626" s="2541">
        <f>1680-88.131-1388.13377</f>
        <v>203.73523</v>
      </c>
      <c r="W626" s="2541">
        <f>1641.634-330.38</f>
        <v>1311.2539999999999</v>
      </c>
    </row>
    <row r="627" spans="1:23" ht="37.5" hidden="1" customHeight="1" x14ac:dyDescent="0.3">
      <c r="A627" s="85"/>
      <c r="B627" s="52" t="s">
        <v>25</v>
      </c>
      <c r="C627" s="9"/>
      <c r="D627" s="34" t="s">
        <v>15</v>
      </c>
      <c r="E627" s="34" t="s">
        <v>13</v>
      </c>
      <c r="F627" s="34" t="s">
        <v>24</v>
      </c>
      <c r="G627" s="48"/>
      <c r="H627" s="48"/>
      <c r="I627" s="34"/>
      <c r="J627" s="131">
        <f>J628</f>
        <v>182.53199999999998</v>
      </c>
      <c r="K627" s="51"/>
      <c r="L627" s="51">
        <f t="shared" ref="L627:R627" si="283">L628</f>
        <v>85</v>
      </c>
      <c r="M627" s="1553">
        <f t="shared" si="283"/>
        <v>85</v>
      </c>
      <c r="N627" s="2516">
        <f t="shared" si="283"/>
        <v>0</v>
      </c>
      <c r="O627" s="2517">
        <f t="shared" si="283"/>
        <v>0</v>
      </c>
      <c r="P627" s="2518">
        <f t="shared" si="283"/>
        <v>0</v>
      </c>
      <c r="Q627" s="2519">
        <f t="shared" si="283"/>
        <v>0</v>
      </c>
      <c r="R627" s="2520">
        <f t="shared" si="283"/>
        <v>0</v>
      </c>
      <c r="S627" s="2546"/>
      <c r="T627" s="2546"/>
      <c r="U627" s="2546"/>
      <c r="V627" s="2516">
        <f t="shared" ref="V627:W627" si="284">V628</f>
        <v>0</v>
      </c>
      <c r="W627" s="2516">
        <f t="shared" si="284"/>
        <v>0</v>
      </c>
    </row>
    <row r="628" spans="1:23" ht="27" hidden="1" customHeight="1" x14ac:dyDescent="0.3">
      <c r="A628" s="85"/>
      <c r="B628" s="49" t="s">
        <v>237</v>
      </c>
      <c r="C628" s="9"/>
      <c r="D628" s="9" t="s">
        <v>15</v>
      </c>
      <c r="E628" s="9" t="s">
        <v>13</v>
      </c>
      <c r="F628" s="34" t="s">
        <v>1006</v>
      </c>
      <c r="G628" s="48"/>
      <c r="H628" s="48"/>
      <c r="I628" s="9"/>
      <c r="J628" s="131">
        <f>J632</f>
        <v>182.53199999999998</v>
      </c>
      <c r="K628" s="51"/>
      <c r="L628" s="51">
        <f t="shared" ref="L628:R628" si="285">L632</f>
        <v>85</v>
      </c>
      <c r="M628" s="1553">
        <f t="shared" si="285"/>
        <v>85</v>
      </c>
      <c r="N628" s="2516">
        <f>N632</f>
        <v>0</v>
      </c>
      <c r="O628" s="2517">
        <f t="shared" si="285"/>
        <v>0</v>
      </c>
      <c r="P628" s="2518">
        <f t="shared" si="285"/>
        <v>0</v>
      </c>
      <c r="Q628" s="2519">
        <f t="shared" si="285"/>
        <v>0</v>
      </c>
      <c r="R628" s="2520">
        <f t="shared" si="285"/>
        <v>0</v>
      </c>
      <c r="S628" s="2546"/>
      <c r="T628" s="2546"/>
      <c r="U628" s="2546"/>
      <c r="V628" s="2516">
        <f>V632</f>
        <v>0</v>
      </c>
      <c r="W628" s="2516">
        <f>W632</f>
        <v>0</v>
      </c>
    </row>
    <row r="629" spans="1:23" ht="28.5" hidden="1" customHeight="1" x14ac:dyDescent="0.3">
      <c r="A629" s="85"/>
      <c r="B629" s="42"/>
      <c r="C629" s="31"/>
      <c r="D629" s="31"/>
      <c r="E629" s="31"/>
      <c r="F629" s="31"/>
      <c r="G629" s="3373"/>
      <c r="H629" s="3374"/>
      <c r="I629" s="3374"/>
      <c r="J629" s="3375"/>
      <c r="K629" s="45"/>
      <c r="L629" s="44"/>
      <c r="M629" s="44"/>
      <c r="N629" s="2659"/>
      <c r="O629" s="2546"/>
      <c r="P629" s="2546"/>
      <c r="Q629" s="2660"/>
      <c r="R629" s="2661"/>
      <c r="S629" s="2546"/>
      <c r="T629" s="2546"/>
      <c r="U629" s="2546"/>
      <c r="V629" s="2659"/>
      <c r="W629" s="2659"/>
    </row>
    <row r="630" spans="1:23" ht="28.5" hidden="1" customHeight="1" x14ac:dyDescent="0.25">
      <c r="A630" s="32"/>
      <c r="B630" s="42"/>
      <c r="C630" s="31"/>
      <c r="D630" s="31"/>
      <c r="E630" s="31"/>
      <c r="F630" s="31"/>
      <c r="G630" s="3373"/>
      <c r="H630" s="3374"/>
      <c r="I630" s="3374"/>
      <c r="J630" s="3375"/>
      <c r="K630" s="41"/>
      <c r="L630" s="2"/>
      <c r="M630" s="2"/>
      <c r="N630" s="2662"/>
      <c r="O630" s="2515"/>
      <c r="P630" s="2515"/>
      <c r="Q630" s="2663"/>
      <c r="R630" s="2664"/>
      <c r="S630" s="2515"/>
      <c r="T630" s="2515"/>
      <c r="U630" s="2515"/>
      <c r="V630" s="2662"/>
      <c r="W630" s="2662"/>
    </row>
    <row r="631" spans="1:23" ht="13" hidden="1" x14ac:dyDescent="0.25">
      <c r="A631" s="32"/>
      <c r="B631" s="2149"/>
      <c r="C631" s="31"/>
      <c r="D631" s="31"/>
      <c r="E631" s="31"/>
      <c r="F631" s="9" t="s">
        <v>1006</v>
      </c>
      <c r="G631" s="2148" t="s">
        <v>1064</v>
      </c>
      <c r="H631" s="2417"/>
      <c r="I631" s="2417"/>
      <c r="J631" s="2418"/>
      <c r="K631" s="41"/>
      <c r="L631" s="2"/>
      <c r="M631" s="2"/>
      <c r="N631" s="2662"/>
      <c r="O631" s="2515"/>
      <c r="P631" s="2515"/>
      <c r="Q631" s="2663"/>
      <c r="R631" s="2664"/>
      <c r="S631" s="2515"/>
      <c r="T631" s="2515"/>
      <c r="U631" s="2515"/>
      <c r="V631" s="2662"/>
      <c r="W631" s="2662"/>
    </row>
    <row r="632" spans="1:23" ht="13" hidden="1" x14ac:dyDescent="0.3">
      <c r="A632" s="32"/>
      <c r="B632" s="2003" t="s">
        <v>94</v>
      </c>
      <c r="C632" s="31"/>
      <c r="D632" s="9" t="s">
        <v>15</v>
      </c>
      <c r="E632" s="9" t="s">
        <v>13</v>
      </c>
      <c r="F632" s="9" t="s">
        <v>1006</v>
      </c>
      <c r="G632" s="33" t="s">
        <v>91</v>
      </c>
      <c r="H632" s="33"/>
      <c r="I632" s="9"/>
      <c r="J632" s="515">
        <f>J633</f>
        <v>182.53199999999998</v>
      </c>
      <c r="K632" s="30"/>
      <c r="L632" s="29">
        <v>85</v>
      </c>
      <c r="M632" s="1569">
        <v>85</v>
      </c>
      <c r="N632" s="2510">
        <f>N633</f>
        <v>0</v>
      </c>
      <c r="O632" s="2665">
        <f>O633</f>
        <v>0</v>
      </c>
      <c r="P632" s="2665">
        <f>P633</f>
        <v>0</v>
      </c>
      <c r="Q632" s="2666">
        <f>Q633</f>
        <v>0</v>
      </c>
      <c r="R632" s="2667">
        <f>R633</f>
        <v>0</v>
      </c>
      <c r="S632" s="2515"/>
      <c r="T632" s="2515"/>
      <c r="U632" s="2515"/>
      <c r="V632" s="2510">
        <f>V633</f>
        <v>0</v>
      </c>
      <c r="W632" s="2510">
        <f>W633</f>
        <v>0</v>
      </c>
    </row>
    <row r="633" spans="1:23" ht="26" hidden="1" x14ac:dyDescent="0.3">
      <c r="A633" s="32"/>
      <c r="B633" s="2012" t="s">
        <v>570</v>
      </c>
      <c r="C633" s="31"/>
      <c r="D633" s="9"/>
      <c r="E633" s="9"/>
      <c r="F633" s="9" t="s">
        <v>48</v>
      </c>
      <c r="G633" s="33" t="s">
        <v>91</v>
      </c>
      <c r="H633" s="33" t="s">
        <v>495</v>
      </c>
      <c r="I633" s="9" t="s">
        <v>539</v>
      </c>
      <c r="J633" s="515">
        <f>85+97.532</f>
        <v>182.53199999999998</v>
      </c>
      <c r="K633" s="30"/>
      <c r="L633" s="29">
        <v>85</v>
      </c>
      <c r="M633" s="1569">
        <v>85</v>
      </c>
      <c r="N633" s="2668"/>
      <c r="O633" s="2665"/>
      <c r="P633" s="2665"/>
      <c r="Q633" s="2666"/>
      <c r="R633" s="2667"/>
      <c r="S633" s="2515"/>
      <c r="T633" s="2515"/>
      <c r="U633" s="2515"/>
      <c r="V633" s="2510"/>
      <c r="W633" s="2510"/>
    </row>
    <row r="634" spans="1:23" ht="39" hidden="1" x14ac:dyDescent="0.25">
      <c r="A634" s="32"/>
      <c r="B634" s="533" t="s">
        <v>788</v>
      </c>
      <c r="C634" s="9"/>
      <c r="D634" s="9"/>
      <c r="E634" s="9"/>
      <c r="F634" s="89" t="s">
        <v>1104</v>
      </c>
      <c r="G634" s="9"/>
      <c r="H634" s="9"/>
      <c r="I634" s="535"/>
      <c r="J634" s="1125"/>
      <c r="K634" s="1122"/>
      <c r="L634" s="1122"/>
      <c r="M634" s="1122"/>
      <c r="N634" s="2669">
        <f>N636</f>
        <v>0</v>
      </c>
      <c r="O634" s="2670"/>
      <c r="P634" s="2670"/>
      <c r="Q634" s="2671"/>
      <c r="R634" s="2672"/>
      <c r="S634" s="2526"/>
      <c r="T634" s="2526"/>
      <c r="U634" s="2526"/>
      <c r="V634" s="2673">
        <f>V636</f>
        <v>0</v>
      </c>
      <c r="W634" s="2673">
        <f>W636</f>
        <v>0</v>
      </c>
    </row>
    <row r="635" spans="1:23" ht="16" hidden="1" customHeight="1" x14ac:dyDescent="0.25">
      <c r="A635" s="32"/>
      <c r="B635" s="724" t="s">
        <v>1065</v>
      </c>
      <c r="C635" s="9"/>
      <c r="D635" s="9"/>
      <c r="E635" s="9"/>
      <c r="F635" s="33" t="s">
        <v>1104</v>
      </c>
      <c r="G635" s="9" t="s">
        <v>1064</v>
      </c>
      <c r="H635" s="9"/>
      <c r="I635" s="535"/>
      <c r="J635" s="1125"/>
      <c r="K635" s="1122"/>
      <c r="L635" s="1122"/>
      <c r="M635" s="1122"/>
      <c r="N635" s="2653">
        <f>N636</f>
        <v>0</v>
      </c>
      <c r="O635" s="2670"/>
      <c r="P635" s="2670"/>
      <c r="Q635" s="2671"/>
      <c r="R635" s="2672"/>
      <c r="S635" s="2526"/>
      <c r="T635" s="2526"/>
      <c r="U635" s="2526"/>
      <c r="V635" s="2674">
        <f>V636</f>
        <v>0</v>
      </c>
      <c r="W635" s="2674">
        <f>W636</f>
        <v>0</v>
      </c>
    </row>
    <row r="636" spans="1:23" ht="13" hidden="1" x14ac:dyDescent="0.3">
      <c r="A636" s="32"/>
      <c r="B636" s="16" t="s">
        <v>1112</v>
      </c>
      <c r="C636" s="409" t="s">
        <v>430</v>
      </c>
      <c r="D636" s="409" t="s">
        <v>456</v>
      </c>
      <c r="E636" s="409" t="s">
        <v>506</v>
      </c>
      <c r="F636" s="33" t="s">
        <v>1104</v>
      </c>
      <c r="G636" s="532" t="s">
        <v>1113</v>
      </c>
      <c r="H636" s="531"/>
      <c r="I636" s="529"/>
      <c r="J636" s="269"/>
      <c r="K636" s="830"/>
      <c r="L636" s="2"/>
      <c r="M636" s="2"/>
      <c r="N636" s="2675">
        <f>N637</f>
        <v>0</v>
      </c>
      <c r="O636" s="2670"/>
      <c r="P636" s="2670"/>
      <c r="Q636" s="2671"/>
      <c r="R636" s="2672"/>
      <c r="S636" s="2526"/>
      <c r="T636" s="2526"/>
      <c r="U636" s="2526"/>
      <c r="V636" s="2676">
        <f>V637</f>
        <v>0</v>
      </c>
      <c r="W636" s="2676">
        <f>W637</f>
        <v>0</v>
      </c>
    </row>
    <row r="637" spans="1:23" ht="13" hidden="1" x14ac:dyDescent="0.3">
      <c r="A637" s="32"/>
      <c r="B637" s="534" t="s">
        <v>419</v>
      </c>
      <c r="C637" s="409" t="s">
        <v>430</v>
      </c>
      <c r="D637" s="409" t="s">
        <v>456</v>
      </c>
      <c r="E637" s="409" t="s">
        <v>506</v>
      </c>
      <c r="F637" s="33" t="s">
        <v>1104</v>
      </c>
      <c r="G637" s="532" t="s">
        <v>1113</v>
      </c>
      <c r="H637" s="9" t="s">
        <v>456</v>
      </c>
      <c r="I637" s="9" t="s">
        <v>506</v>
      </c>
      <c r="J637" s="269"/>
      <c r="K637" s="830"/>
      <c r="L637" s="2"/>
      <c r="M637" s="2"/>
      <c r="N637" s="2675">
        <v>0</v>
      </c>
      <c r="O637" s="2670"/>
      <c r="P637" s="2670"/>
      <c r="Q637" s="2671"/>
      <c r="R637" s="2672"/>
      <c r="S637" s="2526"/>
      <c r="T637" s="2526"/>
      <c r="U637" s="2526"/>
      <c r="V637" s="2676">
        <v>0</v>
      </c>
      <c r="W637" s="2676">
        <v>0</v>
      </c>
    </row>
    <row r="638" spans="1:23" ht="39" hidden="1" x14ac:dyDescent="0.3">
      <c r="A638" s="32"/>
      <c r="B638" s="533" t="s">
        <v>186</v>
      </c>
      <c r="C638" s="1880"/>
      <c r="D638" s="409"/>
      <c r="E638" s="409"/>
      <c r="F638" s="79" t="s">
        <v>36</v>
      </c>
      <c r="G638" s="532"/>
      <c r="H638" s="9"/>
      <c r="I638" s="9"/>
      <c r="J638" s="2333"/>
      <c r="K638" s="830"/>
      <c r="L638" s="2"/>
      <c r="M638" s="2"/>
      <c r="N638" s="2677">
        <f>N639</f>
        <v>0</v>
      </c>
      <c r="O638" s="2670"/>
      <c r="P638" s="2670"/>
      <c r="Q638" s="2671"/>
      <c r="R638" s="2672"/>
      <c r="S638" s="2526"/>
      <c r="T638" s="2526"/>
      <c r="U638" s="2526"/>
      <c r="V638" s="2678">
        <f t="shared" ref="V638:W640" si="286">V639</f>
        <v>0</v>
      </c>
      <c r="W638" s="2678">
        <f t="shared" si="286"/>
        <v>0</v>
      </c>
    </row>
    <row r="639" spans="1:23" ht="26" hidden="1" x14ac:dyDescent="0.3">
      <c r="A639" s="32"/>
      <c r="B639" s="724" t="s">
        <v>948</v>
      </c>
      <c r="C639" s="1880"/>
      <c r="D639" s="409"/>
      <c r="E639" s="409"/>
      <c r="F639" s="77" t="s">
        <v>36</v>
      </c>
      <c r="G639" s="33" t="s">
        <v>955</v>
      </c>
      <c r="H639" s="33"/>
      <c r="I639" s="9"/>
      <c r="J639" s="2333"/>
      <c r="K639" s="830"/>
      <c r="L639" s="2"/>
      <c r="M639" s="2"/>
      <c r="N639" s="2677">
        <f>N640</f>
        <v>0</v>
      </c>
      <c r="O639" s="2670"/>
      <c r="P639" s="2670"/>
      <c r="Q639" s="2671"/>
      <c r="R639" s="2672"/>
      <c r="S639" s="2526"/>
      <c r="T639" s="2526"/>
      <c r="U639" s="2526"/>
      <c r="V639" s="2678">
        <f t="shared" si="286"/>
        <v>0</v>
      </c>
      <c r="W639" s="2678">
        <f t="shared" si="286"/>
        <v>0</v>
      </c>
    </row>
    <row r="640" spans="1:23" ht="13" hidden="1" x14ac:dyDescent="0.3">
      <c r="A640" s="32"/>
      <c r="B640" s="16" t="s">
        <v>16</v>
      </c>
      <c r="C640" s="1880"/>
      <c r="D640" s="409"/>
      <c r="E640" s="409"/>
      <c r="F640" s="77" t="s">
        <v>36</v>
      </c>
      <c r="G640" s="33" t="s">
        <v>1</v>
      </c>
      <c r="H640" s="33"/>
      <c r="I640" s="9"/>
      <c r="J640" s="2333"/>
      <c r="K640" s="830"/>
      <c r="L640" s="2"/>
      <c r="M640" s="2"/>
      <c r="N640" s="2677">
        <f>N641</f>
        <v>0</v>
      </c>
      <c r="O640" s="2670"/>
      <c r="P640" s="2670"/>
      <c r="Q640" s="2671"/>
      <c r="R640" s="2672"/>
      <c r="S640" s="2526"/>
      <c r="T640" s="2526"/>
      <c r="U640" s="2526"/>
      <c r="V640" s="2678">
        <f t="shared" si="286"/>
        <v>0</v>
      </c>
      <c r="W640" s="2678">
        <f t="shared" si="286"/>
        <v>0</v>
      </c>
    </row>
    <row r="641" spans="1:256" ht="13" hidden="1" x14ac:dyDescent="0.3">
      <c r="A641" s="32"/>
      <c r="B641" s="90" t="s">
        <v>34</v>
      </c>
      <c r="C641" s="1880"/>
      <c r="D641" s="409"/>
      <c r="E641" s="409"/>
      <c r="F641" s="77" t="s">
        <v>36</v>
      </c>
      <c r="G641" s="33" t="s">
        <v>1</v>
      </c>
      <c r="H641" s="33" t="s">
        <v>463</v>
      </c>
      <c r="I641" s="9" t="s">
        <v>495</v>
      </c>
      <c r="J641" s="2333"/>
      <c r="K641" s="830"/>
      <c r="L641" s="2"/>
      <c r="M641" s="2"/>
      <c r="N641" s="2677">
        <v>0</v>
      </c>
      <c r="O641" s="2670"/>
      <c r="P641" s="2670"/>
      <c r="Q641" s="2671"/>
      <c r="R641" s="2672"/>
      <c r="S641" s="2526"/>
      <c r="T641" s="2526"/>
      <c r="U641" s="2526"/>
      <c r="V641" s="2678">
        <v>0</v>
      </c>
      <c r="W641" s="2678">
        <v>0</v>
      </c>
    </row>
    <row r="642" spans="1:256" ht="24" customHeight="1" x14ac:dyDescent="0.3">
      <c r="A642" s="32"/>
      <c r="B642" s="90" t="s">
        <v>184</v>
      </c>
      <c r="C642" s="2418"/>
      <c r="D642" s="9"/>
      <c r="E642" s="9"/>
      <c r="F642" s="79" t="s">
        <v>33</v>
      </c>
      <c r="G642" s="33"/>
      <c r="H642" s="33"/>
      <c r="I642" s="9"/>
      <c r="J642" s="515"/>
      <c r="K642" s="30"/>
      <c r="L642" s="29"/>
      <c r="M642" s="1569"/>
      <c r="N642" s="2679">
        <f>N647+N645</f>
        <v>5480</v>
      </c>
      <c r="O642" s="2665"/>
      <c r="P642" s="2665"/>
      <c r="Q642" s="2666"/>
      <c r="R642" s="2667"/>
      <c r="S642" s="2515"/>
      <c r="T642" s="2515"/>
      <c r="U642" s="2515"/>
      <c r="V642" s="2510">
        <f>V647+V645</f>
        <v>3843.7079999999996</v>
      </c>
      <c r="W642" s="2510">
        <f>W647+W645</f>
        <v>9348.1670000000013</v>
      </c>
    </row>
    <row r="643" spans="1:256" ht="24" customHeight="1" x14ac:dyDescent="0.3">
      <c r="A643" s="32"/>
      <c r="B643" s="724" t="s">
        <v>948</v>
      </c>
      <c r="C643" s="2418"/>
      <c r="D643" s="9"/>
      <c r="E643" s="9"/>
      <c r="F643" s="77" t="s">
        <v>33</v>
      </c>
      <c r="G643" s="33" t="s">
        <v>955</v>
      </c>
      <c r="H643" s="33"/>
      <c r="I643" s="9"/>
      <c r="J643" s="515"/>
      <c r="K643" s="30"/>
      <c r="L643" s="29"/>
      <c r="M643" s="1569"/>
      <c r="N643" s="2679">
        <f>N644</f>
        <v>0</v>
      </c>
      <c r="O643" s="2683"/>
      <c r="P643" s="2683"/>
      <c r="Q643" s="2684"/>
      <c r="R643" s="2685"/>
      <c r="S643" s="2686"/>
      <c r="T643" s="2686"/>
      <c r="U643" s="2686"/>
      <c r="V643" s="2510">
        <f>V644</f>
        <v>0</v>
      </c>
      <c r="W643" s="2510">
        <f>W644</f>
        <v>3190.8389999999999</v>
      </c>
    </row>
    <row r="644" spans="1:256" ht="13" x14ac:dyDescent="0.3">
      <c r="A644" s="32"/>
      <c r="B644" s="16" t="s">
        <v>16</v>
      </c>
      <c r="C644" s="2418"/>
      <c r="D644" s="9"/>
      <c r="E644" s="9"/>
      <c r="F644" s="77" t="s">
        <v>33</v>
      </c>
      <c r="G644" s="33" t="s">
        <v>1</v>
      </c>
      <c r="H644" s="33"/>
      <c r="I644" s="9"/>
      <c r="J644" s="515"/>
      <c r="K644" s="30"/>
      <c r="L644" s="29"/>
      <c r="M644" s="1569"/>
      <c r="N644" s="2679">
        <f>N645</f>
        <v>0</v>
      </c>
      <c r="O644" s="2683"/>
      <c r="P644" s="2683"/>
      <c r="Q644" s="2684"/>
      <c r="R644" s="2685"/>
      <c r="S644" s="2686"/>
      <c r="T644" s="2686"/>
      <c r="U644" s="2686"/>
      <c r="V644" s="2510">
        <f>V645</f>
        <v>0</v>
      </c>
      <c r="W644" s="2510">
        <f>W645</f>
        <v>3190.8389999999999</v>
      </c>
    </row>
    <row r="645" spans="1:256" ht="13" x14ac:dyDescent="0.3">
      <c r="A645" s="32"/>
      <c r="B645" s="90" t="s">
        <v>34</v>
      </c>
      <c r="C645" s="2418"/>
      <c r="D645" s="9"/>
      <c r="E645" s="9"/>
      <c r="F645" s="77" t="s">
        <v>33</v>
      </c>
      <c r="G645" s="33" t="s">
        <v>1</v>
      </c>
      <c r="H645" s="33" t="s">
        <v>463</v>
      </c>
      <c r="I645" s="9" t="s">
        <v>495</v>
      </c>
      <c r="J645" s="515"/>
      <c r="K645" s="30"/>
      <c r="L645" s="29"/>
      <c r="M645" s="1569"/>
      <c r="N645" s="2679">
        <v>0</v>
      </c>
      <c r="O645" s="2683"/>
      <c r="P645" s="2683"/>
      <c r="Q645" s="2684"/>
      <c r="R645" s="2685"/>
      <c r="S645" s="2686"/>
      <c r="T645" s="2686"/>
      <c r="U645" s="2686"/>
      <c r="V645" s="2510">
        <v>0</v>
      </c>
      <c r="W645" s="2510">
        <v>3190.8389999999999</v>
      </c>
    </row>
    <row r="646" spans="1:256" ht="32.5" customHeight="1" x14ac:dyDescent="0.3">
      <c r="A646" s="32"/>
      <c r="B646" s="2152" t="s">
        <v>1068</v>
      </c>
      <c r="C646" s="2418"/>
      <c r="D646" s="9" t="s">
        <v>1065</v>
      </c>
      <c r="E646" s="9"/>
      <c r="F646" s="77" t="s">
        <v>33</v>
      </c>
      <c r="G646" s="33" t="s">
        <v>1064</v>
      </c>
      <c r="H646" s="33"/>
      <c r="I646" s="9"/>
      <c r="J646" s="515"/>
      <c r="K646" s="30"/>
      <c r="L646" s="29"/>
      <c r="M646" s="1569"/>
      <c r="N646" s="2510">
        <f>N647</f>
        <v>5480</v>
      </c>
      <c r="O646" s="2665"/>
      <c r="P646" s="2665"/>
      <c r="Q646" s="2666"/>
      <c r="R646" s="2667"/>
      <c r="S646" s="2515"/>
      <c r="T646" s="2515"/>
      <c r="U646" s="2515"/>
      <c r="V646" s="2510">
        <f t="shared" ref="V646:W646" si="287">V647</f>
        <v>3843.7079999999996</v>
      </c>
      <c r="W646" s="2510">
        <f t="shared" si="287"/>
        <v>6157.3280000000004</v>
      </c>
    </row>
    <row r="647" spans="1:256" ht="39" x14ac:dyDescent="0.3">
      <c r="A647" s="32"/>
      <c r="B647" s="2095" t="s">
        <v>1034</v>
      </c>
      <c r="C647" s="2418"/>
      <c r="D647" s="9"/>
      <c r="E647" s="9"/>
      <c r="F647" s="77" t="s">
        <v>33</v>
      </c>
      <c r="G647" s="33" t="s">
        <v>521</v>
      </c>
      <c r="H647" s="33"/>
      <c r="I647" s="9"/>
      <c r="J647" s="515"/>
      <c r="K647" s="30"/>
      <c r="L647" s="29"/>
      <c r="M647" s="1569"/>
      <c r="N647" s="2510">
        <f>N648</f>
        <v>5480</v>
      </c>
      <c r="O647" s="2665"/>
      <c r="P647" s="2665"/>
      <c r="Q647" s="2666"/>
      <c r="R647" s="2667"/>
      <c r="S647" s="2515"/>
      <c r="T647" s="2515"/>
      <c r="U647" s="2515"/>
      <c r="V647" s="2510">
        <f>V648</f>
        <v>3843.7079999999996</v>
      </c>
      <c r="W647" s="2510">
        <f>W648</f>
        <v>6157.3280000000004</v>
      </c>
    </row>
    <row r="648" spans="1:256" ht="13" x14ac:dyDescent="0.3">
      <c r="A648" s="32"/>
      <c r="B648" s="90" t="s">
        <v>34</v>
      </c>
      <c r="C648" s="2418"/>
      <c r="D648" s="9"/>
      <c r="E648" s="9"/>
      <c r="F648" s="77" t="s">
        <v>33</v>
      </c>
      <c r="G648" s="33" t="s">
        <v>521</v>
      </c>
      <c r="H648" s="33" t="s">
        <v>463</v>
      </c>
      <c r="I648" s="9" t="s">
        <v>495</v>
      </c>
      <c r="J648" s="515"/>
      <c r="K648" s="30"/>
      <c r="L648" s="29"/>
      <c r="M648" s="1569"/>
      <c r="N648" s="2510">
        <f>5480-2056.2414+2056.2414</f>
        <v>5480</v>
      </c>
      <c r="O648" s="2665"/>
      <c r="P648" s="2665"/>
      <c r="Q648" s="2666"/>
      <c r="R648" s="2667"/>
      <c r="S648" s="2515"/>
      <c r="T648" s="2515"/>
      <c r="U648" s="2515"/>
      <c r="V648" s="2510">
        <f>5808.8-1328.89-636.202</f>
        <v>3843.7079999999996</v>
      </c>
      <c r="W648" s="2510">
        <v>6157.3280000000004</v>
      </c>
    </row>
    <row r="649" spans="1:256" ht="39" x14ac:dyDescent="0.3">
      <c r="A649" s="32"/>
      <c r="B649" s="534" t="s">
        <v>918</v>
      </c>
      <c r="C649" s="2418"/>
      <c r="D649" s="9"/>
      <c r="E649" s="9"/>
      <c r="F649" s="79" t="s">
        <v>919</v>
      </c>
      <c r="G649" s="33"/>
      <c r="H649" s="33"/>
      <c r="I649" s="9"/>
      <c r="J649" s="515">
        <f>J653</f>
        <v>153.32</v>
      </c>
      <c r="K649" s="30"/>
      <c r="L649" s="29"/>
      <c r="M649" s="1569"/>
      <c r="N649" s="2629">
        <f>N651</f>
        <v>900</v>
      </c>
      <c r="O649" s="2680">
        <f>O653+O651</f>
        <v>585.81999999999994</v>
      </c>
      <c r="P649" s="2680">
        <f>P653+P651</f>
        <v>610.88699999999994</v>
      </c>
      <c r="Q649" s="2681">
        <f>Q653+Q651</f>
        <v>1200</v>
      </c>
      <c r="R649" s="2682">
        <f>R653+R651</f>
        <v>1200</v>
      </c>
      <c r="S649" s="2515"/>
      <c r="T649" s="2515"/>
      <c r="U649" s="2515"/>
      <c r="V649" s="2629">
        <f>V651</f>
        <v>963</v>
      </c>
      <c r="W649" s="2629">
        <f>W651</f>
        <v>1030.4100000000001</v>
      </c>
    </row>
    <row r="650" spans="1:256" ht="26" x14ac:dyDescent="0.3">
      <c r="A650" s="32"/>
      <c r="B650" s="724" t="s">
        <v>948</v>
      </c>
      <c r="C650" s="2418"/>
      <c r="D650" s="9"/>
      <c r="E650" s="9"/>
      <c r="F650" s="77" t="s">
        <v>919</v>
      </c>
      <c r="G650" s="33" t="s">
        <v>955</v>
      </c>
      <c r="H650" s="33"/>
      <c r="I650" s="9"/>
      <c r="J650" s="515"/>
      <c r="K650" s="30"/>
      <c r="L650" s="29"/>
      <c r="M650" s="1569"/>
      <c r="N650" s="2510">
        <f>N651</f>
        <v>900</v>
      </c>
      <c r="O650" s="2680"/>
      <c r="P650" s="2680"/>
      <c r="Q650" s="2681"/>
      <c r="R650" s="2682"/>
      <c r="S650" s="2515"/>
      <c r="T650" s="2515"/>
      <c r="U650" s="2515"/>
      <c r="V650" s="2510">
        <f t="shared" ref="V650:W650" si="288">V651</f>
        <v>963</v>
      </c>
      <c r="W650" s="2510">
        <f t="shared" si="288"/>
        <v>1030.4100000000001</v>
      </c>
    </row>
    <row r="651" spans="1:256" ht="13" x14ac:dyDescent="0.3">
      <c r="A651" s="32"/>
      <c r="B651" s="724" t="s">
        <v>16</v>
      </c>
      <c r="C651" s="2418"/>
      <c r="D651" s="9"/>
      <c r="E651" s="9"/>
      <c r="F651" s="77" t="s">
        <v>919</v>
      </c>
      <c r="G651" s="33" t="s">
        <v>1</v>
      </c>
      <c r="H651" s="33"/>
      <c r="I651" s="9"/>
      <c r="J651" s="515"/>
      <c r="K651" s="30"/>
      <c r="L651" s="29"/>
      <c r="M651" s="1569"/>
      <c r="N651" s="2510">
        <f>N652</f>
        <v>900</v>
      </c>
      <c r="O651" s="2665">
        <f>O652</f>
        <v>31.3</v>
      </c>
      <c r="P651" s="2665">
        <f>P652</f>
        <v>34.43</v>
      </c>
      <c r="Q651" s="2666">
        <f>Q652</f>
        <v>1200</v>
      </c>
      <c r="R651" s="2667">
        <f>R652</f>
        <v>1200</v>
      </c>
      <c r="S651" s="2515"/>
      <c r="T651" s="2515"/>
      <c r="U651" s="2515"/>
      <c r="V651" s="2510">
        <f>V652</f>
        <v>963</v>
      </c>
      <c r="W651" s="2510">
        <f>W652</f>
        <v>1030.4100000000001</v>
      </c>
    </row>
    <row r="652" spans="1:256" ht="13" x14ac:dyDescent="0.3">
      <c r="A652" s="32"/>
      <c r="B652" s="724" t="s">
        <v>920</v>
      </c>
      <c r="C652" s="2418"/>
      <c r="D652" s="9"/>
      <c r="E652" s="9"/>
      <c r="F652" s="77" t="s">
        <v>919</v>
      </c>
      <c r="G652" s="33" t="s">
        <v>1</v>
      </c>
      <c r="H652" s="33" t="s">
        <v>534</v>
      </c>
      <c r="I652" s="9" t="s">
        <v>488</v>
      </c>
      <c r="J652" s="515"/>
      <c r="K652" s="30"/>
      <c r="L652" s="29"/>
      <c r="M652" s="1569"/>
      <c r="N652" s="2510">
        <v>900</v>
      </c>
      <c r="O652" s="2665">
        <v>31.3</v>
      </c>
      <c r="P652" s="2665">
        <v>34.43</v>
      </c>
      <c r="Q652" s="2666">
        <v>1200</v>
      </c>
      <c r="R652" s="2667">
        <v>1200</v>
      </c>
      <c r="S652" s="2515"/>
      <c r="T652" s="2515"/>
      <c r="U652" s="2515"/>
      <c r="V652" s="2510">
        <v>963</v>
      </c>
      <c r="W652" s="2510">
        <v>1030.4100000000001</v>
      </c>
      <c r="X652" s="72"/>
      <c r="AC652" s="1124"/>
    </row>
    <row r="653" spans="1:256" ht="13" hidden="1" x14ac:dyDescent="0.25">
      <c r="A653" s="32"/>
      <c r="B653" s="724" t="s">
        <v>109</v>
      </c>
      <c r="C653" s="70"/>
      <c r="D653" s="9" t="s">
        <v>44</v>
      </c>
      <c r="E653" s="9" t="s">
        <v>41</v>
      </c>
      <c r="F653" s="77" t="s">
        <v>919</v>
      </c>
      <c r="G653" s="33" t="s">
        <v>1</v>
      </c>
      <c r="H653" s="33"/>
      <c r="I653" s="9"/>
      <c r="J653" s="1126">
        <f t="shared" ref="J653:R653" si="289">J654</f>
        <v>153.32</v>
      </c>
      <c r="K653" s="1063">
        <f t="shared" si="289"/>
        <v>172</v>
      </c>
      <c r="L653" s="1063">
        <f t="shared" si="289"/>
        <v>172</v>
      </c>
      <c r="M653" s="1125">
        <f t="shared" si="289"/>
        <v>172</v>
      </c>
      <c r="N653" s="2541">
        <f t="shared" si="289"/>
        <v>0</v>
      </c>
      <c r="O653" s="2542">
        <f t="shared" si="289"/>
        <v>554.52</v>
      </c>
      <c r="P653" s="2543">
        <f t="shared" si="289"/>
        <v>576.45699999999999</v>
      </c>
      <c r="Q653" s="2544">
        <f t="shared" si="289"/>
        <v>0</v>
      </c>
      <c r="R653" s="2545">
        <f t="shared" si="289"/>
        <v>0</v>
      </c>
      <c r="S653" s="2515"/>
      <c r="T653" s="2515"/>
      <c r="U653" s="2515"/>
      <c r="V653" s="2541">
        <f t="shared" ref="V653:W653" si="290">V654</f>
        <v>0</v>
      </c>
      <c r="W653" s="2541">
        <f t="shared" si="290"/>
        <v>0</v>
      </c>
      <c r="X653" s="72"/>
      <c r="AC653" s="2246">
        <v>672.10500000000002</v>
      </c>
    </row>
    <row r="654" spans="1:256" ht="39" hidden="1" x14ac:dyDescent="0.25">
      <c r="A654" s="32"/>
      <c r="B654" s="90" t="s">
        <v>918</v>
      </c>
      <c r="C654" s="70"/>
      <c r="D654" s="9" t="s">
        <v>44</v>
      </c>
      <c r="E654" s="9" t="s">
        <v>41</v>
      </c>
      <c r="F654" s="77" t="s">
        <v>43</v>
      </c>
      <c r="G654" s="33" t="s">
        <v>42</v>
      </c>
      <c r="H654" s="33" t="s">
        <v>496</v>
      </c>
      <c r="I654" s="9" t="s">
        <v>495</v>
      </c>
      <c r="J654" s="1126">
        <v>153.32</v>
      </c>
      <c r="K654" s="1063">
        <v>172</v>
      </c>
      <c r="L654" s="1063">
        <v>172</v>
      </c>
      <c r="M654" s="1125">
        <v>172</v>
      </c>
      <c r="N654" s="2541"/>
      <c r="O654" s="2542">
        <v>554.52</v>
      </c>
      <c r="P654" s="2543">
        <v>576.45699999999999</v>
      </c>
      <c r="Q654" s="2544"/>
      <c r="R654" s="2545"/>
      <c r="S654" s="2515"/>
      <c r="T654" s="2515"/>
      <c r="U654" s="2515"/>
      <c r="V654" s="2541"/>
      <c r="W654" s="2541"/>
    </row>
    <row r="655" spans="1:256" s="2" customFormat="1" ht="25" hidden="1" x14ac:dyDescent="0.25">
      <c r="A655" s="32"/>
      <c r="B655" s="1127" t="s">
        <v>921</v>
      </c>
      <c r="C655" s="70"/>
      <c r="D655" s="9"/>
      <c r="E655" s="9"/>
      <c r="F655" s="79" t="s">
        <v>38</v>
      </c>
      <c r="G655" s="33"/>
      <c r="H655" s="33"/>
      <c r="I655" s="9"/>
      <c r="J655" s="1126">
        <f>J656</f>
        <v>0</v>
      </c>
      <c r="K655" s="1128"/>
      <c r="L655" s="1129"/>
      <c r="M655" s="1128"/>
      <c r="N655" s="2516">
        <f t="shared" ref="N655:R656" si="291">N656</f>
        <v>0</v>
      </c>
      <c r="O655" s="2557">
        <f t="shared" si="291"/>
        <v>0</v>
      </c>
      <c r="P655" s="2558">
        <f t="shared" si="291"/>
        <v>0</v>
      </c>
      <c r="Q655" s="2559">
        <f t="shared" si="291"/>
        <v>0</v>
      </c>
      <c r="R655" s="2560">
        <f t="shared" si="291"/>
        <v>0</v>
      </c>
      <c r="S655" s="2515"/>
      <c r="T655" s="2515"/>
      <c r="U655" s="2515"/>
      <c r="V655" s="2516">
        <f t="shared" ref="V655:W656" si="292">V656</f>
        <v>0</v>
      </c>
      <c r="W655" s="2516">
        <f t="shared" si="292"/>
        <v>0</v>
      </c>
      <c r="Y655" s="1"/>
      <c r="Z655" s="237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</row>
    <row r="656" spans="1:256" s="2" customFormat="1" ht="25.5" hidden="1" thickBot="1" x14ac:dyDescent="0.3">
      <c r="A656" s="32"/>
      <c r="B656" s="1130" t="s">
        <v>454</v>
      </c>
      <c r="C656" s="70"/>
      <c r="D656" s="9"/>
      <c r="E656" s="9"/>
      <c r="F656" s="77" t="s">
        <v>38</v>
      </c>
      <c r="G656" s="33" t="s">
        <v>26</v>
      </c>
      <c r="H656" s="33"/>
      <c r="I656" s="9"/>
      <c r="J656" s="1126">
        <f>J657</f>
        <v>0</v>
      </c>
      <c r="K656" s="1128"/>
      <c r="L656" s="1129"/>
      <c r="M656" s="1128"/>
      <c r="N656" s="2541">
        <f t="shared" si="291"/>
        <v>0</v>
      </c>
      <c r="O656" s="2542">
        <f t="shared" si="291"/>
        <v>0</v>
      </c>
      <c r="P656" s="2543">
        <f t="shared" si="291"/>
        <v>0</v>
      </c>
      <c r="Q656" s="2544">
        <f t="shared" si="291"/>
        <v>0</v>
      </c>
      <c r="R656" s="2545">
        <f t="shared" si="291"/>
        <v>0</v>
      </c>
      <c r="S656" s="2515"/>
      <c r="T656" s="2515"/>
      <c r="U656" s="2515"/>
      <c r="V656" s="2541">
        <f t="shared" si="292"/>
        <v>0</v>
      </c>
      <c r="W656" s="2541">
        <f t="shared" si="292"/>
        <v>0</v>
      </c>
      <c r="Y656" s="1"/>
      <c r="Z656" s="237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</row>
    <row r="657" spans="1:256" s="2" customFormat="1" ht="13" hidden="1" x14ac:dyDescent="0.3">
      <c r="A657" s="32"/>
      <c r="B657" s="744" t="s">
        <v>39</v>
      </c>
      <c r="C657" s="70"/>
      <c r="D657" s="9"/>
      <c r="E657" s="9"/>
      <c r="F657" s="77" t="s">
        <v>38</v>
      </c>
      <c r="G657" s="33" t="s">
        <v>26</v>
      </c>
      <c r="H657" s="33" t="s">
        <v>463</v>
      </c>
      <c r="I657" s="9" t="s">
        <v>488</v>
      </c>
      <c r="J657" s="1126"/>
      <c r="K657" s="1128"/>
      <c r="L657" s="1129"/>
      <c r="M657" s="1128"/>
      <c r="N657" s="2541"/>
      <c r="O657" s="2542"/>
      <c r="P657" s="2543"/>
      <c r="Q657" s="2544"/>
      <c r="R657" s="2545"/>
      <c r="S657" s="2515"/>
      <c r="T657" s="2515"/>
      <c r="U657" s="2515"/>
      <c r="V657" s="2541"/>
      <c r="W657" s="2541"/>
      <c r="Y657" s="1"/>
      <c r="Z657" s="237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</row>
    <row r="658" spans="1:256" s="2" customFormat="1" ht="26" hidden="1" x14ac:dyDescent="0.25">
      <c r="A658" s="32"/>
      <c r="B658" s="76" t="s">
        <v>37</v>
      </c>
      <c r="C658" s="70"/>
      <c r="D658" s="9"/>
      <c r="E658" s="9"/>
      <c r="F658" s="34" t="s">
        <v>36</v>
      </c>
      <c r="G658" s="33"/>
      <c r="H658" s="33"/>
      <c r="I658" s="9"/>
      <c r="J658" s="1131">
        <f>J659</f>
        <v>17908.526000000002</v>
      </c>
      <c r="K658" s="1128"/>
      <c r="L658" s="1129"/>
      <c r="M658" s="1128"/>
      <c r="N658" s="2541">
        <f t="shared" ref="N658:R659" si="293">N659</f>
        <v>0</v>
      </c>
      <c r="O658" s="2687">
        <f t="shared" si="293"/>
        <v>0</v>
      </c>
      <c r="P658" s="2688">
        <f t="shared" si="293"/>
        <v>0</v>
      </c>
      <c r="Q658" s="2544">
        <f t="shared" si="293"/>
        <v>0</v>
      </c>
      <c r="R658" s="2545">
        <f t="shared" si="293"/>
        <v>0</v>
      </c>
      <c r="S658" s="2515"/>
      <c r="T658" s="2515"/>
      <c r="U658" s="2515"/>
      <c r="V658" s="2541">
        <f t="shared" ref="V658:W659" si="294">V659</f>
        <v>0</v>
      </c>
      <c r="W658" s="2541">
        <f t="shared" si="294"/>
        <v>0</v>
      </c>
      <c r="Y658" s="1"/>
      <c r="Z658" s="237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</row>
    <row r="659" spans="1:256" s="2" customFormat="1" ht="26" hidden="1" x14ac:dyDescent="0.25">
      <c r="A659" s="32"/>
      <c r="B659" s="1993" t="s">
        <v>4</v>
      </c>
      <c r="C659" s="70"/>
      <c r="D659" s="9"/>
      <c r="E659" s="9"/>
      <c r="F659" s="9" t="s">
        <v>36</v>
      </c>
      <c r="G659" s="33" t="s">
        <v>1</v>
      </c>
      <c r="H659" s="33"/>
      <c r="I659" s="9"/>
      <c r="J659" s="1131">
        <f>J660</f>
        <v>17908.526000000002</v>
      </c>
      <c r="K659" s="1128"/>
      <c r="L659" s="1129"/>
      <c r="M659" s="1128"/>
      <c r="N659" s="2541">
        <f t="shared" si="293"/>
        <v>0</v>
      </c>
      <c r="O659" s="2687">
        <f t="shared" si="293"/>
        <v>0</v>
      </c>
      <c r="P659" s="2688">
        <f t="shared" si="293"/>
        <v>0</v>
      </c>
      <c r="Q659" s="2544">
        <f t="shared" si="293"/>
        <v>0</v>
      </c>
      <c r="R659" s="2545">
        <f t="shared" si="293"/>
        <v>0</v>
      </c>
      <c r="S659" s="2689"/>
      <c r="T659" s="2689"/>
      <c r="U659" s="2655"/>
      <c r="V659" s="2541">
        <f t="shared" si="294"/>
        <v>0</v>
      </c>
      <c r="W659" s="2541">
        <f t="shared" si="294"/>
        <v>0</v>
      </c>
      <c r="Y659" s="1"/>
      <c r="Z659" s="237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</row>
    <row r="660" spans="1:256" s="2" customFormat="1" ht="13" hidden="1" x14ac:dyDescent="0.25">
      <c r="A660" s="32"/>
      <c r="B660" s="49" t="s">
        <v>34</v>
      </c>
      <c r="C660" s="70"/>
      <c r="D660" s="9"/>
      <c r="E660" s="9"/>
      <c r="F660" s="9" t="s">
        <v>36</v>
      </c>
      <c r="G660" s="33" t="s">
        <v>1</v>
      </c>
      <c r="H660" s="33"/>
      <c r="I660" s="9" t="s">
        <v>32</v>
      </c>
      <c r="J660" s="1131">
        <v>17908.526000000002</v>
      </c>
      <c r="K660" s="1128"/>
      <c r="L660" s="1129"/>
      <c r="M660" s="1128"/>
      <c r="N660" s="2541"/>
      <c r="O660" s="2687"/>
      <c r="P660" s="2688"/>
      <c r="Q660" s="2544"/>
      <c r="R660" s="2545"/>
      <c r="S660" s="2689"/>
      <c r="T660" s="2689"/>
      <c r="U660" s="2655"/>
      <c r="V660" s="2541"/>
      <c r="W660" s="2541"/>
      <c r="Y660" s="1"/>
      <c r="Z660" s="237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</row>
    <row r="661" spans="1:256" s="2" customFormat="1" ht="39" hidden="1" x14ac:dyDescent="0.25">
      <c r="A661" s="32"/>
      <c r="B661" s="1993" t="s">
        <v>35</v>
      </c>
      <c r="C661" s="70"/>
      <c r="D661" s="9"/>
      <c r="E661" s="9"/>
      <c r="F661" s="34" t="s">
        <v>33</v>
      </c>
      <c r="G661" s="33"/>
      <c r="H661" s="33"/>
      <c r="I661" s="9"/>
      <c r="J661" s="1131">
        <f>J662</f>
        <v>7028.6390000000001</v>
      </c>
      <c r="K661" s="1128"/>
      <c r="L661" s="1129"/>
      <c r="M661" s="1128"/>
      <c r="N661" s="2541">
        <f t="shared" ref="N661:R662" si="295">N662</f>
        <v>0</v>
      </c>
      <c r="O661" s="2687">
        <f t="shared" si="295"/>
        <v>0</v>
      </c>
      <c r="P661" s="2688">
        <f t="shared" si="295"/>
        <v>0</v>
      </c>
      <c r="Q661" s="2544">
        <f t="shared" si="295"/>
        <v>0</v>
      </c>
      <c r="R661" s="2545">
        <f t="shared" si="295"/>
        <v>0</v>
      </c>
      <c r="S661" s="2515"/>
      <c r="T661" s="2515"/>
      <c r="U661" s="2515"/>
      <c r="V661" s="2541">
        <f t="shared" ref="V661:W662" si="296">V662</f>
        <v>0</v>
      </c>
      <c r="W661" s="2541">
        <f t="shared" si="296"/>
        <v>0</v>
      </c>
      <c r="Y661" s="1"/>
      <c r="Z661" s="237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</row>
    <row r="662" spans="1:256" s="2" customFormat="1" ht="26" hidden="1" x14ac:dyDescent="0.25">
      <c r="A662" s="32"/>
      <c r="B662" s="1993" t="s">
        <v>4</v>
      </c>
      <c r="C662" s="70"/>
      <c r="D662" s="9"/>
      <c r="E662" s="9"/>
      <c r="F662" s="9" t="s">
        <v>33</v>
      </c>
      <c r="G662" s="33" t="s">
        <v>1</v>
      </c>
      <c r="H662" s="33"/>
      <c r="I662" s="9"/>
      <c r="J662" s="1131">
        <f>J663</f>
        <v>7028.6390000000001</v>
      </c>
      <c r="K662" s="1128"/>
      <c r="L662" s="1129"/>
      <c r="M662" s="1128"/>
      <c r="N662" s="2541">
        <f t="shared" si="295"/>
        <v>0</v>
      </c>
      <c r="O662" s="2687">
        <f t="shared" si="295"/>
        <v>0</v>
      </c>
      <c r="P662" s="2688">
        <f t="shared" si="295"/>
        <v>0</v>
      </c>
      <c r="Q662" s="2544">
        <f t="shared" si="295"/>
        <v>0</v>
      </c>
      <c r="R662" s="2545">
        <f t="shared" si="295"/>
        <v>0</v>
      </c>
      <c r="S662" s="2515"/>
      <c r="T662" s="2515"/>
      <c r="U662" s="2515"/>
      <c r="V662" s="2541">
        <f t="shared" si="296"/>
        <v>0</v>
      </c>
      <c r="W662" s="2541">
        <f t="shared" si="296"/>
        <v>0</v>
      </c>
      <c r="Y662" s="1"/>
      <c r="Z662" s="237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</row>
    <row r="663" spans="1:256" s="2" customFormat="1" ht="27" hidden="1" customHeight="1" x14ac:dyDescent="0.25">
      <c r="A663" s="32"/>
      <c r="B663" s="49" t="s">
        <v>34</v>
      </c>
      <c r="C663" s="70"/>
      <c r="D663" s="9"/>
      <c r="E663" s="9"/>
      <c r="F663" s="9" t="s">
        <v>33</v>
      </c>
      <c r="G663" s="33" t="s">
        <v>1</v>
      </c>
      <c r="H663" s="33"/>
      <c r="I663" s="9" t="s">
        <v>32</v>
      </c>
      <c r="J663" s="1131">
        <f>838.062+6190.577</f>
        <v>7028.6390000000001</v>
      </c>
      <c r="K663" s="1128"/>
      <c r="L663" s="1129"/>
      <c r="M663" s="1128"/>
      <c r="N663" s="2541"/>
      <c r="O663" s="2687"/>
      <c r="P663" s="2688"/>
      <c r="Q663" s="2544"/>
      <c r="R663" s="2545"/>
      <c r="S663" s="2515"/>
      <c r="T663" s="2515"/>
      <c r="U663" s="2515"/>
      <c r="V663" s="2541"/>
      <c r="W663" s="2541"/>
      <c r="Y663" s="1"/>
      <c r="Z663" s="237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</row>
    <row r="664" spans="1:256" s="2" customFormat="1" ht="25.15" hidden="1" customHeight="1" x14ac:dyDescent="0.25">
      <c r="A664" s="32"/>
      <c r="B664" s="90" t="s">
        <v>296</v>
      </c>
      <c r="C664" s="70"/>
      <c r="D664" s="9"/>
      <c r="E664" s="9"/>
      <c r="F664" s="34" t="s">
        <v>624</v>
      </c>
      <c r="G664" s="33"/>
      <c r="H664" s="33"/>
      <c r="I664" s="9"/>
      <c r="J664" s="1133"/>
      <c r="K664" s="1128"/>
      <c r="L664" s="1129"/>
      <c r="M664" s="1128"/>
      <c r="N664" s="2690">
        <f>N665</f>
        <v>0</v>
      </c>
      <c r="O664" s="2691"/>
      <c r="P664" s="2691"/>
      <c r="Q664" s="2692">
        <f>Q665</f>
        <v>0</v>
      </c>
      <c r="R664" s="2693">
        <f>R665</f>
        <v>0</v>
      </c>
      <c r="S664" s="2515"/>
      <c r="T664" s="2515"/>
      <c r="U664" s="2515"/>
      <c r="V664" s="2690">
        <f>V665</f>
        <v>0</v>
      </c>
      <c r="W664" s="2690">
        <f>W665</f>
        <v>0</v>
      </c>
      <c r="Y664" s="1"/>
      <c r="Z664" s="237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</row>
    <row r="665" spans="1:256" s="2" customFormat="1" ht="17.5" hidden="1" customHeight="1" x14ac:dyDescent="0.3">
      <c r="A665" s="32"/>
      <c r="B665" s="744" t="s">
        <v>16</v>
      </c>
      <c r="C665" s="70"/>
      <c r="D665" s="9"/>
      <c r="E665" s="9"/>
      <c r="F665" s="9" t="s">
        <v>624</v>
      </c>
      <c r="G665" s="9" t="s">
        <v>1</v>
      </c>
      <c r="H665" s="33"/>
      <c r="I665" s="9"/>
      <c r="J665" s="1133"/>
      <c r="K665" s="1128"/>
      <c r="L665" s="1129"/>
      <c r="M665" s="1128"/>
      <c r="N665" s="2647">
        <f>N666</f>
        <v>0</v>
      </c>
      <c r="O665" s="2691"/>
      <c r="P665" s="2691"/>
      <c r="Q665" s="2694">
        <f>Q666</f>
        <v>0</v>
      </c>
      <c r="R665" s="2555">
        <f>R666</f>
        <v>0</v>
      </c>
      <c r="S665" s="2515"/>
      <c r="T665" s="2515"/>
      <c r="U665" s="2515"/>
      <c r="V665" s="2647">
        <f>V666</f>
        <v>0</v>
      </c>
      <c r="W665" s="2647">
        <f>W666</f>
        <v>0</v>
      </c>
      <c r="Y665" s="1"/>
      <c r="Z665" s="237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</row>
    <row r="666" spans="1:256" s="2" customFormat="1" ht="39.65" hidden="1" customHeight="1" x14ac:dyDescent="0.25">
      <c r="A666" s="32"/>
      <c r="B666" s="49" t="s">
        <v>64</v>
      </c>
      <c r="C666" s="70"/>
      <c r="D666" s="9"/>
      <c r="E666" s="9"/>
      <c r="F666" s="9" t="s">
        <v>624</v>
      </c>
      <c r="G666" s="9" t="s">
        <v>1</v>
      </c>
      <c r="H666" s="33" t="s">
        <v>464</v>
      </c>
      <c r="I666" s="9" t="s">
        <v>463</v>
      </c>
      <c r="J666" s="1133"/>
      <c r="K666" s="1128"/>
      <c r="L666" s="1129"/>
      <c r="M666" s="1128"/>
      <c r="N666" s="2647">
        <v>0</v>
      </c>
      <c r="O666" s="2691"/>
      <c r="P666" s="2691"/>
      <c r="Q666" s="2694">
        <v>0</v>
      </c>
      <c r="R666" s="2555">
        <v>0</v>
      </c>
      <c r="S666" s="2515"/>
      <c r="T666" s="2515"/>
      <c r="U666" s="2515"/>
      <c r="V666" s="2647">
        <v>0</v>
      </c>
      <c r="W666" s="2647">
        <v>0</v>
      </c>
      <c r="Y666" s="1"/>
      <c r="Z666" s="237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</row>
    <row r="667" spans="1:256" s="2" customFormat="1" ht="43.5" hidden="1" customHeight="1" x14ac:dyDescent="0.25">
      <c r="A667" s="32"/>
      <c r="B667" s="1108" t="s">
        <v>31</v>
      </c>
      <c r="C667" s="31"/>
      <c r="D667" s="9"/>
      <c r="E667" s="9"/>
      <c r="F667" s="34" t="s">
        <v>30</v>
      </c>
      <c r="G667" s="33"/>
      <c r="H667" s="33"/>
      <c r="I667" s="9"/>
      <c r="J667" s="520"/>
      <c r="K667" s="65"/>
      <c r="L667" s="64">
        <f t="shared" ref="L667:R667" si="297">L668</f>
        <v>0</v>
      </c>
      <c r="M667" s="1570">
        <f t="shared" si="297"/>
        <v>0</v>
      </c>
      <c r="N667" s="2695">
        <f t="shared" si="297"/>
        <v>0</v>
      </c>
      <c r="O667" s="2696">
        <f t="shared" si="297"/>
        <v>0</v>
      </c>
      <c r="P667" s="2696">
        <f t="shared" si="297"/>
        <v>0</v>
      </c>
      <c r="Q667" s="2697">
        <f t="shared" si="297"/>
        <v>0</v>
      </c>
      <c r="R667" s="2698">
        <f t="shared" si="297"/>
        <v>0</v>
      </c>
      <c r="S667" s="2515"/>
      <c r="T667" s="2515"/>
      <c r="U667" s="2515"/>
      <c r="V667" s="2695">
        <f t="shared" ref="V667:W667" si="298">V668</f>
        <v>0</v>
      </c>
      <c r="W667" s="2695">
        <f t="shared" si="298"/>
        <v>0</v>
      </c>
      <c r="Y667" s="1"/>
      <c r="Z667" s="237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</row>
    <row r="668" spans="1:256" s="2" customFormat="1" ht="60.75" hidden="1" customHeight="1" x14ac:dyDescent="0.25">
      <c r="A668" s="32"/>
      <c r="B668" s="1993" t="s">
        <v>4</v>
      </c>
      <c r="C668" s="9"/>
      <c r="D668" s="9" t="s">
        <v>15</v>
      </c>
      <c r="E668" s="9" t="s">
        <v>9</v>
      </c>
      <c r="F668" s="9" t="s">
        <v>30</v>
      </c>
      <c r="G668" s="9" t="s">
        <v>1</v>
      </c>
      <c r="H668" s="9"/>
      <c r="I668" s="9"/>
      <c r="J668" s="521"/>
      <c r="K668" s="61"/>
      <c r="L668" s="60"/>
      <c r="M668" s="1571"/>
      <c r="N668" s="2647">
        <f>N669</f>
        <v>0</v>
      </c>
      <c r="O668" s="2648">
        <f>O669</f>
        <v>0</v>
      </c>
      <c r="P668" s="2648">
        <f>P669</f>
        <v>0</v>
      </c>
      <c r="Q668" s="2649">
        <f>Q669</f>
        <v>0</v>
      </c>
      <c r="R668" s="2650">
        <f>R669</f>
        <v>0</v>
      </c>
      <c r="S668" s="2515"/>
      <c r="T668" s="2515"/>
      <c r="U668" s="2515"/>
      <c r="V668" s="2647">
        <f>V669</f>
        <v>0</v>
      </c>
      <c r="W668" s="2647">
        <f>W669</f>
        <v>0</v>
      </c>
      <c r="Y668" s="1"/>
      <c r="Z668" s="237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</row>
    <row r="669" spans="1:256" s="2" customFormat="1" ht="48" hidden="1" customHeight="1" x14ac:dyDescent="0.3">
      <c r="A669" s="32"/>
      <c r="B669" s="744" t="s">
        <v>11</v>
      </c>
      <c r="C669" s="9"/>
      <c r="D669" s="9"/>
      <c r="E669" s="9"/>
      <c r="F669" s="9" t="s">
        <v>30</v>
      </c>
      <c r="G669" s="9" t="s">
        <v>1</v>
      </c>
      <c r="H669" s="9" t="s">
        <v>463</v>
      </c>
      <c r="I669" s="9" t="s">
        <v>456</v>
      </c>
      <c r="J669" s="521"/>
      <c r="K669" s="61"/>
      <c r="L669" s="60"/>
      <c r="M669" s="1571"/>
      <c r="N669" s="2647">
        <v>0</v>
      </c>
      <c r="O669" s="2648"/>
      <c r="P669" s="2648"/>
      <c r="Q669" s="2649">
        <v>0</v>
      </c>
      <c r="R669" s="2650">
        <v>0</v>
      </c>
      <c r="S669" s="2515"/>
      <c r="T669" s="2515"/>
      <c r="U669" s="2515"/>
      <c r="V669" s="2647">
        <v>0</v>
      </c>
      <c r="W669" s="2647">
        <v>0</v>
      </c>
      <c r="Y669" s="1"/>
      <c r="Z669" s="237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</row>
    <row r="670" spans="1:256" s="2" customFormat="1" ht="16.899999999999999" hidden="1" customHeight="1" x14ac:dyDescent="0.25">
      <c r="A670" s="32"/>
      <c r="B670" s="58" t="s">
        <v>29</v>
      </c>
      <c r="C670" s="9"/>
      <c r="D670" s="9" t="s">
        <v>15</v>
      </c>
      <c r="E670" s="9" t="s">
        <v>9</v>
      </c>
      <c r="F670" s="34" t="s">
        <v>27</v>
      </c>
      <c r="G670" s="48"/>
      <c r="H670" s="48"/>
      <c r="I670" s="9"/>
      <c r="J670" s="521"/>
      <c r="K670" s="47"/>
      <c r="L670" s="57">
        <f>L672</f>
        <v>10000</v>
      </c>
      <c r="M670" s="1572">
        <f>M672</f>
        <v>10000</v>
      </c>
      <c r="N670" s="2647"/>
      <c r="O670" s="2648"/>
      <c r="P670" s="2648"/>
      <c r="Q670" s="2649"/>
      <c r="R670" s="2650"/>
      <c r="S670" s="2515"/>
      <c r="T670" s="2515"/>
      <c r="U670" s="2515"/>
      <c r="V670" s="2647"/>
      <c r="W670" s="2647"/>
      <c r="Y670" s="1"/>
      <c r="Z670" s="237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</row>
    <row r="671" spans="1:256" ht="26.5" hidden="1" customHeight="1" x14ac:dyDescent="0.25">
      <c r="A671" s="32"/>
      <c r="B671" s="2080" t="s">
        <v>28</v>
      </c>
      <c r="C671" s="9"/>
      <c r="D671" s="9"/>
      <c r="E671" s="9"/>
      <c r="F671" s="9" t="s">
        <v>27</v>
      </c>
      <c r="G671" s="9" t="s">
        <v>26</v>
      </c>
      <c r="H671" s="9"/>
      <c r="I671" s="9"/>
      <c r="J671" s="1126"/>
      <c r="K671" s="48"/>
      <c r="L671" s="54">
        <v>10000</v>
      </c>
      <c r="M671" s="1573">
        <v>10000</v>
      </c>
      <c r="N671" s="2541"/>
      <c r="O671" s="2542"/>
      <c r="P671" s="2543"/>
      <c r="Q671" s="2544"/>
      <c r="R671" s="2545"/>
      <c r="S671" s="2515"/>
      <c r="T671" s="2515"/>
      <c r="U671" s="2515"/>
      <c r="V671" s="2541"/>
      <c r="W671" s="2541"/>
    </row>
    <row r="672" spans="1:256" ht="16.899999999999999" hidden="1" customHeight="1" x14ac:dyDescent="0.3">
      <c r="A672" s="32"/>
      <c r="B672" s="744" t="s">
        <v>11</v>
      </c>
      <c r="C672" s="9"/>
      <c r="D672" s="9" t="s">
        <v>15</v>
      </c>
      <c r="E672" s="9" t="s">
        <v>9</v>
      </c>
      <c r="F672" s="9" t="s">
        <v>27</v>
      </c>
      <c r="G672" s="9" t="s">
        <v>26</v>
      </c>
      <c r="H672" s="9"/>
      <c r="I672" s="9" t="s">
        <v>9</v>
      </c>
      <c r="J672" s="1126"/>
      <c r="K672" s="48"/>
      <c r="L672" s="54">
        <v>10000</v>
      </c>
      <c r="M672" s="1573">
        <v>10000</v>
      </c>
      <c r="N672" s="2541"/>
      <c r="O672" s="2542"/>
      <c r="P672" s="2543"/>
      <c r="Q672" s="2544"/>
      <c r="R672" s="2545"/>
      <c r="S672" s="2515"/>
      <c r="T672" s="2515"/>
      <c r="U672" s="2515"/>
      <c r="V672" s="2541"/>
      <c r="W672" s="2541"/>
    </row>
    <row r="673" spans="1:24" ht="16.899999999999999" hidden="1" customHeight="1" x14ac:dyDescent="0.25">
      <c r="A673" s="32"/>
      <c r="B673" s="52" t="s">
        <v>25</v>
      </c>
      <c r="C673" s="9"/>
      <c r="D673" s="34" t="s">
        <v>15</v>
      </c>
      <c r="E673" s="34" t="s">
        <v>13</v>
      </c>
      <c r="F673" s="34" t="s">
        <v>24</v>
      </c>
      <c r="G673" s="48"/>
      <c r="H673" s="48"/>
      <c r="I673" s="34"/>
      <c r="J673" s="131">
        <f>J674</f>
        <v>0</v>
      </c>
      <c r="K673" s="51"/>
      <c r="L673" s="51">
        <f t="shared" ref="L673:R673" si="299">L674</f>
        <v>85</v>
      </c>
      <c r="M673" s="1553">
        <f t="shared" si="299"/>
        <v>85</v>
      </c>
      <c r="N673" s="2516">
        <f t="shared" si="299"/>
        <v>0</v>
      </c>
      <c r="O673" s="2517">
        <f t="shared" si="299"/>
        <v>0</v>
      </c>
      <c r="P673" s="2518">
        <f t="shared" si="299"/>
        <v>0</v>
      </c>
      <c r="Q673" s="2519">
        <f t="shared" si="299"/>
        <v>0</v>
      </c>
      <c r="R673" s="2520">
        <f t="shared" si="299"/>
        <v>0</v>
      </c>
      <c r="S673" s="2515"/>
      <c r="T673" s="2515"/>
      <c r="U673" s="2515"/>
      <c r="V673" s="2516">
        <f t="shared" ref="V673:W673" si="300">V674</f>
        <v>0</v>
      </c>
      <c r="W673" s="2516">
        <f t="shared" si="300"/>
        <v>0</v>
      </c>
    </row>
    <row r="674" spans="1:24" ht="26" hidden="1" x14ac:dyDescent="0.25">
      <c r="A674" s="32"/>
      <c r="B674" s="49" t="s">
        <v>23</v>
      </c>
      <c r="C674" s="9"/>
      <c r="D674" s="9" t="s">
        <v>15</v>
      </c>
      <c r="E674" s="9" t="s">
        <v>13</v>
      </c>
      <c r="F674" s="9" t="s">
        <v>14</v>
      </c>
      <c r="G674" s="48"/>
      <c r="H674" s="48"/>
      <c r="I674" s="9"/>
      <c r="J674" s="48">
        <f>J677</f>
        <v>0</v>
      </c>
      <c r="K674" s="47"/>
      <c r="L674" s="47">
        <f t="shared" ref="L674:R674" si="301">L677</f>
        <v>85</v>
      </c>
      <c r="M674" s="209">
        <f t="shared" si="301"/>
        <v>85</v>
      </c>
      <c r="N674" s="2541">
        <f t="shared" si="301"/>
        <v>0</v>
      </c>
      <c r="O674" s="2594">
        <f t="shared" si="301"/>
        <v>0</v>
      </c>
      <c r="P674" s="2595">
        <f t="shared" si="301"/>
        <v>0</v>
      </c>
      <c r="Q674" s="2596">
        <f t="shared" si="301"/>
        <v>0</v>
      </c>
      <c r="R674" s="2597">
        <f t="shared" si="301"/>
        <v>0</v>
      </c>
      <c r="S674" s="2515"/>
      <c r="T674" s="2515"/>
      <c r="U674" s="2515"/>
      <c r="V674" s="2541">
        <f t="shared" ref="V674:W674" si="302">V677</f>
        <v>0</v>
      </c>
      <c r="W674" s="2541">
        <f t="shared" si="302"/>
        <v>0</v>
      </c>
    </row>
    <row r="675" spans="1:24" ht="37.5" hidden="1" customHeight="1" x14ac:dyDescent="0.25">
      <c r="A675" s="32"/>
      <c r="B675" s="42" t="s">
        <v>22</v>
      </c>
      <c r="C675" s="31"/>
      <c r="D675" s="31" t="s">
        <v>15</v>
      </c>
      <c r="E675" s="31" t="s">
        <v>13</v>
      </c>
      <c r="F675" s="31" t="s">
        <v>21</v>
      </c>
      <c r="G675" s="3373" t="s">
        <v>20</v>
      </c>
      <c r="H675" s="3374"/>
      <c r="I675" s="3374"/>
      <c r="J675" s="3375"/>
      <c r="K675" s="45"/>
      <c r="L675" s="44"/>
      <c r="M675" s="44"/>
      <c r="N675" s="2662"/>
      <c r="O675" s="2515"/>
      <c r="P675" s="2515"/>
      <c r="Q675" s="2663"/>
      <c r="R675" s="2664"/>
      <c r="S675" s="2515"/>
      <c r="T675" s="2515"/>
      <c r="U675" s="2515"/>
      <c r="V675" s="2662"/>
      <c r="W675" s="2662"/>
    </row>
    <row r="676" spans="1:24" ht="16.899999999999999" hidden="1" customHeight="1" x14ac:dyDescent="0.25">
      <c r="A676" s="32"/>
      <c r="B676" s="42" t="s">
        <v>19</v>
      </c>
      <c r="C676" s="31"/>
      <c r="D676" s="31" t="s">
        <v>15</v>
      </c>
      <c r="E676" s="31" t="s">
        <v>13</v>
      </c>
      <c r="F676" s="31" t="s">
        <v>18</v>
      </c>
      <c r="G676" s="3373" t="s">
        <v>17</v>
      </c>
      <c r="H676" s="3374"/>
      <c r="I676" s="3374"/>
      <c r="J676" s="3375"/>
      <c r="K676" s="41"/>
      <c r="L676" s="2"/>
      <c r="M676" s="2"/>
      <c r="N676" s="2662"/>
      <c r="O676" s="2515"/>
      <c r="P676" s="2515"/>
      <c r="Q676" s="2663"/>
      <c r="R676" s="2664"/>
      <c r="S676" s="2515"/>
      <c r="T676" s="2515"/>
      <c r="U676" s="2515"/>
      <c r="V676" s="2662"/>
      <c r="W676" s="2662"/>
    </row>
    <row r="677" spans="1:24" ht="16.899999999999999" hidden="1" customHeight="1" x14ac:dyDescent="0.3">
      <c r="A677" s="32"/>
      <c r="B677" s="2108" t="s">
        <v>16</v>
      </c>
      <c r="C677" s="31"/>
      <c r="D677" s="9" t="s">
        <v>15</v>
      </c>
      <c r="E677" s="9" t="s">
        <v>13</v>
      </c>
      <c r="F677" s="9" t="s">
        <v>14</v>
      </c>
      <c r="G677" s="33" t="s">
        <v>1</v>
      </c>
      <c r="H677" s="33"/>
      <c r="I677" s="9" t="s">
        <v>13</v>
      </c>
      <c r="J677" s="515"/>
      <c r="K677" s="30"/>
      <c r="L677" s="29">
        <v>85</v>
      </c>
      <c r="M677" s="1569">
        <v>85</v>
      </c>
      <c r="N677" s="2510"/>
      <c r="O677" s="2665"/>
      <c r="P677" s="2665"/>
      <c r="Q677" s="2666"/>
      <c r="R677" s="2667"/>
      <c r="S677" s="2515"/>
      <c r="T677" s="2515"/>
      <c r="U677" s="2515"/>
      <c r="V677" s="2510"/>
      <c r="W677" s="2510"/>
    </row>
    <row r="678" spans="1:24" ht="16.899999999999999" hidden="1" customHeight="1" x14ac:dyDescent="0.3">
      <c r="A678" s="32"/>
      <c r="B678" s="538" t="s">
        <v>525</v>
      </c>
      <c r="C678" s="31"/>
      <c r="D678" s="9"/>
      <c r="E678" s="9"/>
      <c r="F678" s="37" t="s">
        <v>524</v>
      </c>
      <c r="G678" s="33"/>
      <c r="H678" s="33"/>
      <c r="I678" s="9"/>
      <c r="J678" s="515"/>
      <c r="K678" s="30"/>
      <c r="L678" s="29"/>
      <c r="M678" s="1569"/>
      <c r="N678" s="2629">
        <f>N679</f>
        <v>0</v>
      </c>
      <c r="O678" s="2665"/>
      <c r="P678" s="2665"/>
      <c r="Q678" s="2681">
        <f>Q679</f>
        <v>0</v>
      </c>
      <c r="R678" s="2682">
        <f>R679</f>
        <v>0</v>
      </c>
      <c r="S678" s="2515"/>
      <c r="T678" s="2515"/>
      <c r="U678" s="2515"/>
      <c r="V678" s="2629">
        <f>V679</f>
        <v>0</v>
      </c>
      <c r="W678" s="2629">
        <f>W679</f>
        <v>0</v>
      </c>
      <c r="X678" s="1"/>
    </row>
    <row r="679" spans="1:24" ht="27.75" hidden="1" customHeight="1" x14ac:dyDescent="0.3">
      <c r="A679" s="32"/>
      <c r="B679" s="58" t="s">
        <v>28</v>
      </c>
      <c r="C679" s="31"/>
      <c r="D679" s="9"/>
      <c r="E679" s="9"/>
      <c r="F679" s="10" t="s">
        <v>524</v>
      </c>
      <c r="G679" s="33" t="s">
        <v>26</v>
      </c>
      <c r="H679" s="33"/>
      <c r="I679" s="9"/>
      <c r="J679" s="515"/>
      <c r="K679" s="30"/>
      <c r="L679" s="29"/>
      <c r="M679" s="1569"/>
      <c r="N679" s="2510">
        <f>N680</f>
        <v>0</v>
      </c>
      <c r="O679" s="2665"/>
      <c r="P679" s="2665"/>
      <c r="Q679" s="2666">
        <f>Q680</f>
        <v>0</v>
      </c>
      <c r="R679" s="2667">
        <f>R680</f>
        <v>0</v>
      </c>
      <c r="S679" s="2515"/>
      <c r="T679" s="2515"/>
      <c r="U679" s="2515"/>
      <c r="V679" s="2510">
        <f>V680</f>
        <v>0</v>
      </c>
      <c r="W679" s="2510">
        <f>W680</f>
        <v>0</v>
      </c>
      <c r="X679" s="1"/>
    </row>
    <row r="680" spans="1:24" ht="36.75" hidden="1" customHeight="1" x14ac:dyDescent="0.3">
      <c r="A680" s="32"/>
      <c r="B680" s="744" t="s">
        <v>39</v>
      </c>
      <c r="C680" s="31"/>
      <c r="D680" s="9"/>
      <c r="E680" s="9"/>
      <c r="F680" s="10" t="s">
        <v>524</v>
      </c>
      <c r="G680" s="33" t="s">
        <v>26</v>
      </c>
      <c r="H680" s="33" t="s">
        <v>463</v>
      </c>
      <c r="I680" s="9" t="s">
        <v>488</v>
      </c>
      <c r="J680" s="515"/>
      <c r="K680" s="30"/>
      <c r="L680" s="29"/>
      <c r="M680" s="1569"/>
      <c r="N680" s="2510">
        <f>4900-4900</f>
        <v>0</v>
      </c>
      <c r="O680" s="2665"/>
      <c r="P680" s="2665"/>
      <c r="Q680" s="2666">
        <f>4900-4900</f>
        <v>0</v>
      </c>
      <c r="R680" s="2667">
        <f>4900-4900</f>
        <v>0</v>
      </c>
      <c r="S680" s="2515"/>
      <c r="T680" s="2515"/>
      <c r="U680" s="2515"/>
      <c r="V680" s="2510">
        <f>4900-4900</f>
        <v>0</v>
      </c>
      <c r="W680" s="2510">
        <f>4900-4900</f>
        <v>0</v>
      </c>
      <c r="X680" s="1"/>
    </row>
    <row r="681" spans="1:24" ht="16.899999999999999" hidden="1" customHeight="1" x14ac:dyDescent="0.3">
      <c r="A681" s="32"/>
      <c r="B681" s="38" t="s">
        <v>922</v>
      </c>
      <c r="C681" s="911"/>
      <c r="D681" s="11"/>
      <c r="E681" s="11"/>
      <c r="F681" s="37" t="s">
        <v>923</v>
      </c>
      <c r="G681" s="522"/>
      <c r="H681" s="522"/>
      <c r="I681" s="522"/>
      <c r="J681" s="1135">
        <f>J682+J684</f>
        <v>600.79999999999995</v>
      </c>
      <c r="K681" s="30"/>
      <c r="L681" s="29"/>
      <c r="M681" s="1569"/>
      <c r="N681" s="2699">
        <f>N682+N684</f>
        <v>0</v>
      </c>
      <c r="O681" s="2700">
        <f>O682+O684</f>
        <v>0</v>
      </c>
      <c r="P681" s="2701">
        <f>P682+P684</f>
        <v>0</v>
      </c>
      <c r="Q681" s="2702">
        <f>Q682+Q684</f>
        <v>0</v>
      </c>
      <c r="R681" s="2703">
        <f>R682+R684</f>
        <v>0</v>
      </c>
      <c r="S681" s="2515"/>
      <c r="T681" s="2515"/>
      <c r="U681" s="2515"/>
      <c r="V681" s="2699">
        <f>V682+V684</f>
        <v>0</v>
      </c>
      <c r="W681" s="2699">
        <f>W682+W684</f>
        <v>0</v>
      </c>
      <c r="X681" s="1"/>
    </row>
    <row r="682" spans="1:24" ht="27.65" hidden="1" customHeight="1" x14ac:dyDescent="0.3">
      <c r="A682" s="32"/>
      <c r="B682" s="2114" t="s">
        <v>916</v>
      </c>
      <c r="C682" s="911"/>
      <c r="D682" s="11"/>
      <c r="E682" s="11"/>
      <c r="F682" s="10" t="s">
        <v>923</v>
      </c>
      <c r="G682" s="9" t="s">
        <v>521</v>
      </c>
      <c r="H682" s="9"/>
      <c r="I682" s="522"/>
      <c r="J682" s="1126">
        <f>J683</f>
        <v>493.39</v>
      </c>
      <c r="K682" s="30"/>
      <c r="L682" s="29"/>
      <c r="M682" s="1569"/>
      <c r="N682" s="2541">
        <f>N683</f>
        <v>0</v>
      </c>
      <c r="O682" s="2542">
        <f>O683</f>
        <v>0</v>
      </c>
      <c r="P682" s="2543">
        <f>P683</f>
        <v>0</v>
      </c>
      <c r="Q682" s="2544">
        <f>Q683</f>
        <v>0</v>
      </c>
      <c r="R682" s="2545">
        <f>R683</f>
        <v>0</v>
      </c>
      <c r="S682" s="2515"/>
      <c r="T682" s="2515"/>
      <c r="U682" s="2515"/>
      <c r="V682" s="2541">
        <f>V683</f>
        <v>0</v>
      </c>
      <c r="W682" s="2541">
        <f>W683</f>
        <v>0</v>
      </c>
      <c r="X682" s="1"/>
    </row>
    <row r="683" spans="1:24" ht="16.899999999999999" hidden="1" customHeight="1" x14ac:dyDescent="0.3">
      <c r="A683" s="32"/>
      <c r="B683" s="744" t="s">
        <v>39</v>
      </c>
      <c r="C683" s="911"/>
      <c r="D683" s="11"/>
      <c r="E683" s="11"/>
      <c r="F683" s="10" t="s">
        <v>923</v>
      </c>
      <c r="G683" s="9" t="s">
        <v>521</v>
      </c>
      <c r="H683" s="9" t="s">
        <v>463</v>
      </c>
      <c r="I683" s="9" t="s">
        <v>488</v>
      </c>
      <c r="J683" s="1126">
        <f>378.948+114.442</f>
        <v>493.39</v>
      </c>
      <c r="K683" s="30"/>
      <c r="L683" s="29"/>
      <c r="M683" s="1569"/>
      <c r="N683" s="2541">
        <v>0</v>
      </c>
      <c r="O683" s="2542"/>
      <c r="P683" s="2543"/>
      <c r="Q683" s="2544">
        <v>0</v>
      </c>
      <c r="R683" s="2545">
        <v>0</v>
      </c>
      <c r="S683" s="2515"/>
      <c r="T683" s="2515"/>
      <c r="U683" s="2515"/>
      <c r="V683" s="2541">
        <v>0</v>
      </c>
      <c r="W683" s="2541">
        <v>0</v>
      </c>
      <c r="X683" s="1"/>
    </row>
    <row r="684" spans="1:24" ht="16.899999999999999" hidden="1" customHeight="1" x14ac:dyDescent="0.3">
      <c r="A684" s="32"/>
      <c r="B684" s="1993"/>
      <c r="C684" s="911"/>
      <c r="D684" s="11"/>
      <c r="E684" s="11"/>
      <c r="F684" s="10" t="s">
        <v>2</v>
      </c>
      <c r="G684" s="9" t="s">
        <v>1</v>
      </c>
      <c r="H684" s="9"/>
      <c r="I684" s="9"/>
      <c r="J684" s="1139">
        <f>J685</f>
        <v>107.41</v>
      </c>
      <c r="K684" s="30"/>
      <c r="L684" s="29"/>
      <c r="M684" s="1569"/>
      <c r="N684" s="2644">
        <f>N685</f>
        <v>0</v>
      </c>
      <c r="O684" s="2704">
        <f>O685</f>
        <v>0</v>
      </c>
      <c r="P684" s="2705">
        <f>P685</f>
        <v>0</v>
      </c>
      <c r="Q684" s="2706">
        <f>Q685</f>
        <v>0</v>
      </c>
      <c r="R684" s="2707">
        <f>R685</f>
        <v>0</v>
      </c>
      <c r="S684" s="2515"/>
      <c r="T684" s="2515"/>
      <c r="U684" s="2515"/>
      <c r="V684" s="2644">
        <f>V685</f>
        <v>0</v>
      </c>
      <c r="W684" s="2644">
        <f>W685</f>
        <v>0</v>
      </c>
      <c r="X684" s="1"/>
    </row>
    <row r="685" spans="1:24" ht="26.15" hidden="1" customHeight="1" x14ac:dyDescent="0.3">
      <c r="A685" s="32"/>
      <c r="B685" s="12"/>
      <c r="C685" s="911"/>
      <c r="D685" s="11"/>
      <c r="E685" s="11"/>
      <c r="F685" s="10" t="s">
        <v>2</v>
      </c>
      <c r="G685" s="9" t="s">
        <v>1</v>
      </c>
      <c r="H685" s="9" t="s">
        <v>488</v>
      </c>
      <c r="I685" s="9" t="s">
        <v>495</v>
      </c>
      <c r="J685" s="1126">
        <f>86.41+21</f>
        <v>107.41</v>
      </c>
      <c r="K685" s="30"/>
      <c r="L685" s="29"/>
      <c r="M685" s="1569"/>
      <c r="N685" s="2541"/>
      <c r="O685" s="2542"/>
      <c r="P685" s="2543"/>
      <c r="Q685" s="2544"/>
      <c r="R685" s="2545"/>
      <c r="S685" s="2515"/>
      <c r="T685" s="2515"/>
      <c r="U685" s="2515"/>
      <c r="V685" s="2541"/>
      <c r="W685" s="2541"/>
      <c r="X685" s="1"/>
    </row>
    <row r="686" spans="1:24" ht="38.15" hidden="1" customHeight="1" x14ac:dyDescent="0.3">
      <c r="A686" s="32"/>
      <c r="B686" s="1143" t="s">
        <v>924</v>
      </c>
      <c r="C686" s="22"/>
      <c r="D686" s="20"/>
      <c r="E686" s="20"/>
      <c r="F686" s="1144" t="s">
        <v>925</v>
      </c>
      <c r="G686" s="142"/>
      <c r="H686" s="142"/>
      <c r="I686" s="142"/>
      <c r="J686" s="1145"/>
      <c r="K686" s="741"/>
      <c r="L686" s="742"/>
      <c r="M686" s="1570"/>
      <c r="N686" s="2690">
        <f>N687</f>
        <v>0</v>
      </c>
      <c r="O686" s="2542"/>
      <c r="P686" s="2542"/>
      <c r="Q686" s="2708">
        <f>Q687</f>
        <v>0</v>
      </c>
      <c r="R686" s="2693">
        <f>R687</f>
        <v>0</v>
      </c>
      <c r="S686" s="2515"/>
      <c r="T686" s="2515"/>
      <c r="U686" s="2515"/>
      <c r="V686" s="2690">
        <f>V687</f>
        <v>0</v>
      </c>
      <c r="W686" s="2690">
        <f>W687</f>
        <v>0</v>
      </c>
      <c r="X686" s="1"/>
    </row>
    <row r="687" spans="1:24" ht="16.899999999999999" hidden="1" customHeight="1" x14ac:dyDescent="0.3">
      <c r="A687" s="32"/>
      <c r="B687" s="2114" t="s">
        <v>916</v>
      </c>
      <c r="C687" s="22"/>
      <c r="D687" s="20"/>
      <c r="E687" s="20"/>
      <c r="F687" s="1144" t="s">
        <v>925</v>
      </c>
      <c r="G687" s="142" t="s">
        <v>521</v>
      </c>
      <c r="H687" s="142"/>
      <c r="I687" s="142"/>
      <c r="J687" s="1145"/>
      <c r="K687" s="741"/>
      <c r="L687" s="742"/>
      <c r="M687" s="1570"/>
      <c r="N687" s="2647">
        <f>N688</f>
        <v>0</v>
      </c>
      <c r="O687" s="2542"/>
      <c r="P687" s="2542"/>
      <c r="Q687" s="2554">
        <f>Q688</f>
        <v>0</v>
      </c>
      <c r="R687" s="2555">
        <f>R688</f>
        <v>0</v>
      </c>
      <c r="S687" s="2515"/>
      <c r="T687" s="2515"/>
      <c r="U687" s="2515"/>
      <c r="V687" s="2647">
        <f>V688</f>
        <v>0</v>
      </c>
      <c r="W687" s="2647">
        <f>W688</f>
        <v>0</v>
      </c>
      <c r="X687" s="1"/>
    </row>
    <row r="688" spans="1:24" ht="16.899999999999999" hidden="1" customHeight="1" x14ac:dyDescent="0.3">
      <c r="A688" s="32"/>
      <c r="B688" s="744" t="s">
        <v>39</v>
      </c>
      <c r="C688" s="911"/>
      <c r="D688" s="11"/>
      <c r="E688" s="11"/>
      <c r="F688" s="10" t="s">
        <v>925</v>
      </c>
      <c r="G688" s="9" t="s">
        <v>521</v>
      </c>
      <c r="H688" s="9" t="s">
        <v>463</v>
      </c>
      <c r="I688" s="9" t="s">
        <v>488</v>
      </c>
      <c r="J688" s="1126">
        <f>378.948+114.442</f>
        <v>493.39</v>
      </c>
      <c r="K688" s="30"/>
      <c r="L688" s="29"/>
      <c r="M688" s="1569"/>
      <c r="N688" s="2541">
        <v>0</v>
      </c>
      <c r="O688" s="2542"/>
      <c r="P688" s="2542"/>
      <c r="Q688" s="2544">
        <v>0</v>
      </c>
      <c r="R688" s="2545">
        <v>0</v>
      </c>
      <c r="S688" s="2515"/>
      <c r="T688" s="2515"/>
      <c r="U688" s="2515"/>
      <c r="V688" s="2541">
        <v>0</v>
      </c>
      <c r="W688" s="2541">
        <v>0</v>
      </c>
      <c r="X688" s="1"/>
    </row>
    <row r="689" spans="1:24" ht="24.65" customHeight="1" x14ac:dyDescent="0.3">
      <c r="A689" s="32"/>
      <c r="B689" s="724" t="s">
        <v>532</v>
      </c>
      <c r="C689" s="22"/>
      <c r="D689" s="20"/>
      <c r="E689" s="20"/>
      <c r="F689" s="79" t="s">
        <v>531</v>
      </c>
      <c r="G689" s="142"/>
      <c r="H689" s="142"/>
      <c r="I689" s="142"/>
      <c r="J689" s="1145"/>
      <c r="K689" s="741"/>
      <c r="L689" s="742"/>
      <c r="M689" s="1570"/>
      <c r="N689" s="2690">
        <f>N690</f>
        <v>46.317999999999998</v>
      </c>
      <c r="O689" s="2542"/>
      <c r="P689" s="2542"/>
      <c r="Q689" s="2554"/>
      <c r="R689" s="2555"/>
      <c r="S689" s="2515"/>
      <c r="T689" s="2515"/>
      <c r="U689" s="2515"/>
      <c r="V689" s="2690">
        <f>V690</f>
        <v>0</v>
      </c>
      <c r="W689" s="2690">
        <f>W690</f>
        <v>0</v>
      </c>
      <c r="X689" s="1"/>
    </row>
    <row r="690" spans="1:24" ht="16.899999999999999" customHeight="1" x14ac:dyDescent="0.3">
      <c r="A690" s="32"/>
      <c r="B690" s="724" t="s">
        <v>16</v>
      </c>
      <c r="C690" s="22"/>
      <c r="D690" s="20"/>
      <c r="E690" s="20"/>
      <c r="F690" s="77" t="s">
        <v>531</v>
      </c>
      <c r="G690" s="142" t="s">
        <v>1</v>
      </c>
      <c r="H690" s="142"/>
      <c r="I690" s="142"/>
      <c r="J690" s="1145"/>
      <c r="K690" s="741"/>
      <c r="L690" s="742"/>
      <c r="M690" s="1570"/>
      <c r="N690" s="2647">
        <f>N691</f>
        <v>46.317999999999998</v>
      </c>
      <c r="O690" s="2542"/>
      <c r="P690" s="2542"/>
      <c r="Q690" s="2554"/>
      <c r="R690" s="2555"/>
      <c r="S690" s="2515"/>
      <c r="T690" s="2515"/>
      <c r="U690" s="2515"/>
      <c r="V690" s="2647">
        <f>V691</f>
        <v>0</v>
      </c>
      <c r="W690" s="2647">
        <f>W691</f>
        <v>0</v>
      </c>
      <c r="X690" s="1"/>
    </row>
    <row r="691" spans="1:24" ht="16.899999999999999" customHeight="1" x14ac:dyDescent="0.3">
      <c r="A691" s="32"/>
      <c r="B691" s="744" t="s">
        <v>11</v>
      </c>
      <c r="C691" s="22"/>
      <c r="D691" s="20"/>
      <c r="E691" s="20"/>
      <c r="F691" s="77" t="s">
        <v>531</v>
      </c>
      <c r="G691" s="142" t="s">
        <v>1</v>
      </c>
      <c r="H691" s="142" t="s">
        <v>463</v>
      </c>
      <c r="I691" s="142" t="s">
        <v>456</v>
      </c>
      <c r="J691" s="1145"/>
      <c r="K691" s="741"/>
      <c r="L691" s="742"/>
      <c r="M691" s="1570"/>
      <c r="N691" s="2647">
        <v>46.317999999999998</v>
      </c>
      <c r="O691" s="2542"/>
      <c r="P691" s="2542"/>
      <c r="Q691" s="2554"/>
      <c r="R691" s="2555"/>
      <c r="S691" s="2515"/>
      <c r="T691" s="2515"/>
      <c r="U691" s="2515"/>
      <c r="V691" s="2647">
        <v>0</v>
      </c>
      <c r="W691" s="2647">
        <v>0</v>
      </c>
      <c r="X691" s="1"/>
    </row>
    <row r="692" spans="1:24" ht="25" customHeight="1" x14ac:dyDescent="0.3">
      <c r="A692" s="32"/>
      <c r="B692" s="23" t="s">
        <v>8</v>
      </c>
      <c r="C692" s="22"/>
      <c r="D692" s="20"/>
      <c r="E692" s="20"/>
      <c r="F692" s="21" t="s">
        <v>2</v>
      </c>
      <c r="G692" s="20"/>
      <c r="H692" s="20"/>
      <c r="I692" s="20"/>
      <c r="J692" s="1146">
        <f>J694+J697</f>
        <v>600.79999999999995</v>
      </c>
      <c r="K692" s="1147"/>
      <c r="L692" s="1148">
        <f>L694+L697</f>
        <v>605.88300000000004</v>
      </c>
      <c r="M692" s="1574">
        <f>M694+M697</f>
        <v>605.88300000000004</v>
      </c>
      <c r="N692" s="2709">
        <f>N695+N698</f>
        <v>892</v>
      </c>
      <c r="O692" s="2687"/>
      <c r="P692" s="2687"/>
      <c r="Q692" s="2711">
        <f>Q694+Q697</f>
        <v>844.2</v>
      </c>
      <c r="R692" s="2712">
        <f>R695+R698</f>
        <v>874.4</v>
      </c>
      <c r="S692" s="2599">
        <v>106.9</v>
      </c>
      <c r="T692" s="2599">
        <v>88.4</v>
      </c>
      <c r="U692" s="2599">
        <v>874.4</v>
      </c>
      <c r="V692" s="2709">
        <f>V695+V698</f>
        <v>892</v>
      </c>
      <c r="W692" s="2709">
        <f>W695+W698</f>
        <v>892</v>
      </c>
      <c r="X692" s="1"/>
    </row>
    <row r="693" spans="1:24" ht="24" customHeight="1" x14ac:dyDescent="0.3">
      <c r="A693" s="32"/>
      <c r="B693" s="49" t="s">
        <v>1063</v>
      </c>
      <c r="C693" s="22"/>
      <c r="D693" s="20"/>
      <c r="E693" s="20"/>
      <c r="F693" s="10" t="s">
        <v>2</v>
      </c>
      <c r="G693" s="2422">
        <v>100</v>
      </c>
      <c r="H693" s="20"/>
      <c r="I693" s="20"/>
      <c r="J693" s="1146"/>
      <c r="K693" s="1147"/>
      <c r="L693" s="1148"/>
      <c r="M693" s="1574"/>
      <c r="N693" s="2709">
        <f>N694</f>
        <v>864.7</v>
      </c>
      <c r="O693" s="2687"/>
      <c r="P693" s="2687"/>
      <c r="Q693" s="2711"/>
      <c r="R693" s="2712"/>
      <c r="S693" s="2599"/>
      <c r="T693" s="2599"/>
      <c r="U693" s="2599"/>
      <c r="V693" s="2709">
        <f>V694</f>
        <v>864.7</v>
      </c>
      <c r="W693" s="2709">
        <f>W694</f>
        <v>864.7</v>
      </c>
      <c r="X693" s="1"/>
    </row>
    <row r="694" spans="1:24" ht="16.899999999999999" customHeight="1" x14ac:dyDescent="0.3">
      <c r="A694" s="32"/>
      <c r="B694" s="744" t="s">
        <v>7</v>
      </c>
      <c r="C694" s="911"/>
      <c r="D694" s="11"/>
      <c r="E694" s="11"/>
      <c r="F694" s="10" t="s">
        <v>2</v>
      </c>
      <c r="G694" s="9" t="s">
        <v>5</v>
      </c>
      <c r="H694" s="9"/>
      <c r="I694" s="11"/>
      <c r="J694" s="1063">
        <f>J695</f>
        <v>493.39</v>
      </c>
      <c r="K694" s="1150"/>
      <c r="L694" s="1063">
        <v>555.32000000000005</v>
      </c>
      <c r="M694" s="1125">
        <v>555.32000000000005</v>
      </c>
      <c r="N694" s="2541">
        <f>N695</f>
        <v>864.7</v>
      </c>
      <c r="O694" s="2687"/>
      <c r="P694" s="2687"/>
      <c r="Q694" s="2713">
        <f>Q695</f>
        <v>816.62400000000002</v>
      </c>
      <c r="R694" s="2714">
        <f>R695</f>
        <v>846.82399999999996</v>
      </c>
      <c r="S694" s="2599"/>
      <c r="T694" s="2599"/>
      <c r="U694" s="2599"/>
      <c r="V694" s="2541">
        <f>V695</f>
        <v>864.7</v>
      </c>
      <c r="W694" s="2541">
        <f>W695</f>
        <v>864.7</v>
      </c>
      <c r="X694" s="1"/>
    </row>
    <row r="695" spans="1:24" ht="23.5" customHeight="1" x14ac:dyDescent="0.3">
      <c r="A695" s="32"/>
      <c r="B695" s="744" t="s">
        <v>6</v>
      </c>
      <c r="C695" s="911"/>
      <c r="D695" s="11"/>
      <c r="E695" s="11"/>
      <c r="F695" s="10" t="s">
        <v>2</v>
      </c>
      <c r="G695" s="9" t="s">
        <v>5</v>
      </c>
      <c r="H695" s="9" t="s">
        <v>488</v>
      </c>
      <c r="I695" s="9" t="s">
        <v>495</v>
      </c>
      <c r="J695" s="1063">
        <f>378.948+114.442</f>
        <v>493.39</v>
      </c>
      <c r="K695" s="1150"/>
      <c r="L695" s="1063">
        <v>555.32000000000005</v>
      </c>
      <c r="M695" s="1125">
        <v>555.32000000000005</v>
      </c>
      <c r="N695" s="2541">
        <f>800+64.7</f>
        <v>864.7</v>
      </c>
      <c r="O695" s="2687"/>
      <c r="P695" s="2687"/>
      <c r="Q695" s="2713">
        <v>816.62400000000002</v>
      </c>
      <c r="R695" s="2714">
        <v>846.82399999999996</v>
      </c>
      <c r="S695" s="2599">
        <v>807.13300000000004</v>
      </c>
      <c r="T695" s="2599">
        <v>816.63300000000004</v>
      </c>
      <c r="U695" s="2599">
        <v>846.83299999999997</v>
      </c>
      <c r="V695" s="2541">
        <f>830+34.7</f>
        <v>864.7</v>
      </c>
      <c r="W695" s="2541">
        <v>864.7</v>
      </c>
      <c r="X695" s="1"/>
    </row>
    <row r="696" spans="1:24" ht="23.5" customHeight="1" x14ac:dyDescent="0.25">
      <c r="A696" s="32"/>
      <c r="B696" s="724" t="s">
        <v>948</v>
      </c>
      <c r="C696" s="911"/>
      <c r="D696" s="11"/>
      <c r="E696" s="11"/>
      <c r="F696" s="10" t="s">
        <v>2</v>
      </c>
      <c r="G696" s="9" t="s">
        <v>955</v>
      </c>
      <c r="H696" s="9"/>
      <c r="I696" s="9"/>
      <c r="J696" s="1063"/>
      <c r="K696" s="1150"/>
      <c r="L696" s="1063"/>
      <c r="M696" s="1125"/>
      <c r="N696" s="2541">
        <f>N697</f>
        <v>27.3</v>
      </c>
      <c r="O696" s="2687"/>
      <c r="P696" s="2687"/>
      <c r="Q696" s="2713"/>
      <c r="R696" s="2714"/>
      <c r="S696" s="2599"/>
      <c r="T696" s="2599"/>
      <c r="U696" s="2599"/>
      <c r="V696" s="2541">
        <f t="shared" ref="V696:W696" si="303">V697</f>
        <v>27.3</v>
      </c>
      <c r="W696" s="2541">
        <f t="shared" si="303"/>
        <v>27.3</v>
      </c>
      <c r="X696" s="1"/>
    </row>
    <row r="697" spans="1:24" ht="16.899999999999999" customHeight="1" x14ac:dyDescent="0.3">
      <c r="A697" s="32"/>
      <c r="B697" s="1993" t="s">
        <v>4</v>
      </c>
      <c r="C697" s="911"/>
      <c r="D697" s="11"/>
      <c r="E697" s="11"/>
      <c r="F697" s="10" t="s">
        <v>2</v>
      </c>
      <c r="G697" s="9" t="s">
        <v>1</v>
      </c>
      <c r="H697" s="9"/>
      <c r="I697" s="9"/>
      <c r="J697" s="1142">
        <f>J698</f>
        <v>107.41</v>
      </c>
      <c r="K697" s="1150"/>
      <c r="L697" s="1150">
        <v>50.563000000000002</v>
      </c>
      <c r="M697" s="1575">
        <v>50.563000000000002</v>
      </c>
      <c r="N697" s="2644">
        <f>N698</f>
        <v>27.3</v>
      </c>
      <c r="O697" s="2687"/>
      <c r="P697" s="2687"/>
      <c r="Q697" s="2715">
        <f>Q698</f>
        <v>27.576000000000001</v>
      </c>
      <c r="R697" s="2716">
        <f>R698</f>
        <v>27.576000000000001</v>
      </c>
      <c r="S697" s="2599"/>
      <c r="T697" s="2599"/>
      <c r="U697" s="2599">
        <v>27.567</v>
      </c>
      <c r="V697" s="2644">
        <f>V698</f>
        <v>27.3</v>
      </c>
      <c r="W697" s="2644">
        <f>W698</f>
        <v>27.3</v>
      </c>
      <c r="X697" s="1"/>
    </row>
    <row r="698" spans="1:24" ht="22" customHeight="1" x14ac:dyDescent="0.25">
      <c r="A698" s="32"/>
      <c r="B698" s="754" t="s">
        <v>3</v>
      </c>
      <c r="C698" s="911"/>
      <c r="D698" s="11"/>
      <c r="E698" s="11"/>
      <c r="F698" s="10" t="s">
        <v>2</v>
      </c>
      <c r="G698" s="9" t="s">
        <v>1</v>
      </c>
      <c r="H698" s="9" t="s">
        <v>488</v>
      </c>
      <c r="I698" s="9" t="s">
        <v>495</v>
      </c>
      <c r="J698" s="1063">
        <f>86.41+21</f>
        <v>107.41</v>
      </c>
      <c r="K698" s="1150"/>
      <c r="L698" s="1150">
        <v>50.563000000000002</v>
      </c>
      <c r="M698" s="1575">
        <v>50.563000000000002</v>
      </c>
      <c r="N698" s="2541">
        <f>14.8+12.5</f>
        <v>27.3</v>
      </c>
      <c r="O698" s="2687"/>
      <c r="P698" s="2687"/>
      <c r="Q698" s="2714">
        <v>27.576000000000001</v>
      </c>
      <c r="R698" s="2714">
        <v>27.576000000000001</v>
      </c>
      <c r="S698" s="2599"/>
      <c r="T698" s="2599"/>
      <c r="U698" s="2599"/>
      <c r="V698" s="2541">
        <v>27.3</v>
      </c>
      <c r="W698" s="2541">
        <v>27.3</v>
      </c>
      <c r="X698" s="1"/>
    </row>
    <row r="699" spans="1:24" ht="16.899999999999999" hidden="1" customHeight="1" x14ac:dyDescent="0.25">
      <c r="A699" s="32"/>
      <c r="B699" s="1151" t="s">
        <v>1107</v>
      </c>
      <c r="C699" s="142"/>
      <c r="D699" s="143"/>
      <c r="E699" s="142"/>
      <c r="F699" s="946" t="s">
        <v>1106</v>
      </c>
      <c r="G699" s="143"/>
      <c r="H699" s="143"/>
      <c r="I699" s="142"/>
      <c r="J699" s="1103"/>
      <c r="K699" s="1103"/>
      <c r="L699" s="1103"/>
      <c r="M699" s="1124"/>
      <c r="N699" s="2690">
        <f>N700</f>
        <v>0</v>
      </c>
      <c r="O699" s="2687"/>
      <c r="P699" s="2687"/>
      <c r="Q699" s="2717"/>
      <c r="R699" s="2718"/>
      <c r="S699" s="2599"/>
      <c r="T699" s="2599"/>
      <c r="U699" s="2599"/>
      <c r="V699" s="2690">
        <f>V700</f>
        <v>0</v>
      </c>
      <c r="W699" s="2690">
        <f>W700</f>
        <v>0</v>
      </c>
      <c r="X699" s="1"/>
    </row>
    <row r="700" spans="1:24" ht="16.899999999999999" hidden="1" customHeight="1" x14ac:dyDescent="0.3">
      <c r="A700" s="32"/>
      <c r="B700" s="1993" t="s">
        <v>4</v>
      </c>
      <c r="C700" s="89"/>
      <c r="D700" s="9" t="s">
        <v>52</v>
      </c>
      <c r="E700" s="9" t="s">
        <v>58</v>
      </c>
      <c r="F700" s="9" t="s">
        <v>1106</v>
      </c>
      <c r="G700" s="88">
        <v>240</v>
      </c>
      <c r="H700" s="88"/>
      <c r="I700" s="1063"/>
      <c r="J700" s="1061"/>
      <c r="K700" s="1063"/>
      <c r="L700" s="1063"/>
      <c r="M700" s="84"/>
      <c r="N700" s="2541">
        <f>N701</f>
        <v>0</v>
      </c>
      <c r="O700" s="2687"/>
      <c r="P700" s="2687"/>
      <c r="Q700" s="2713"/>
      <c r="R700" s="2714"/>
      <c r="S700" s="2599"/>
      <c r="T700" s="2599"/>
      <c r="U700" s="2599"/>
      <c r="V700" s="2541">
        <f>V701</f>
        <v>0</v>
      </c>
      <c r="W700" s="2541">
        <f>W701</f>
        <v>0</v>
      </c>
      <c r="X700" s="1"/>
    </row>
    <row r="701" spans="1:24" ht="13" hidden="1" x14ac:dyDescent="0.3">
      <c r="A701" s="32"/>
      <c r="B701" s="90" t="s">
        <v>34</v>
      </c>
      <c r="C701" s="89"/>
      <c r="D701" s="9"/>
      <c r="E701" s="9"/>
      <c r="F701" s="9" t="s">
        <v>1106</v>
      </c>
      <c r="G701" s="88">
        <v>240</v>
      </c>
      <c r="H701" s="9" t="s">
        <v>463</v>
      </c>
      <c r="I701" s="9" t="s">
        <v>495</v>
      </c>
      <c r="J701" s="1061"/>
      <c r="K701" s="1063"/>
      <c r="L701" s="1063"/>
      <c r="M701" s="84"/>
      <c r="N701" s="2541"/>
      <c r="O701" s="2687"/>
      <c r="P701" s="2687"/>
      <c r="Q701" s="2713"/>
      <c r="R701" s="2714"/>
      <c r="S701" s="2599"/>
      <c r="T701" s="2599"/>
      <c r="U701" s="2599"/>
      <c r="V701" s="2541">
        <v>0</v>
      </c>
      <c r="W701" s="2541">
        <v>0</v>
      </c>
      <c r="X701" s="1"/>
    </row>
    <row r="702" spans="1:24" ht="39" hidden="1" x14ac:dyDescent="0.3">
      <c r="A702" s="844"/>
      <c r="B702" s="1954" t="s">
        <v>1004</v>
      </c>
      <c r="C702" s="735"/>
      <c r="D702" s="77"/>
      <c r="E702" s="77"/>
      <c r="F702" s="34" t="s">
        <v>1005</v>
      </c>
      <c r="G702" s="9"/>
      <c r="H702" s="9"/>
      <c r="I702" s="656"/>
      <c r="J702" s="30"/>
      <c r="K702" s="29"/>
      <c r="L702" s="527"/>
      <c r="M702" s="1576">
        <f>M703</f>
        <v>139.6</v>
      </c>
      <c r="N702" s="2516">
        <f>N703</f>
        <v>0</v>
      </c>
      <c r="O702" s="2687"/>
      <c r="P702" s="2687"/>
      <c r="Q702" s="2719">
        <f>Q703</f>
        <v>0</v>
      </c>
      <c r="R702" s="2720">
        <f>R703</f>
        <v>0</v>
      </c>
      <c r="S702" s="2599"/>
      <c r="T702" s="2599"/>
      <c r="U702" s="2599"/>
      <c r="V702" s="2516">
        <f>V703</f>
        <v>0</v>
      </c>
      <c r="W702" s="2516">
        <f>W703</f>
        <v>0</v>
      </c>
      <c r="X702" s="1"/>
    </row>
    <row r="703" spans="1:24" ht="16.899999999999999" hidden="1" customHeight="1" x14ac:dyDescent="0.3">
      <c r="A703" s="845"/>
      <c r="B703" s="744" t="s">
        <v>7</v>
      </c>
      <c r="C703" s="738"/>
      <c r="D703" s="2422"/>
      <c r="E703" s="2422"/>
      <c r="F703" s="142" t="s">
        <v>1005</v>
      </c>
      <c r="G703" s="142" t="s">
        <v>5</v>
      </c>
      <c r="H703" s="142"/>
      <c r="I703" s="740"/>
      <c r="J703" s="741"/>
      <c r="K703" s="742"/>
      <c r="L703" s="64"/>
      <c r="M703" s="1577">
        <f>M704</f>
        <v>139.6</v>
      </c>
      <c r="N703" s="2541">
        <f>N704</f>
        <v>0</v>
      </c>
      <c r="O703" s="2687"/>
      <c r="P703" s="2687"/>
      <c r="Q703" s="2721">
        <f>Q704</f>
        <v>0</v>
      </c>
      <c r="R703" s="2714">
        <f>R704</f>
        <v>0</v>
      </c>
      <c r="S703" s="2599"/>
      <c r="T703" s="2599"/>
      <c r="U703" s="2599"/>
      <c r="V703" s="2541">
        <f>V704</f>
        <v>0</v>
      </c>
      <c r="W703" s="2541">
        <f>W704</f>
        <v>0</v>
      </c>
      <c r="X703" s="1"/>
    </row>
    <row r="704" spans="1:24" ht="12.75" hidden="1" customHeight="1" x14ac:dyDescent="0.3">
      <c r="A704" s="844"/>
      <c r="B704" s="744" t="s">
        <v>93</v>
      </c>
      <c r="C704" s="735"/>
      <c r="D704" s="77"/>
      <c r="E704" s="77"/>
      <c r="F704" s="9" t="s">
        <v>1005</v>
      </c>
      <c r="G704" s="9" t="s">
        <v>5</v>
      </c>
      <c r="H704" s="9" t="s">
        <v>456</v>
      </c>
      <c r="I704" s="9" t="s">
        <v>573</v>
      </c>
      <c r="J704" s="30"/>
      <c r="K704" s="29"/>
      <c r="L704" s="28"/>
      <c r="M704" s="1558">
        <v>139.6</v>
      </c>
      <c r="N704" s="2541"/>
      <c r="O704" s="2687"/>
      <c r="P704" s="2687"/>
      <c r="Q704" s="2721"/>
      <c r="R704" s="2714"/>
      <c r="S704" s="2599"/>
      <c r="T704" s="2599"/>
      <c r="U704" s="2599"/>
      <c r="V704" s="2541"/>
      <c r="W704" s="2541"/>
      <c r="X704" s="1"/>
    </row>
    <row r="705" spans="1:24" ht="13" hidden="1" x14ac:dyDescent="0.3">
      <c r="A705" s="844"/>
      <c r="B705" s="1894" t="s">
        <v>830</v>
      </c>
      <c r="C705" s="735"/>
      <c r="D705" s="77"/>
      <c r="E705" s="77"/>
      <c r="F705" s="34" t="s">
        <v>958</v>
      </c>
      <c r="G705" s="9"/>
      <c r="H705" s="9"/>
      <c r="I705" s="9"/>
      <c r="J705" s="1434"/>
      <c r="K705" s="29"/>
      <c r="L705" s="28"/>
      <c r="M705" s="1558"/>
      <c r="N705" s="2541">
        <f>N706</f>
        <v>0</v>
      </c>
      <c r="O705" s="2687"/>
      <c r="P705" s="2687"/>
      <c r="Q705" s="2721">
        <f>Q706</f>
        <v>0</v>
      </c>
      <c r="R705" s="2714">
        <f>R706</f>
        <v>0</v>
      </c>
      <c r="S705" s="2599"/>
      <c r="T705" s="2599"/>
      <c r="U705" s="2599"/>
      <c r="V705" s="2541">
        <f>V706</f>
        <v>0</v>
      </c>
      <c r="W705" s="2541">
        <f>W706</f>
        <v>0</v>
      </c>
      <c r="X705" s="1"/>
    </row>
    <row r="706" spans="1:24" ht="13" hidden="1" x14ac:dyDescent="0.3">
      <c r="A706" s="844"/>
      <c r="B706" s="737" t="s">
        <v>256</v>
      </c>
      <c r="C706" s="735"/>
      <c r="D706" s="77"/>
      <c r="E706" s="77"/>
      <c r="F706" s="9" t="s">
        <v>958</v>
      </c>
      <c r="G706" s="9" t="s">
        <v>255</v>
      </c>
      <c r="H706" s="9"/>
      <c r="I706" s="9"/>
      <c r="J706" s="1434"/>
      <c r="K706" s="29"/>
      <c r="L706" s="28"/>
      <c r="M706" s="1558"/>
      <c r="N706" s="2541">
        <f>N707</f>
        <v>0</v>
      </c>
      <c r="O706" s="2687"/>
      <c r="P706" s="2687"/>
      <c r="Q706" s="2721">
        <f>Q707</f>
        <v>0</v>
      </c>
      <c r="R706" s="2714">
        <f>R707</f>
        <v>0</v>
      </c>
      <c r="S706" s="2599"/>
      <c r="T706" s="2599"/>
      <c r="U706" s="2599"/>
      <c r="V706" s="2541">
        <f>V707</f>
        <v>0</v>
      </c>
      <c r="W706" s="2541">
        <f>W707</f>
        <v>0</v>
      </c>
      <c r="X706" s="1"/>
    </row>
    <row r="707" spans="1:24" ht="13" hidden="1" x14ac:dyDescent="0.3">
      <c r="A707" s="844"/>
      <c r="B707" s="744" t="s">
        <v>87</v>
      </c>
      <c r="C707" s="735"/>
      <c r="D707" s="77"/>
      <c r="E707" s="77"/>
      <c r="F707" s="9" t="s">
        <v>958</v>
      </c>
      <c r="G707" s="9" t="s">
        <v>255</v>
      </c>
      <c r="H707" s="9" t="s">
        <v>453</v>
      </c>
      <c r="I707" s="9" t="s">
        <v>456</v>
      </c>
      <c r="J707" s="1434"/>
      <c r="K707" s="29"/>
      <c r="L707" s="28"/>
      <c r="M707" s="1558"/>
      <c r="N707" s="2541"/>
      <c r="O707" s="2687"/>
      <c r="P707" s="2687"/>
      <c r="Q707" s="2721"/>
      <c r="R707" s="2714"/>
      <c r="S707" s="2599"/>
      <c r="T707" s="2599"/>
      <c r="U707" s="2599"/>
      <c r="V707" s="2541"/>
      <c r="W707" s="2541"/>
      <c r="X707" s="1"/>
    </row>
    <row r="708" spans="1:24" ht="24.65" customHeight="1" x14ac:dyDescent="0.3">
      <c r="A708" s="844"/>
      <c r="B708" s="2012" t="s">
        <v>1011</v>
      </c>
      <c r="C708" s="735"/>
      <c r="D708" s="77"/>
      <c r="E708" s="77"/>
      <c r="F708" s="37" t="s">
        <v>1176</v>
      </c>
      <c r="G708" s="9"/>
      <c r="H708" s="9"/>
      <c r="I708" s="9"/>
      <c r="J708" s="1434"/>
      <c r="K708" s="29"/>
      <c r="L708" s="28"/>
      <c r="M708" s="1558"/>
      <c r="N708" s="2541">
        <f>N709</f>
        <v>330</v>
      </c>
      <c r="O708" s="2687"/>
      <c r="P708" s="2687"/>
      <c r="Q708" s="2721"/>
      <c r="R708" s="2714"/>
      <c r="S708" s="2599"/>
      <c r="T708" s="2599"/>
      <c r="U708" s="2599"/>
      <c r="V708" s="2541">
        <f t="shared" ref="V708:W710" si="304">V709</f>
        <v>0</v>
      </c>
      <c r="W708" s="2541">
        <f t="shared" si="304"/>
        <v>0</v>
      </c>
      <c r="X708" s="1"/>
    </row>
    <row r="709" spans="1:24" ht="26" x14ac:dyDescent="0.3">
      <c r="A709" s="844"/>
      <c r="B709" s="724" t="s">
        <v>948</v>
      </c>
      <c r="C709" s="735"/>
      <c r="D709" s="77"/>
      <c r="E709" s="77"/>
      <c r="F709" s="10" t="s">
        <v>1176</v>
      </c>
      <c r="G709" s="9" t="s">
        <v>955</v>
      </c>
      <c r="H709" s="9"/>
      <c r="I709" s="9"/>
      <c r="J709" s="1434"/>
      <c r="K709" s="29"/>
      <c r="L709" s="28"/>
      <c r="M709" s="1558"/>
      <c r="N709" s="2541">
        <f>N710</f>
        <v>330</v>
      </c>
      <c r="O709" s="2687"/>
      <c r="P709" s="2687"/>
      <c r="Q709" s="2721"/>
      <c r="R709" s="2714"/>
      <c r="S709" s="2599"/>
      <c r="T709" s="2599"/>
      <c r="U709" s="2599"/>
      <c r="V709" s="2541">
        <f t="shared" si="304"/>
        <v>0</v>
      </c>
      <c r="W709" s="2541">
        <f t="shared" si="304"/>
        <v>0</v>
      </c>
      <c r="X709" s="1"/>
    </row>
    <row r="710" spans="1:24" ht="26" x14ac:dyDescent="0.3">
      <c r="A710" s="844"/>
      <c r="B710" s="1993" t="s">
        <v>4</v>
      </c>
      <c r="C710" s="735"/>
      <c r="D710" s="77"/>
      <c r="E710" s="77"/>
      <c r="F710" s="10" t="s">
        <v>1176</v>
      </c>
      <c r="G710" s="9" t="s">
        <v>1</v>
      </c>
      <c r="H710" s="9"/>
      <c r="I710" s="9"/>
      <c r="J710" s="1434"/>
      <c r="K710" s="29"/>
      <c r="L710" s="28"/>
      <c r="M710" s="1558"/>
      <c r="N710" s="2541">
        <f>N711</f>
        <v>330</v>
      </c>
      <c r="O710" s="2687"/>
      <c r="P710" s="2687"/>
      <c r="Q710" s="2721"/>
      <c r="R710" s="2714"/>
      <c r="S710" s="2599"/>
      <c r="T710" s="2599"/>
      <c r="U710" s="2599"/>
      <c r="V710" s="2541">
        <f t="shared" si="304"/>
        <v>0</v>
      </c>
      <c r="W710" s="2541">
        <f t="shared" si="304"/>
        <v>0</v>
      </c>
      <c r="X710" s="1"/>
    </row>
    <row r="711" spans="1:24" ht="13" x14ac:dyDescent="0.3">
      <c r="A711" s="844"/>
      <c r="B711" s="744" t="s">
        <v>530</v>
      </c>
      <c r="C711" s="735"/>
      <c r="D711" s="77"/>
      <c r="E711" s="77"/>
      <c r="F711" s="10" t="s">
        <v>1176</v>
      </c>
      <c r="G711" s="9" t="s">
        <v>1</v>
      </c>
      <c r="H711" s="9" t="s">
        <v>463</v>
      </c>
      <c r="I711" s="9" t="s">
        <v>488</v>
      </c>
      <c r="J711" s="1434"/>
      <c r="K711" s="29"/>
      <c r="L711" s="28"/>
      <c r="M711" s="1558"/>
      <c r="N711" s="2541">
        <v>330</v>
      </c>
      <c r="O711" s="2687"/>
      <c r="P711" s="2687"/>
      <c r="Q711" s="2721"/>
      <c r="R711" s="2714"/>
      <c r="S711" s="2599"/>
      <c r="T711" s="2599"/>
      <c r="U711" s="2599"/>
      <c r="V711" s="2541">
        <v>0</v>
      </c>
      <c r="W711" s="2541">
        <v>0</v>
      </c>
      <c r="X711" s="1"/>
    </row>
    <row r="712" spans="1:24" ht="26.15" hidden="1" customHeight="1" x14ac:dyDescent="0.3">
      <c r="A712" s="844"/>
      <c r="B712" s="2012" t="s">
        <v>1193</v>
      </c>
      <c r="C712" s="735"/>
      <c r="D712" s="77"/>
      <c r="E712" s="77"/>
      <c r="F712" s="34" t="s">
        <v>524</v>
      </c>
      <c r="G712" s="9"/>
      <c r="H712" s="142"/>
      <c r="I712" s="142"/>
      <c r="J712" s="1434"/>
      <c r="K712" s="29"/>
      <c r="L712" s="28"/>
      <c r="M712" s="1558"/>
      <c r="N712" s="2556">
        <f>N713+N718</f>
        <v>0</v>
      </c>
      <c r="O712" s="2542"/>
      <c r="P712" s="2542"/>
      <c r="Q712" s="2710"/>
      <c r="R712" s="2545"/>
      <c r="S712" s="2515"/>
      <c r="T712" s="2515"/>
      <c r="U712" s="2515"/>
      <c r="V712" s="2521">
        <f t="shared" ref="V712:W714" si="305">V713</f>
        <v>0</v>
      </c>
      <c r="W712" s="2521">
        <f t="shared" si="305"/>
        <v>0</v>
      </c>
      <c r="X712" s="1"/>
    </row>
    <row r="713" spans="1:24" ht="26" hidden="1" x14ac:dyDescent="0.3">
      <c r="A713" s="844"/>
      <c r="B713" s="724" t="s">
        <v>948</v>
      </c>
      <c r="C713" s="735"/>
      <c r="D713" s="77"/>
      <c r="E713" s="77"/>
      <c r="F713" s="10" t="s">
        <v>524</v>
      </c>
      <c r="G713" s="9" t="s">
        <v>955</v>
      </c>
      <c r="H713" s="142"/>
      <c r="I713" s="142"/>
      <c r="J713" s="1434"/>
      <c r="K713" s="29"/>
      <c r="L713" s="28"/>
      <c r="M713" s="1558"/>
      <c r="N713" s="2521">
        <f>N714</f>
        <v>0</v>
      </c>
      <c r="O713" s="2542"/>
      <c r="P713" s="2542"/>
      <c r="Q713" s="2710"/>
      <c r="R713" s="2545"/>
      <c r="S713" s="2515"/>
      <c r="T713" s="2515"/>
      <c r="U713" s="2515"/>
      <c r="V713" s="2521">
        <f t="shared" si="305"/>
        <v>0</v>
      </c>
      <c r="W713" s="2521">
        <f t="shared" si="305"/>
        <v>0</v>
      </c>
      <c r="X713" s="1"/>
    </row>
    <row r="714" spans="1:24" ht="26" hidden="1" x14ac:dyDescent="0.3">
      <c r="A714" s="844"/>
      <c r="B714" s="1993" t="s">
        <v>4</v>
      </c>
      <c r="C714" s="735"/>
      <c r="D714" s="77"/>
      <c r="E714" s="77"/>
      <c r="F714" s="10" t="s">
        <v>524</v>
      </c>
      <c r="G714" s="9" t="s">
        <v>1</v>
      </c>
      <c r="H714" s="142"/>
      <c r="I714" s="142"/>
      <c r="J714" s="1434"/>
      <c r="K714" s="29"/>
      <c r="L714" s="28"/>
      <c r="M714" s="1558"/>
      <c r="N714" s="2521">
        <f>N715</f>
        <v>0</v>
      </c>
      <c r="O714" s="2542"/>
      <c r="P714" s="2542"/>
      <c r="Q714" s="2710"/>
      <c r="R714" s="2545"/>
      <c r="S714" s="2515"/>
      <c r="T714" s="2515"/>
      <c r="U714" s="2515"/>
      <c r="V714" s="2521">
        <f t="shared" si="305"/>
        <v>0</v>
      </c>
      <c r="W714" s="2521">
        <f t="shared" si="305"/>
        <v>0</v>
      </c>
      <c r="X714" s="1"/>
    </row>
    <row r="715" spans="1:24" ht="13" hidden="1" x14ac:dyDescent="0.3">
      <c r="A715" s="844"/>
      <c r="B715" s="744" t="s">
        <v>530</v>
      </c>
      <c r="C715" s="735"/>
      <c r="D715" s="77"/>
      <c r="E715" s="77"/>
      <c r="F715" s="10" t="s">
        <v>524</v>
      </c>
      <c r="G715" s="9" t="s">
        <v>1</v>
      </c>
      <c r="H715" s="142" t="s">
        <v>463</v>
      </c>
      <c r="I715" s="142" t="s">
        <v>488</v>
      </c>
      <c r="J715" s="1434"/>
      <c r="K715" s="29"/>
      <c r="L715" s="28"/>
      <c r="M715" s="1558"/>
      <c r="N715" s="2521">
        <v>0</v>
      </c>
      <c r="O715" s="2542"/>
      <c r="P715" s="2542"/>
      <c r="Q715" s="2710"/>
      <c r="R715" s="2545"/>
      <c r="S715" s="2515"/>
      <c r="T715" s="2515"/>
      <c r="U715" s="2515"/>
      <c r="V715" s="2521">
        <v>0</v>
      </c>
      <c r="W715" s="2521">
        <v>0</v>
      </c>
      <c r="X715" s="1"/>
    </row>
    <row r="716" spans="1:24" ht="13" hidden="1" x14ac:dyDescent="0.3">
      <c r="A716" s="844"/>
      <c r="B716" s="2354" t="s">
        <v>1065</v>
      </c>
      <c r="C716" s="735"/>
      <c r="D716" s="77"/>
      <c r="E716" s="77"/>
      <c r="F716" s="10" t="s">
        <v>524</v>
      </c>
      <c r="G716" s="9" t="s">
        <v>1064</v>
      </c>
      <c r="H716" s="142"/>
      <c r="I716" s="142"/>
      <c r="J716" s="1434"/>
      <c r="K716" s="29"/>
      <c r="L716" s="28"/>
      <c r="M716" s="1558"/>
      <c r="N716" s="2521">
        <f>N717</f>
        <v>0</v>
      </c>
      <c r="O716" s="2542"/>
      <c r="P716" s="2542"/>
      <c r="Q716" s="2710"/>
      <c r="R716" s="2545"/>
      <c r="S716" s="2515"/>
      <c r="T716" s="2515"/>
      <c r="U716" s="2515"/>
      <c r="V716" s="2521">
        <f>V717</f>
        <v>0</v>
      </c>
      <c r="W716" s="2521">
        <f>W717</f>
        <v>0</v>
      </c>
      <c r="X716" s="1"/>
    </row>
    <row r="717" spans="1:24" ht="13" hidden="1" x14ac:dyDescent="0.3">
      <c r="A717" s="844"/>
      <c r="B717" s="744" t="s">
        <v>97</v>
      </c>
      <c r="C717" s="735"/>
      <c r="D717" s="77"/>
      <c r="E717" s="77"/>
      <c r="F717" s="10" t="s">
        <v>524</v>
      </c>
      <c r="G717" s="9" t="s">
        <v>95</v>
      </c>
      <c r="H717" s="142"/>
      <c r="I717" s="142"/>
      <c r="J717" s="1434"/>
      <c r="K717" s="29"/>
      <c r="L717" s="28"/>
      <c r="M717" s="1558"/>
      <c r="N717" s="2521">
        <f>N718</f>
        <v>0</v>
      </c>
      <c r="O717" s="2542"/>
      <c r="P717" s="2542"/>
      <c r="Q717" s="2710"/>
      <c r="R717" s="2545"/>
      <c r="S717" s="2515"/>
      <c r="T717" s="2515"/>
      <c r="U717" s="2515"/>
      <c r="V717" s="2521">
        <f>V718</f>
        <v>0</v>
      </c>
      <c r="W717" s="2521">
        <f>W718</f>
        <v>0</v>
      </c>
      <c r="X717" s="1"/>
    </row>
    <row r="718" spans="1:24" ht="13" hidden="1" x14ac:dyDescent="0.3">
      <c r="A718" s="844"/>
      <c r="B718" s="744" t="s">
        <v>530</v>
      </c>
      <c r="C718" s="735"/>
      <c r="D718" s="77"/>
      <c r="E718" s="77"/>
      <c r="F718" s="10" t="s">
        <v>524</v>
      </c>
      <c r="G718" s="9" t="s">
        <v>95</v>
      </c>
      <c r="H718" s="142" t="s">
        <v>463</v>
      </c>
      <c r="I718" s="142" t="s">
        <v>488</v>
      </c>
      <c r="J718" s="1434"/>
      <c r="K718" s="29"/>
      <c r="L718" s="28"/>
      <c r="M718" s="1558"/>
      <c r="N718" s="2521">
        <v>0</v>
      </c>
      <c r="O718" s="2542"/>
      <c r="P718" s="2542"/>
      <c r="Q718" s="2710"/>
      <c r="R718" s="2545"/>
      <c r="S718" s="2515"/>
      <c r="T718" s="2515"/>
      <c r="U718" s="2515"/>
      <c r="V718" s="2521">
        <v>0</v>
      </c>
      <c r="W718" s="2521">
        <v>0</v>
      </c>
      <c r="X718" s="1"/>
    </row>
    <row r="719" spans="1:24" ht="13" x14ac:dyDescent="0.3">
      <c r="A719" s="32"/>
      <c r="B719" s="2124" t="s">
        <v>12</v>
      </c>
      <c r="C719" s="31"/>
      <c r="D719" s="9"/>
      <c r="E719" s="9"/>
      <c r="F719" s="34" t="s">
        <v>10</v>
      </c>
      <c r="G719" s="33"/>
      <c r="H719" s="2334"/>
      <c r="I719" s="142"/>
      <c r="J719" s="28">
        <f>J721</f>
        <v>1109.2180000000001</v>
      </c>
      <c r="K719" s="30"/>
      <c r="L719" s="29"/>
      <c r="M719" s="1569"/>
      <c r="N719" s="2612">
        <f>N721</f>
        <v>1061.127</v>
      </c>
      <c r="O719" s="2722">
        <f>O721</f>
        <v>799.11500000000001</v>
      </c>
      <c r="P719" s="2722">
        <f>P721</f>
        <v>895.01</v>
      </c>
      <c r="Q719" s="2723">
        <f>Q721</f>
        <v>947.01</v>
      </c>
      <c r="R719" s="2724">
        <f>R721</f>
        <v>947.01</v>
      </c>
      <c r="S719" s="2611"/>
      <c r="T719" s="2611"/>
      <c r="U719" s="2611"/>
      <c r="V719" s="2612">
        <f>V721</f>
        <v>860.798</v>
      </c>
      <c r="W719" s="2612">
        <f>W721</f>
        <v>860.798</v>
      </c>
      <c r="X719" s="1"/>
    </row>
    <row r="720" spans="1:24" ht="26" x14ac:dyDescent="0.3">
      <c r="A720" s="32"/>
      <c r="B720" s="724" t="s">
        <v>948</v>
      </c>
      <c r="C720" s="31"/>
      <c r="D720" s="9"/>
      <c r="E720" s="9"/>
      <c r="F720" s="9" t="s">
        <v>10</v>
      </c>
      <c r="G720" s="33" t="s">
        <v>955</v>
      </c>
      <c r="H720" s="33"/>
      <c r="I720" s="9"/>
      <c r="J720" s="28"/>
      <c r="K720" s="30"/>
      <c r="L720" s="29"/>
      <c r="M720" s="1569"/>
      <c r="N720" s="2618">
        <f>N721</f>
        <v>1061.127</v>
      </c>
      <c r="O720" s="2722"/>
      <c r="P720" s="2722"/>
      <c r="Q720" s="2723"/>
      <c r="R720" s="2724"/>
      <c r="S720" s="2611"/>
      <c r="T720" s="2611"/>
      <c r="U720" s="2611"/>
      <c r="V720" s="2618">
        <f t="shared" ref="V720:W720" si="306">V721</f>
        <v>860.798</v>
      </c>
      <c r="W720" s="2618">
        <f t="shared" si="306"/>
        <v>860.798</v>
      </c>
      <c r="X720" s="1"/>
    </row>
    <row r="721" spans="1:24" ht="26" x14ac:dyDescent="0.3">
      <c r="A721" s="32"/>
      <c r="B721" s="1993" t="s">
        <v>4</v>
      </c>
      <c r="C721" s="31"/>
      <c r="D721" s="9"/>
      <c r="E721" s="9"/>
      <c r="F721" s="9" t="s">
        <v>10</v>
      </c>
      <c r="G721" s="9" t="s">
        <v>1</v>
      </c>
      <c r="H721" s="9"/>
      <c r="I721" s="9"/>
      <c r="J721" s="28">
        <f>J722</f>
        <v>1109.2180000000001</v>
      </c>
      <c r="K721" s="30"/>
      <c r="L721" s="29"/>
      <c r="M721" s="1569"/>
      <c r="N721" s="2618">
        <f t="shared" ref="N721:R721" si="307">N722</f>
        <v>1061.127</v>
      </c>
      <c r="O721" s="2722">
        <f t="shared" si="307"/>
        <v>799.11500000000001</v>
      </c>
      <c r="P721" s="2722">
        <f t="shared" si="307"/>
        <v>895.01</v>
      </c>
      <c r="Q721" s="2725">
        <f t="shared" si="307"/>
        <v>947.01</v>
      </c>
      <c r="R721" s="2726">
        <f t="shared" si="307"/>
        <v>947.01</v>
      </c>
      <c r="S721" s="2611"/>
      <c r="T721" s="2611"/>
      <c r="U721" s="2611"/>
      <c r="V721" s="2618">
        <f t="shared" ref="V721:W721" si="308">V722</f>
        <v>860.798</v>
      </c>
      <c r="W721" s="2618">
        <f t="shared" si="308"/>
        <v>860.798</v>
      </c>
      <c r="X721" s="1"/>
    </row>
    <row r="722" spans="1:24" ht="13.5" thickBot="1" x14ac:dyDescent="0.35">
      <c r="A722" s="26"/>
      <c r="B722" s="1488" t="s">
        <v>11</v>
      </c>
      <c r="C722" s="1778"/>
      <c r="D722" s="25"/>
      <c r="E722" s="25"/>
      <c r="F722" s="25" t="s">
        <v>10</v>
      </c>
      <c r="G722" s="25" t="s">
        <v>1</v>
      </c>
      <c r="H722" s="25" t="s">
        <v>463</v>
      </c>
      <c r="I722" s="25" t="s">
        <v>456</v>
      </c>
      <c r="J722" s="1779">
        <v>1109.2180000000001</v>
      </c>
      <c r="K722" s="1780"/>
      <c r="L722" s="1492"/>
      <c r="M722" s="1781"/>
      <c r="N722" s="2731">
        <f>860.797+200.33</f>
        <v>1061.127</v>
      </c>
      <c r="O722" s="2727">
        <v>799.11500000000001</v>
      </c>
      <c r="P722" s="2728">
        <v>895.01</v>
      </c>
      <c r="Q722" s="2729">
        <v>947.01</v>
      </c>
      <c r="R722" s="2730">
        <v>947.01</v>
      </c>
      <c r="S722" s="2611"/>
      <c r="T722" s="2611"/>
      <c r="U722" s="2611"/>
      <c r="V722" s="2731">
        <v>860.798</v>
      </c>
      <c r="W722" s="2731">
        <v>860.798</v>
      </c>
    </row>
    <row r="723" spans="1:24" ht="26" hidden="1" x14ac:dyDescent="0.3">
      <c r="A723" s="145"/>
      <c r="B723" s="23" t="s">
        <v>8</v>
      </c>
      <c r="C723" s="22"/>
      <c r="D723" s="20"/>
      <c r="E723" s="20"/>
      <c r="F723" s="21" t="s">
        <v>2</v>
      </c>
      <c r="G723" s="20"/>
      <c r="H723" s="20"/>
      <c r="I723" s="20"/>
      <c r="J723" s="1146">
        <f>J724+J726</f>
        <v>600.79999999999995</v>
      </c>
      <c r="K723" s="1147"/>
      <c r="L723" s="1148">
        <f t="shared" ref="L723:R723" si="309">L724+L726</f>
        <v>605.88300000000004</v>
      </c>
      <c r="M723" s="1148">
        <f t="shared" si="309"/>
        <v>605.88300000000004</v>
      </c>
      <c r="N723" s="2130">
        <f t="shared" si="309"/>
        <v>0</v>
      </c>
      <c r="O723" s="2131">
        <f t="shared" si="309"/>
        <v>600.79999999999995</v>
      </c>
      <c r="P723" s="2132">
        <f t="shared" si="309"/>
        <v>600.79999999999995</v>
      </c>
      <c r="Q723" s="2133">
        <f t="shared" si="309"/>
        <v>0</v>
      </c>
      <c r="R723" s="2133">
        <f t="shared" si="309"/>
        <v>0</v>
      </c>
      <c r="V723" s="2130">
        <f t="shared" ref="V723:W723" si="310">V724+V726</f>
        <v>0</v>
      </c>
      <c r="W723" s="2130">
        <f t="shared" si="310"/>
        <v>0</v>
      </c>
    </row>
    <row r="724" spans="1:24" ht="13" hidden="1" x14ac:dyDescent="0.3">
      <c r="A724" s="32"/>
      <c r="B724" s="744" t="s">
        <v>7</v>
      </c>
      <c r="C724" s="911"/>
      <c r="D724" s="11"/>
      <c r="E724" s="11"/>
      <c r="F724" s="10" t="s">
        <v>2</v>
      </c>
      <c r="G724" s="9" t="s">
        <v>5</v>
      </c>
      <c r="H724" s="9"/>
      <c r="I724" s="11"/>
      <c r="J724" s="1063">
        <f>J725</f>
        <v>493.39</v>
      </c>
      <c r="K724" s="1150"/>
      <c r="L724" s="1063">
        <v>555.32000000000005</v>
      </c>
      <c r="M724" s="1063">
        <v>555.32000000000005</v>
      </c>
      <c r="N724" s="2134">
        <f>N725</f>
        <v>0</v>
      </c>
      <c r="O724" s="1947">
        <f>O725</f>
        <v>493.39</v>
      </c>
      <c r="P724" s="1941">
        <f>P725</f>
        <v>493.39</v>
      </c>
      <c r="Q724" s="2057">
        <f>Q725</f>
        <v>0</v>
      </c>
      <c r="R724" s="2057">
        <f>R725</f>
        <v>0</v>
      </c>
      <c r="V724" s="2134">
        <f>V725</f>
        <v>0</v>
      </c>
      <c r="W724" s="2134">
        <f>W725</f>
        <v>0</v>
      </c>
    </row>
    <row r="725" spans="1:24" ht="13" hidden="1" x14ac:dyDescent="0.3">
      <c r="A725" s="32"/>
      <c r="B725" s="744" t="s">
        <v>6</v>
      </c>
      <c r="C725" s="911"/>
      <c r="D725" s="11"/>
      <c r="E725" s="11"/>
      <c r="F725" s="10" t="s">
        <v>2</v>
      </c>
      <c r="G725" s="9" t="s">
        <v>5</v>
      </c>
      <c r="H725" s="9" t="s">
        <v>488</v>
      </c>
      <c r="I725" s="9" t="s">
        <v>495</v>
      </c>
      <c r="J725" s="1063">
        <f>378.948+114.442</f>
        <v>493.39</v>
      </c>
      <c r="K725" s="1150"/>
      <c r="L725" s="1063">
        <v>555.32000000000005</v>
      </c>
      <c r="M725" s="1063">
        <v>555.32000000000005</v>
      </c>
      <c r="N725" s="2134"/>
      <c r="O725" s="1947">
        <f>378.948+114.442</f>
        <v>493.39</v>
      </c>
      <c r="P725" s="1941">
        <f>378.948+114.442</f>
        <v>493.39</v>
      </c>
      <c r="Q725" s="2057"/>
      <c r="R725" s="2057"/>
      <c r="V725" s="2134"/>
      <c r="W725" s="2134"/>
    </row>
    <row r="726" spans="1:24" ht="26" hidden="1" x14ac:dyDescent="0.3">
      <c r="A726" s="32"/>
      <c r="B726" s="1993" t="s">
        <v>4</v>
      </c>
      <c r="C726" s="911"/>
      <c r="D726" s="11"/>
      <c r="E726" s="11"/>
      <c r="F726" s="10" t="s">
        <v>2</v>
      </c>
      <c r="G726" s="9" t="s">
        <v>1</v>
      </c>
      <c r="H726" s="9"/>
      <c r="I726" s="9"/>
      <c r="J726" s="1142">
        <f>J727</f>
        <v>107.41</v>
      </c>
      <c r="K726" s="1150"/>
      <c r="L726" s="1150">
        <v>50.563000000000002</v>
      </c>
      <c r="M726" s="1150">
        <v>50.563000000000002</v>
      </c>
      <c r="N726" s="2135">
        <f>N727</f>
        <v>0</v>
      </c>
      <c r="O726" s="2115">
        <f>O727</f>
        <v>107.41</v>
      </c>
      <c r="P726" s="2116">
        <f>P727</f>
        <v>107.41</v>
      </c>
      <c r="Q726" s="2136">
        <f>Q727</f>
        <v>0</v>
      </c>
      <c r="R726" s="2136">
        <f>R727</f>
        <v>0</v>
      </c>
      <c r="V726" s="2135">
        <f>V727</f>
        <v>0</v>
      </c>
      <c r="W726" s="2135">
        <f>W727</f>
        <v>0</v>
      </c>
    </row>
    <row r="727" spans="1:24" ht="13.5" hidden="1" thickBot="1" x14ac:dyDescent="0.3">
      <c r="A727" s="26"/>
      <c r="B727" s="943" t="s">
        <v>3</v>
      </c>
      <c r="C727" s="896"/>
      <c r="D727" s="897"/>
      <c r="E727" s="897"/>
      <c r="F727" s="898" t="s">
        <v>2</v>
      </c>
      <c r="G727" s="25" t="s">
        <v>1</v>
      </c>
      <c r="H727" s="25" t="s">
        <v>488</v>
      </c>
      <c r="I727" s="25" t="s">
        <v>495</v>
      </c>
      <c r="J727" s="1154">
        <f>86.41+21</f>
        <v>107.41</v>
      </c>
      <c r="K727" s="1155"/>
      <c r="L727" s="1155">
        <v>50.563000000000002</v>
      </c>
      <c r="M727" s="1155">
        <v>50.563000000000002</v>
      </c>
      <c r="N727" s="2137"/>
      <c r="O727" s="1947">
        <f>86.41+21</f>
        <v>107.41</v>
      </c>
      <c r="P727" s="1941">
        <f>86.41+21</f>
        <v>107.41</v>
      </c>
      <c r="Q727" s="2138"/>
      <c r="R727" s="2138"/>
      <c r="V727" s="2137"/>
      <c r="W727" s="2137"/>
    </row>
    <row r="729" spans="1:24" x14ac:dyDescent="0.25">
      <c r="S729" s="2">
        <v>170.6</v>
      </c>
      <c r="T729" s="2">
        <v>152.1</v>
      </c>
      <c r="U729" s="2">
        <v>938.1</v>
      </c>
    </row>
    <row r="736" spans="1:24" ht="13" x14ac:dyDescent="0.3">
      <c r="B736" s="195"/>
    </row>
  </sheetData>
  <mergeCells count="24">
    <mergeCell ref="V1:W1"/>
    <mergeCell ref="V2:W2"/>
    <mergeCell ref="V3:W3"/>
    <mergeCell ref="V4:W4"/>
    <mergeCell ref="V5:W5"/>
    <mergeCell ref="G11:N11"/>
    <mergeCell ref="Q11:R11"/>
    <mergeCell ref="I8:N8"/>
    <mergeCell ref="Q8:R8"/>
    <mergeCell ref="F9:N9"/>
    <mergeCell ref="Q9:R9"/>
    <mergeCell ref="Q10:R10"/>
    <mergeCell ref="G676:J676"/>
    <mergeCell ref="B18:J18"/>
    <mergeCell ref="A19:R19"/>
    <mergeCell ref="A20:R20"/>
    <mergeCell ref="A21:R21"/>
    <mergeCell ref="A22:R22"/>
    <mergeCell ref="A23:R23"/>
    <mergeCell ref="G133:J133"/>
    <mergeCell ref="G134:J134"/>
    <mergeCell ref="G629:J629"/>
    <mergeCell ref="G630:J630"/>
    <mergeCell ref="G675:J675"/>
  </mergeCells>
  <pageMargins left="0.59055118110236227" right="0.15748031496062992" top="0.45" bottom="0.31496062992125984" header="0.35433070866141736" footer="0.19685039370078741"/>
  <pageSetup paperSize="9" scale="41" firstPageNumber="55" fitToHeight="4" orientation="portrait" useFirstPageNumber="1" r:id="rId1"/>
  <headerFooter alignWithMargins="0"/>
  <rowBreaks count="1" manualBreakCount="1">
    <brk id="257" max="22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V588"/>
  <sheetViews>
    <sheetView topLeftCell="A188" zoomScale="74" zoomScaleNormal="74" zoomScaleSheetLayoutView="90" workbookViewId="0">
      <selection activeCell="G202" sqref="G202"/>
    </sheetView>
  </sheetViews>
  <sheetFormatPr defaultColWidth="9.1796875" defaultRowHeight="12.5" x14ac:dyDescent="0.25"/>
  <cols>
    <col min="1" max="1" width="8.81640625" style="1" customWidth="1"/>
    <col min="2" max="2" width="60.26953125" style="6" customWidth="1"/>
    <col min="3" max="3" width="10" style="5" hidden="1" customWidth="1"/>
    <col min="4" max="4" width="9.26953125" style="4" hidden="1" customWidth="1"/>
    <col min="5" max="5" width="10.453125" style="4" hidden="1" customWidth="1"/>
    <col min="6" max="6" width="13.26953125" style="4" customWidth="1"/>
    <col min="7" max="8" width="10.26953125" style="4" customWidth="1"/>
    <col min="9" max="9" width="10.453125" style="4" customWidth="1"/>
    <col min="10" max="10" width="22.1796875" style="1045" hidden="1" customWidth="1"/>
    <col min="11" max="11" width="14.7265625" style="1045" hidden="1" customWidth="1"/>
    <col min="12" max="12" width="15.81640625" style="1045" hidden="1" customWidth="1"/>
    <col min="13" max="13" width="18.7265625" style="1045" hidden="1" customWidth="1"/>
    <col min="14" max="14" width="22.1796875" style="1905" customWidth="1"/>
    <col min="15" max="16" width="22.1796875" style="1906" hidden="1" customWidth="1"/>
    <col min="17" max="18" width="22.1796875" style="1906" customWidth="1"/>
    <col min="19" max="21" width="10.26953125" style="2" hidden="1" customWidth="1"/>
    <col min="22" max="22" width="9.1796875" style="2"/>
    <col min="23" max="23" width="28.54296875" style="2" customWidth="1"/>
    <col min="24" max="24" width="18.81640625" style="2" customWidth="1"/>
    <col min="25" max="16384" width="9.1796875" style="1"/>
  </cols>
  <sheetData>
    <row r="1" spans="1:256" s="2" customFormat="1" ht="15.5" x14ac:dyDescent="0.35">
      <c r="A1" s="1"/>
      <c r="B1" s="6"/>
      <c r="C1" s="5"/>
      <c r="D1" s="4"/>
      <c r="E1" s="4"/>
      <c r="F1" s="4"/>
      <c r="G1" s="4"/>
      <c r="H1" s="4"/>
      <c r="I1" s="4"/>
      <c r="J1" s="1811"/>
      <c r="K1" s="1811"/>
      <c r="L1" s="1811"/>
      <c r="M1" s="1811"/>
      <c r="N1" s="1907"/>
      <c r="O1" s="1908"/>
      <c r="P1" s="1909"/>
      <c r="Q1" s="1908"/>
      <c r="R1" s="1908" t="s">
        <v>936</v>
      </c>
      <c r="S1" s="4"/>
      <c r="T1" s="4"/>
      <c r="U1" s="4"/>
      <c r="V1" s="1811"/>
      <c r="W1" s="1811"/>
      <c r="X1" s="1811"/>
      <c r="Y1" s="181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s="2" customFormat="1" ht="15.5" x14ac:dyDescent="0.35">
      <c r="A2" s="1"/>
      <c r="B2" s="6"/>
      <c r="C2" s="5"/>
      <c r="D2" s="4"/>
      <c r="E2" s="4"/>
      <c r="F2" s="4"/>
      <c r="G2" s="4"/>
      <c r="H2" s="4"/>
      <c r="I2" s="3162"/>
      <c r="J2" s="3162"/>
      <c r="K2" s="3162"/>
      <c r="L2" s="3162"/>
      <c r="M2" s="3162"/>
      <c r="N2" s="3162"/>
      <c r="O2" s="1910"/>
      <c r="P2" s="1909"/>
      <c r="Q2" s="3383" t="s">
        <v>450</v>
      </c>
      <c r="R2" s="3383"/>
      <c r="S2" s="4"/>
      <c r="T2" s="4"/>
      <c r="V2" s="261"/>
      <c r="W2" s="261"/>
      <c r="X2" s="261"/>
      <c r="Y2" s="261"/>
      <c r="Z2" s="26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 s="2" customFormat="1" ht="15.5" x14ac:dyDescent="0.35">
      <c r="A3" s="1"/>
      <c r="B3" s="6"/>
      <c r="C3" s="261"/>
      <c r="D3" s="261"/>
      <c r="E3" s="261"/>
      <c r="F3" s="3162"/>
      <c r="G3" s="3162"/>
      <c r="H3" s="3162"/>
      <c r="I3" s="3162"/>
      <c r="J3" s="3162"/>
      <c r="K3" s="3162"/>
      <c r="L3" s="3162"/>
      <c r="M3" s="3162"/>
      <c r="N3" s="3162"/>
      <c r="O3" s="1909"/>
      <c r="P3" s="1909"/>
      <c r="Q3" s="3383" t="s">
        <v>449</v>
      </c>
      <c r="R3" s="3383"/>
      <c r="S3" s="1539"/>
      <c r="T3" s="1539"/>
      <c r="U3" s="1539"/>
      <c r="V3" s="1539"/>
      <c r="W3" s="1539"/>
      <c r="X3" s="1539"/>
      <c r="Y3" s="1539"/>
      <c r="Z3" s="1539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spans="1:256" s="2" customFormat="1" ht="15.5" x14ac:dyDescent="0.35">
      <c r="A4" s="1"/>
      <c r="B4" s="6"/>
      <c r="C4" s="5"/>
      <c r="D4" s="1811"/>
      <c r="E4" s="1811"/>
      <c r="F4" s="1811"/>
      <c r="G4" s="1811"/>
      <c r="H4" s="1811"/>
      <c r="I4" s="1811"/>
      <c r="J4" s="1811"/>
      <c r="K4" s="1045"/>
      <c r="L4" s="1045"/>
      <c r="M4" s="1811"/>
      <c r="N4" s="1911"/>
      <c r="O4" s="1912"/>
      <c r="P4" s="1909"/>
      <c r="Q4" s="3383" t="s">
        <v>448</v>
      </c>
      <c r="R4" s="3383"/>
      <c r="S4" s="1811"/>
      <c r="T4" s="1811"/>
      <c r="U4" s="1811"/>
      <c r="V4" s="1811"/>
      <c r="W4" s="1045"/>
      <c r="X4" s="1045"/>
      <c r="Z4" s="234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spans="1:256" s="2" customFormat="1" ht="15.5" x14ac:dyDescent="0.25">
      <c r="A5" s="1"/>
      <c r="B5" s="6"/>
      <c r="C5" s="5"/>
      <c r="D5" s="1824" t="s">
        <v>447</v>
      </c>
      <c r="E5" s="1824"/>
      <c r="F5" s="1824"/>
      <c r="G5" s="3212"/>
      <c r="H5" s="3212"/>
      <c r="I5" s="3212"/>
      <c r="J5" s="3212"/>
      <c r="K5" s="3212"/>
      <c r="L5" s="3212"/>
      <c r="M5" s="3212"/>
      <c r="N5" s="3212"/>
      <c r="O5" s="1913"/>
      <c r="P5" s="1913"/>
      <c r="Q5" s="3382" t="s">
        <v>991</v>
      </c>
      <c r="R5" s="3382"/>
      <c r="S5" s="1812"/>
      <c r="T5" s="1812"/>
      <c r="U5" s="1824"/>
      <c r="V5" s="1824"/>
      <c r="W5" s="1824"/>
      <c r="X5" s="1824"/>
      <c r="Y5" s="1824"/>
      <c r="Z5" s="1824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</row>
    <row r="6" spans="1:256" s="2" customFormat="1" ht="13.15" customHeight="1" x14ac:dyDescent="0.25">
      <c r="A6" s="1"/>
      <c r="B6" s="6"/>
      <c r="C6" s="5"/>
      <c r="D6" s="4"/>
      <c r="E6" s="4"/>
      <c r="F6" s="4"/>
      <c r="G6" s="4"/>
      <c r="H6" s="4"/>
      <c r="I6" s="4"/>
      <c r="J6" s="1045"/>
      <c r="K6" s="1045"/>
      <c r="L6" s="1045"/>
      <c r="M6" s="4"/>
      <c r="N6" s="1914"/>
      <c r="O6" s="1915"/>
      <c r="P6" s="1915"/>
      <c r="Q6" s="1916"/>
      <c r="R6" s="1916"/>
      <c r="S6" s="4"/>
      <c r="T6" s="4"/>
      <c r="U6" s="1045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</row>
    <row r="7" spans="1:256" s="2" customFormat="1" ht="15.5" hidden="1" x14ac:dyDescent="0.35">
      <c r="A7" s="1"/>
      <c r="B7" s="1812"/>
      <c r="C7" s="5"/>
      <c r="D7" s="4"/>
      <c r="E7" s="254"/>
      <c r="F7" s="254"/>
      <c r="G7" s="254"/>
      <c r="H7" s="254"/>
      <c r="I7" s="254"/>
      <c r="J7" s="1045"/>
      <c r="K7" s="1045"/>
      <c r="L7" s="1045"/>
      <c r="M7" s="4"/>
      <c r="N7" s="1911" t="s">
        <v>446</v>
      </c>
      <c r="O7" s="1917"/>
      <c r="P7" s="1917"/>
      <c r="Q7" s="1917" t="s">
        <v>446</v>
      </c>
      <c r="R7" s="1917" t="s">
        <v>446</v>
      </c>
      <c r="S7" s="254"/>
      <c r="T7" s="254"/>
      <c r="U7" s="1812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spans="1:256" s="2" customFormat="1" ht="15.5" hidden="1" x14ac:dyDescent="0.35">
      <c r="A8" s="1"/>
      <c r="B8" s="6"/>
      <c r="C8" s="5"/>
      <c r="D8" s="4"/>
      <c r="E8" s="254"/>
      <c r="F8" s="254"/>
      <c r="G8" s="254"/>
      <c r="H8" s="254"/>
      <c r="I8" s="254"/>
      <c r="J8" s="384"/>
      <c r="K8" s="1045"/>
      <c r="L8" s="1045"/>
      <c r="M8" s="4"/>
      <c r="N8" s="1914"/>
      <c r="O8" s="1915"/>
      <c r="P8" s="1915"/>
      <c r="Q8" s="1916"/>
      <c r="R8" s="1916"/>
      <c r="S8" s="254"/>
      <c r="T8" s="254"/>
      <c r="U8" s="384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 s="2" customFormat="1" ht="15.5" hidden="1" x14ac:dyDescent="0.35">
      <c r="A9" s="1"/>
      <c r="B9" s="1812"/>
      <c r="C9" s="5"/>
      <c r="D9" s="4"/>
      <c r="E9" s="254"/>
      <c r="F9" s="254"/>
      <c r="G9" s="254"/>
      <c r="H9" s="254"/>
      <c r="I9" s="254"/>
      <c r="J9" s="1045"/>
      <c r="K9" s="1045"/>
      <c r="L9" s="1045"/>
      <c r="M9" s="4"/>
      <c r="N9" s="1911" t="s">
        <v>848</v>
      </c>
      <c r="O9" s="1917"/>
      <c r="P9" s="1917"/>
      <c r="Q9" s="1917" t="s">
        <v>848</v>
      </c>
      <c r="R9" s="1917" t="s">
        <v>848</v>
      </c>
      <c r="S9" s="254"/>
      <c r="T9" s="254"/>
      <c r="U9" s="1812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</row>
    <row r="10" spans="1:256" s="2" customFormat="1" ht="13" hidden="1" x14ac:dyDescent="0.3">
      <c r="A10" s="1"/>
      <c r="B10" s="250"/>
      <c r="C10" s="249"/>
      <c r="D10" s="247"/>
      <c r="E10" s="247"/>
      <c r="F10" s="247"/>
      <c r="G10" s="247"/>
      <c r="H10" s="247"/>
      <c r="I10" s="247"/>
      <c r="J10" s="1046">
        <v>69983.100000000006</v>
      </c>
      <c r="K10" s="1047" t="s">
        <v>444</v>
      </c>
      <c r="L10" s="1048">
        <v>72195.899999999994</v>
      </c>
      <c r="M10" s="1049">
        <v>73707.5</v>
      </c>
      <c r="N10" s="1918">
        <v>69983.100000000006</v>
      </c>
      <c r="O10" s="1919">
        <v>69983.100000000006</v>
      </c>
      <c r="P10" s="1919">
        <v>69983.100000000006</v>
      </c>
      <c r="Q10" s="1919">
        <v>69983.100000000006</v>
      </c>
      <c r="R10" s="1919">
        <v>69983.100000000006</v>
      </c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spans="1:256" ht="13" x14ac:dyDescent="0.3">
      <c r="B11" s="1920"/>
      <c r="C11" s="249"/>
      <c r="D11" s="247"/>
      <c r="E11" s="247"/>
      <c r="F11" s="247"/>
      <c r="G11" s="248" t="s">
        <v>442</v>
      </c>
      <c r="H11" s="248"/>
      <c r="I11" s="247"/>
      <c r="J11" s="1050">
        <f>J10-J20</f>
        <v>0</v>
      </c>
      <c r="K11" s="1047" t="s">
        <v>443</v>
      </c>
      <c r="L11" s="1048">
        <v>1804.9</v>
      </c>
      <c r="M11" s="1051">
        <v>3685.4</v>
      </c>
      <c r="N11" s="1918">
        <f>N10-N20</f>
        <v>0</v>
      </c>
      <c r="O11" s="1919">
        <f>O10-O20</f>
        <v>0</v>
      </c>
      <c r="P11" s="1919">
        <f>P10-P20</f>
        <v>0</v>
      </c>
      <c r="Q11" s="1919">
        <f>Q10-Q20</f>
        <v>0</v>
      </c>
      <c r="R11" s="1919">
        <f>R10-R20</f>
        <v>0</v>
      </c>
    </row>
    <row r="12" spans="1:256" ht="15.5" x14ac:dyDescent="0.3">
      <c r="B12" s="3376"/>
      <c r="C12" s="3376"/>
      <c r="D12" s="3376"/>
      <c r="E12" s="3376"/>
      <c r="F12" s="3376"/>
      <c r="G12" s="3376"/>
      <c r="H12" s="3376"/>
      <c r="I12" s="3376"/>
      <c r="J12" s="3376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O12" s="1921"/>
      <c r="P12" s="1921"/>
      <c r="Q12" s="1922"/>
      <c r="R12" s="1922"/>
    </row>
    <row r="13" spans="1:256" ht="15.65" customHeight="1" x14ac:dyDescent="0.3">
      <c r="A13" s="3377" t="s">
        <v>441</v>
      </c>
      <c r="B13" s="3377"/>
      <c r="C13" s="3377"/>
      <c r="D13" s="3377"/>
      <c r="E13" s="3377"/>
      <c r="F13" s="3377"/>
      <c r="G13" s="3377"/>
      <c r="H13" s="3377"/>
      <c r="I13" s="3377"/>
      <c r="J13" s="3377"/>
      <c r="K13" s="3377"/>
      <c r="L13" s="3377"/>
      <c r="M13" s="3377"/>
      <c r="N13" s="3377"/>
      <c r="O13" s="3377"/>
      <c r="P13" s="3377"/>
      <c r="Q13" s="3377"/>
      <c r="R13" s="3377"/>
    </row>
    <row r="14" spans="1:256" ht="17.5" customHeight="1" x14ac:dyDescent="0.3">
      <c r="A14" s="3378" t="s">
        <v>440</v>
      </c>
      <c r="B14" s="3378"/>
      <c r="C14" s="3378"/>
      <c r="D14" s="3378"/>
      <c r="E14" s="3378"/>
      <c r="F14" s="3378"/>
      <c r="G14" s="3378"/>
      <c r="H14" s="3378"/>
      <c r="I14" s="3378"/>
      <c r="J14" s="3378"/>
      <c r="K14" s="3378"/>
      <c r="L14" s="3378"/>
      <c r="M14" s="3378"/>
      <c r="N14" s="3378"/>
      <c r="O14" s="3378"/>
      <c r="P14" s="3378"/>
      <c r="Q14" s="3378"/>
      <c r="R14" s="3378"/>
    </row>
    <row r="15" spans="1:256" ht="15" customHeight="1" x14ac:dyDescent="0.3">
      <c r="A15" s="3377" t="s">
        <v>439</v>
      </c>
      <c r="B15" s="3377"/>
      <c r="C15" s="3377"/>
      <c r="D15" s="3377"/>
      <c r="E15" s="3377"/>
      <c r="F15" s="3377"/>
      <c r="G15" s="3377"/>
      <c r="H15" s="3377"/>
      <c r="I15" s="3377"/>
      <c r="J15" s="3377"/>
      <c r="K15" s="3377"/>
      <c r="L15" s="3377"/>
      <c r="M15" s="3377"/>
      <c r="N15" s="3377"/>
      <c r="O15" s="3377"/>
      <c r="P15" s="3377"/>
      <c r="Q15" s="3377"/>
      <c r="R15" s="3377"/>
    </row>
    <row r="16" spans="1:256" ht="13.5" customHeight="1" x14ac:dyDescent="0.3">
      <c r="A16" s="3377" t="s">
        <v>438</v>
      </c>
      <c r="B16" s="3377"/>
      <c r="C16" s="3377"/>
      <c r="D16" s="3377"/>
      <c r="E16" s="3377"/>
      <c r="F16" s="3377"/>
      <c r="G16" s="3377"/>
      <c r="H16" s="3377"/>
      <c r="I16" s="3377"/>
      <c r="J16" s="3377"/>
      <c r="K16" s="3377"/>
      <c r="L16" s="3377"/>
      <c r="M16" s="3377"/>
      <c r="N16" s="3377"/>
      <c r="O16" s="3377"/>
      <c r="P16" s="3377"/>
      <c r="Q16" s="3377"/>
      <c r="R16" s="3377"/>
    </row>
    <row r="17" spans="1:24" ht="16.149999999999999" customHeight="1" x14ac:dyDescent="0.3">
      <c r="A17" s="3377" t="s">
        <v>969</v>
      </c>
      <c r="B17" s="3377"/>
      <c r="C17" s="3377"/>
      <c r="D17" s="3377"/>
      <c r="E17" s="3377"/>
      <c r="F17" s="3377"/>
      <c r="G17" s="3377"/>
      <c r="H17" s="3377"/>
      <c r="I17" s="3377"/>
      <c r="J17" s="3377"/>
      <c r="K17" s="3377"/>
      <c r="L17" s="3377"/>
      <c r="M17" s="3377"/>
      <c r="N17" s="3377"/>
      <c r="O17" s="3377"/>
      <c r="P17" s="3377"/>
      <c r="Q17" s="3377"/>
      <c r="R17" s="3377"/>
    </row>
    <row r="18" spans="1:24" ht="16" thickBot="1" x14ac:dyDescent="0.4">
      <c r="B18" s="236"/>
      <c r="C18" s="235"/>
      <c r="D18" s="234"/>
      <c r="E18" s="234"/>
      <c r="F18" s="234"/>
      <c r="G18" s="234"/>
      <c r="H18" s="234"/>
      <c r="I18" s="234"/>
      <c r="J18" s="1052" t="s">
        <v>437</v>
      </c>
      <c r="K18" s="1052"/>
      <c r="L18" s="1052"/>
      <c r="M18" s="1052"/>
      <c r="N18" s="1923"/>
      <c r="O18" s="1924" t="s">
        <v>437</v>
      </c>
      <c r="P18" s="1924" t="s">
        <v>437</v>
      </c>
      <c r="Q18" s="1924"/>
      <c r="R18" s="1924" t="s">
        <v>829</v>
      </c>
    </row>
    <row r="19" spans="1:24" ht="65.5" hidden="1" thickBot="1" x14ac:dyDescent="0.3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1053" t="s">
        <v>319</v>
      </c>
      <c r="K19" s="1053"/>
      <c r="L19" s="1925" t="s">
        <v>318</v>
      </c>
      <c r="M19" s="1925" t="s">
        <v>317</v>
      </c>
      <c r="N19" s="1926" t="s">
        <v>319</v>
      </c>
      <c r="O19" s="1927" t="s">
        <v>319</v>
      </c>
      <c r="P19" s="1927" t="s">
        <v>319</v>
      </c>
      <c r="Q19" s="1928" t="s">
        <v>319</v>
      </c>
      <c r="R19" s="1928" t="s">
        <v>319</v>
      </c>
    </row>
    <row r="20" spans="1:24" s="83" customFormat="1" ht="15.5" hidden="1" thickBot="1" x14ac:dyDescent="0.35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1054">
        <f>J21+J64+J69+J83+J105+J144+J152+J166+J173</f>
        <v>69983.100000000006</v>
      </c>
      <c r="K20" s="1055"/>
      <c r="L20" s="1054">
        <f t="shared" ref="L20:R20" si="0">L21+L64+L69+L83+L105+L144+L152+L166+L173</f>
        <v>70391.000180000003</v>
      </c>
      <c r="M20" s="1054">
        <f t="shared" si="0"/>
        <v>70022.0995826</v>
      </c>
      <c r="N20" s="1929">
        <f t="shared" si="0"/>
        <v>69983.100000000006</v>
      </c>
      <c r="O20" s="1930">
        <f t="shared" si="0"/>
        <v>69983.100000000006</v>
      </c>
      <c r="P20" s="1930">
        <f t="shared" si="0"/>
        <v>69983.100000000006</v>
      </c>
      <c r="Q20" s="1930">
        <f t="shared" si="0"/>
        <v>69983.100000000006</v>
      </c>
      <c r="R20" s="1930">
        <f t="shared" si="0"/>
        <v>69983.100000000006</v>
      </c>
      <c r="S20" s="84"/>
      <c r="T20" s="84"/>
      <c r="U20" s="84"/>
      <c r="V20" s="84"/>
      <c r="W20" s="84"/>
      <c r="X20" s="84"/>
    </row>
    <row r="21" spans="1:24" s="83" customFormat="1" ht="14.5" hidden="1" thickBot="1" x14ac:dyDescent="0.35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1056">
        <f>J25+J30+J48+J55+J60</f>
        <v>16206.808000000001</v>
      </c>
      <c r="K21" s="1057"/>
      <c r="L21" s="1056">
        <f t="shared" ref="L21:R21" si="1">L25+L30+L48+L55+L60</f>
        <v>16980.082180000001</v>
      </c>
      <c r="M21" s="1056">
        <f t="shared" si="1"/>
        <v>17936.364582600003</v>
      </c>
      <c r="N21" s="1931">
        <f t="shared" si="1"/>
        <v>16206.808000000001</v>
      </c>
      <c r="O21" s="1932">
        <f t="shared" si="1"/>
        <v>16206.808000000001</v>
      </c>
      <c r="P21" s="1932">
        <f t="shared" si="1"/>
        <v>16206.808000000001</v>
      </c>
      <c r="Q21" s="1932">
        <f t="shared" si="1"/>
        <v>16206.808000000001</v>
      </c>
      <c r="R21" s="1932">
        <f t="shared" si="1"/>
        <v>16206.808000000001</v>
      </c>
      <c r="S21" s="84"/>
      <c r="T21" s="84"/>
      <c r="U21" s="84"/>
      <c r="V21" s="84"/>
      <c r="W21" s="84"/>
      <c r="X21" s="84"/>
    </row>
    <row r="22" spans="1:24" s="83" customFormat="1" ht="26.5" hidden="1" thickBot="1" x14ac:dyDescent="0.35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1058"/>
      <c r="K22" s="1058"/>
      <c r="L22" s="1058"/>
      <c r="M22" s="1058"/>
      <c r="N22" s="1933"/>
      <c r="O22" s="1934"/>
      <c r="P22" s="1934"/>
      <c r="Q22" s="1934"/>
      <c r="R22" s="1934"/>
      <c r="S22" s="84"/>
      <c r="T22" s="84"/>
      <c r="U22" s="84"/>
      <c r="V22" s="84"/>
      <c r="W22" s="84"/>
      <c r="X22" s="84"/>
    </row>
    <row r="23" spans="1:24" s="83" customFormat="1" ht="39.5" hidden="1" thickBot="1" x14ac:dyDescent="0.35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1058"/>
      <c r="K23" s="1058"/>
      <c r="L23" s="1058"/>
      <c r="M23" s="1058"/>
      <c r="N23" s="1933"/>
      <c r="O23" s="1934"/>
      <c r="P23" s="1934"/>
      <c r="Q23" s="1934"/>
      <c r="R23" s="1934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3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1058"/>
      <c r="K24" s="1058"/>
      <c r="L24" s="1058"/>
      <c r="M24" s="1058"/>
      <c r="N24" s="1933"/>
      <c r="O24" s="1934"/>
      <c r="P24" s="1934"/>
      <c r="Q24" s="1934"/>
      <c r="R24" s="1934"/>
      <c r="S24" s="84"/>
      <c r="T24" s="84"/>
      <c r="U24" s="84"/>
      <c r="V24" s="84"/>
      <c r="W24" s="84"/>
      <c r="X24" s="84"/>
    </row>
    <row r="25" spans="1:24" s="83" customFormat="1" ht="39.5" hidden="1" thickBot="1" x14ac:dyDescent="0.35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1059">
        <f>J26</f>
        <v>2155.7860000000001</v>
      </c>
      <c r="K25" s="1058"/>
      <c r="L25" s="1059">
        <f t="shared" ref="L25:R26" si="2">L26</f>
        <v>2285.1331600000003</v>
      </c>
      <c r="M25" s="1059">
        <f t="shared" si="2"/>
        <v>2445.0924812000003</v>
      </c>
      <c r="N25" s="1933">
        <f t="shared" si="2"/>
        <v>2155.7860000000001</v>
      </c>
      <c r="O25" s="1934">
        <f t="shared" si="2"/>
        <v>2155.7860000000001</v>
      </c>
      <c r="P25" s="1934">
        <f t="shared" si="2"/>
        <v>2155.7860000000001</v>
      </c>
      <c r="Q25" s="1934">
        <f t="shared" si="2"/>
        <v>2155.7860000000001</v>
      </c>
      <c r="R25" s="1934">
        <f t="shared" si="2"/>
        <v>2155.7860000000001</v>
      </c>
      <c r="S25" s="84"/>
      <c r="T25" s="84"/>
      <c r="U25" s="84"/>
      <c r="V25" s="84"/>
      <c r="W25" s="84"/>
      <c r="X25" s="84"/>
    </row>
    <row r="26" spans="1:24" s="83" customFormat="1" ht="39.5" hidden="1" thickBot="1" x14ac:dyDescent="0.35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1059">
        <f>J27</f>
        <v>2155.7860000000001</v>
      </c>
      <c r="K26" s="1059"/>
      <c r="L26" s="1059">
        <f t="shared" si="2"/>
        <v>2285.1331600000003</v>
      </c>
      <c r="M26" s="1059">
        <f t="shared" si="2"/>
        <v>2445.0924812000003</v>
      </c>
      <c r="N26" s="1933">
        <f t="shared" si="2"/>
        <v>2155.7860000000001</v>
      </c>
      <c r="O26" s="1934">
        <f t="shared" si="2"/>
        <v>2155.7860000000001</v>
      </c>
      <c r="P26" s="1934">
        <f t="shared" si="2"/>
        <v>2155.7860000000001</v>
      </c>
      <c r="Q26" s="1934">
        <f t="shared" si="2"/>
        <v>2155.7860000000001</v>
      </c>
      <c r="R26" s="1934">
        <f t="shared" si="2"/>
        <v>2155.7860000000001</v>
      </c>
      <c r="S26" s="84"/>
      <c r="T26" s="84"/>
      <c r="U26" s="84"/>
      <c r="V26" s="84"/>
      <c r="W26" s="84"/>
      <c r="X26" s="84"/>
    </row>
    <row r="27" spans="1:24" s="83" customFormat="1" ht="22.15" hidden="1" customHeight="1" x14ac:dyDescent="0.3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1059">
        <f>J28+J29</f>
        <v>2155.7860000000001</v>
      </c>
      <c r="K27" s="1058"/>
      <c r="L27" s="1059">
        <f t="shared" ref="L27:R27" si="3">L28+L29</f>
        <v>2285.1331600000003</v>
      </c>
      <c r="M27" s="1059">
        <f t="shared" si="3"/>
        <v>2445.0924812000003</v>
      </c>
      <c r="N27" s="1933">
        <f t="shared" si="3"/>
        <v>2155.7860000000001</v>
      </c>
      <c r="O27" s="1934">
        <f t="shared" si="3"/>
        <v>2155.7860000000001</v>
      </c>
      <c r="P27" s="1934">
        <f t="shared" si="3"/>
        <v>2155.7860000000001</v>
      </c>
      <c r="Q27" s="1934">
        <f t="shared" si="3"/>
        <v>2155.7860000000001</v>
      </c>
      <c r="R27" s="1934">
        <f t="shared" si="3"/>
        <v>2155.7860000000001</v>
      </c>
      <c r="S27" s="84"/>
      <c r="T27" s="84"/>
      <c r="U27" s="84"/>
      <c r="V27" s="84"/>
      <c r="W27" s="84"/>
      <c r="X27" s="84"/>
    </row>
    <row r="28" spans="1:24" s="83" customFormat="1" ht="16.149999999999999" hidden="1" customHeight="1" x14ac:dyDescent="0.3">
      <c r="B28" s="1935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1060">
        <v>1300.211</v>
      </c>
      <c r="K28" s="1059"/>
      <c r="L28" s="1061">
        <f>J28*106%</f>
        <v>1378.2236600000001</v>
      </c>
      <c r="M28" s="1061">
        <f>L28*107%</f>
        <v>1474.6993162000001</v>
      </c>
      <c r="N28" s="1936">
        <v>1300.211</v>
      </c>
      <c r="O28" s="1937">
        <v>1300.211</v>
      </c>
      <c r="P28" s="1937">
        <v>1300.211</v>
      </c>
      <c r="Q28" s="1937">
        <v>1300.211</v>
      </c>
      <c r="R28" s="1937">
        <v>1300.211</v>
      </c>
      <c r="S28" s="84"/>
      <c r="T28" s="84"/>
      <c r="U28" s="84"/>
      <c r="V28" s="84"/>
      <c r="W28" s="84"/>
      <c r="X28" s="84"/>
    </row>
    <row r="29" spans="1:24" s="83" customFormat="1" ht="18.649999999999999" hidden="1" customHeight="1" x14ac:dyDescent="0.3">
      <c r="B29" s="1935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1062">
        <v>855.57500000000005</v>
      </c>
      <c r="K29" s="1058"/>
      <c r="L29" s="1063">
        <f>J29*106%</f>
        <v>906.90950000000009</v>
      </c>
      <c r="M29" s="1063">
        <f>L29*107%</f>
        <v>970.39316500000018</v>
      </c>
      <c r="N29" s="1936">
        <v>855.57500000000005</v>
      </c>
      <c r="O29" s="1937">
        <v>855.57500000000005</v>
      </c>
      <c r="P29" s="1937">
        <v>855.57500000000005</v>
      </c>
      <c r="Q29" s="1937">
        <v>855.57500000000005</v>
      </c>
      <c r="R29" s="1937">
        <v>855.57500000000005</v>
      </c>
      <c r="S29" s="84"/>
      <c r="T29" s="84"/>
      <c r="U29" s="84"/>
      <c r="V29" s="84"/>
      <c r="W29" s="84"/>
      <c r="X29" s="84"/>
    </row>
    <row r="30" spans="1:24" ht="39.5" hidden="1" thickBot="1" x14ac:dyDescent="0.3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1064">
        <f>J31</f>
        <v>11843.717000000001</v>
      </c>
      <c r="K30" s="1065"/>
      <c r="L30" s="1064">
        <f t="shared" ref="L30:R30" si="4">L31</f>
        <v>12487.644020000002</v>
      </c>
      <c r="M30" s="1064">
        <f t="shared" si="4"/>
        <v>13283.967101400003</v>
      </c>
      <c r="N30" s="1938">
        <f t="shared" si="4"/>
        <v>11843.717000000001</v>
      </c>
      <c r="O30" s="1939">
        <f t="shared" si="4"/>
        <v>11843.717000000001</v>
      </c>
      <c r="P30" s="1939">
        <f t="shared" si="4"/>
        <v>11843.717000000001</v>
      </c>
      <c r="Q30" s="1939">
        <f t="shared" si="4"/>
        <v>11843.717000000001</v>
      </c>
      <c r="R30" s="1939">
        <f t="shared" si="4"/>
        <v>11843.717000000001</v>
      </c>
    </row>
    <row r="31" spans="1:24" ht="42.75" hidden="1" customHeight="1" x14ac:dyDescent="0.25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1064">
        <f>J32+J35+J37+J39+J42+J45</f>
        <v>11843.717000000001</v>
      </c>
      <c r="K31" s="1065"/>
      <c r="L31" s="1064">
        <f t="shared" ref="L31:R31" si="5">L32+L35+L37+L39+L42+L45</f>
        <v>12487.644020000002</v>
      </c>
      <c r="M31" s="1064">
        <f t="shared" si="5"/>
        <v>13283.967101400003</v>
      </c>
      <c r="N31" s="1938">
        <f t="shared" si="5"/>
        <v>11843.717000000001</v>
      </c>
      <c r="O31" s="1939">
        <f t="shared" si="5"/>
        <v>11843.717000000001</v>
      </c>
      <c r="P31" s="1939">
        <f t="shared" si="5"/>
        <v>11843.717000000001</v>
      </c>
      <c r="Q31" s="1939">
        <f t="shared" si="5"/>
        <v>11843.717000000001</v>
      </c>
      <c r="R31" s="1939">
        <f t="shared" si="5"/>
        <v>11843.717000000001</v>
      </c>
    </row>
    <row r="32" spans="1:24" ht="21" hidden="1" customHeight="1" x14ac:dyDescent="0.25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1066">
        <f>J33+J34</f>
        <v>9577.5059999999994</v>
      </c>
      <c r="K32" s="1063"/>
      <c r="L32" s="1066">
        <f t="shared" ref="L32:R32" si="6">L33+L34</f>
        <v>10152.156360000001</v>
      </c>
      <c r="M32" s="1066">
        <f t="shared" si="6"/>
        <v>10862.807305200002</v>
      </c>
      <c r="N32" s="1940">
        <f t="shared" si="6"/>
        <v>9577.5059999999994</v>
      </c>
      <c r="O32" s="1941">
        <f t="shared" si="6"/>
        <v>9577.5059999999994</v>
      </c>
      <c r="P32" s="1941">
        <f t="shared" si="6"/>
        <v>9577.5059999999994</v>
      </c>
      <c r="Q32" s="1941">
        <f t="shared" si="6"/>
        <v>9577.5059999999994</v>
      </c>
      <c r="R32" s="1941">
        <f t="shared" si="6"/>
        <v>9577.5059999999994</v>
      </c>
    </row>
    <row r="33" spans="1:256" s="2" customFormat="1" ht="21" hidden="1" customHeight="1" x14ac:dyDescent="0.3">
      <c r="A33" s="1"/>
      <c r="B33" s="1935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1061">
        <v>7361.933</v>
      </c>
      <c r="K33" s="1061"/>
      <c r="L33" s="1061">
        <f>J33*106%</f>
        <v>7803.6489799999999</v>
      </c>
      <c r="M33" s="1061">
        <f>L33*107%</f>
        <v>8349.9044086000013</v>
      </c>
      <c r="N33" s="1940">
        <v>7361.933</v>
      </c>
      <c r="O33" s="1941">
        <v>7361.933</v>
      </c>
      <c r="P33" s="1941">
        <v>7361.933</v>
      </c>
      <c r="Q33" s="1941">
        <v>7361.933</v>
      </c>
      <c r="R33" s="1941">
        <v>7361.933</v>
      </c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</row>
    <row r="34" spans="1:256" s="2" customFormat="1" ht="21" hidden="1" customHeight="1" x14ac:dyDescent="0.3">
      <c r="A34" s="1"/>
      <c r="B34" s="1935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1061">
        <v>2215.5729999999999</v>
      </c>
      <c r="K34" s="1061"/>
      <c r="L34" s="1061">
        <f>J34*106%</f>
        <v>2348.50738</v>
      </c>
      <c r="M34" s="1061">
        <f>L34*107%</f>
        <v>2512.9028966000001</v>
      </c>
      <c r="N34" s="1940">
        <v>2215.5729999999999</v>
      </c>
      <c r="O34" s="1941">
        <v>2215.5729999999999</v>
      </c>
      <c r="P34" s="1941">
        <v>2215.5729999999999</v>
      </c>
      <c r="Q34" s="1941">
        <v>2215.5729999999999</v>
      </c>
      <c r="R34" s="1941">
        <v>2215.5729999999999</v>
      </c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</row>
    <row r="35" spans="1:256" s="2" customFormat="1" ht="26.5" hidden="1" thickBot="1" x14ac:dyDescent="0.3">
      <c r="A35" s="1"/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1060">
        <f>J36</f>
        <v>1154.6110000000001</v>
      </c>
      <c r="K35" s="1060"/>
      <c r="L35" s="1060">
        <f t="shared" ref="L35:R35" si="7">L36</f>
        <v>1223.8876600000001</v>
      </c>
      <c r="M35" s="1060">
        <f t="shared" si="7"/>
        <v>1309.5597962000002</v>
      </c>
      <c r="N35" s="1936">
        <f t="shared" si="7"/>
        <v>1154.6110000000001</v>
      </c>
      <c r="O35" s="1937">
        <f t="shared" si="7"/>
        <v>1154.6110000000001</v>
      </c>
      <c r="P35" s="1937">
        <f t="shared" si="7"/>
        <v>1154.6110000000001</v>
      </c>
      <c r="Q35" s="1937">
        <f t="shared" si="7"/>
        <v>1154.6110000000001</v>
      </c>
      <c r="R35" s="1937">
        <f t="shared" si="7"/>
        <v>1154.6110000000001</v>
      </c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</row>
    <row r="36" spans="1:256" s="2" customFormat="1" ht="13.5" hidden="1" thickBot="1" x14ac:dyDescent="0.35">
      <c r="A36" s="1"/>
      <c r="B36" s="1935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1060">
        <v>1154.6110000000001</v>
      </c>
      <c r="K36" s="1060"/>
      <c r="L36" s="1061">
        <f>J36*106%</f>
        <v>1223.8876600000001</v>
      </c>
      <c r="M36" s="1061">
        <f>L36*107%</f>
        <v>1309.5597962000002</v>
      </c>
      <c r="N36" s="1936">
        <v>1154.6110000000001</v>
      </c>
      <c r="O36" s="1937">
        <v>1154.6110000000001</v>
      </c>
      <c r="P36" s="1937">
        <v>1154.6110000000001</v>
      </c>
      <c r="Q36" s="1937">
        <v>1154.6110000000001</v>
      </c>
      <c r="R36" s="1937">
        <v>1154.6110000000001</v>
      </c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</row>
    <row r="37" spans="1:256" s="2" customFormat="1" ht="26.5" hidden="1" thickBot="1" x14ac:dyDescent="0.3">
      <c r="A37" s="1"/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1065">
        <f>J38</f>
        <v>171.8</v>
      </c>
      <c r="K37" s="1065"/>
      <c r="L37" s="1065">
        <f t="shared" ref="L37:R37" si="8">L38</f>
        <v>171.8</v>
      </c>
      <c r="M37" s="1065">
        <f t="shared" si="8"/>
        <v>171.8</v>
      </c>
      <c r="N37" s="1938">
        <f t="shared" si="8"/>
        <v>171.8</v>
      </c>
      <c r="O37" s="1939">
        <f t="shared" si="8"/>
        <v>171.8</v>
      </c>
      <c r="P37" s="1939">
        <f t="shared" si="8"/>
        <v>171.8</v>
      </c>
      <c r="Q37" s="1939">
        <f t="shared" si="8"/>
        <v>171.8</v>
      </c>
      <c r="R37" s="1939">
        <f t="shared" si="8"/>
        <v>171.8</v>
      </c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</row>
    <row r="38" spans="1:256" s="2" customFormat="1" ht="13.5" hidden="1" thickBot="1" x14ac:dyDescent="0.35">
      <c r="A38" s="1"/>
      <c r="B38" s="1935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1063">
        <v>171.8</v>
      </c>
      <c r="K38" s="1063"/>
      <c r="L38" s="1063">
        <v>171.8</v>
      </c>
      <c r="M38" s="1063">
        <v>171.8</v>
      </c>
      <c r="N38" s="1940">
        <v>171.8</v>
      </c>
      <c r="O38" s="1941">
        <v>171.8</v>
      </c>
      <c r="P38" s="1941">
        <v>171.8</v>
      </c>
      <c r="Q38" s="1941">
        <v>171.8</v>
      </c>
      <c r="R38" s="1941">
        <v>171.8</v>
      </c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</row>
    <row r="39" spans="1:256" s="2" customFormat="1" ht="45.75" hidden="1" customHeight="1" x14ac:dyDescent="0.25">
      <c r="A39" s="1"/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1065">
        <f>J41</f>
        <v>263</v>
      </c>
      <c r="K39" s="1065"/>
      <c r="L39" s="1065">
        <f t="shared" ref="L39:R39" si="9">L41</f>
        <v>263</v>
      </c>
      <c r="M39" s="1065">
        <f t="shared" si="9"/>
        <v>263</v>
      </c>
      <c r="N39" s="1938">
        <f t="shared" si="9"/>
        <v>263</v>
      </c>
      <c r="O39" s="1939">
        <f t="shared" si="9"/>
        <v>263</v>
      </c>
      <c r="P39" s="1939">
        <f t="shared" si="9"/>
        <v>263</v>
      </c>
      <c r="Q39" s="1939">
        <f t="shared" si="9"/>
        <v>263</v>
      </c>
      <c r="R39" s="1939">
        <f t="shared" si="9"/>
        <v>263</v>
      </c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</row>
    <row r="40" spans="1:256" s="2" customFormat="1" ht="46.5" hidden="1" customHeight="1" x14ac:dyDescent="0.25">
      <c r="A40" s="1"/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1062"/>
      <c r="K40" s="1062"/>
      <c r="L40" s="1062"/>
      <c r="M40" s="1062"/>
      <c r="N40" s="1936"/>
      <c r="O40" s="1937"/>
      <c r="P40" s="1937"/>
      <c r="Q40" s="1937"/>
      <c r="R40" s="1937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</row>
    <row r="41" spans="1:256" s="2" customFormat="1" ht="15" hidden="1" customHeight="1" x14ac:dyDescent="0.3">
      <c r="A41" s="1"/>
      <c r="B41" s="1935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1062">
        <v>263</v>
      </c>
      <c r="K41" s="1062"/>
      <c r="L41" s="1062">
        <v>263</v>
      </c>
      <c r="M41" s="1062">
        <v>263</v>
      </c>
      <c r="N41" s="1936">
        <v>263</v>
      </c>
      <c r="O41" s="1937">
        <v>263</v>
      </c>
      <c r="P41" s="1937">
        <v>263</v>
      </c>
      <c r="Q41" s="1937">
        <v>263</v>
      </c>
      <c r="R41" s="1937">
        <v>263</v>
      </c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spans="1:256" s="2" customFormat="1" ht="67.5" hidden="1" customHeight="1" x14ac:dyDescent="0.25">
      <c r="A42" s="1"/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1058">
        <f>J43</f>
        <v>130.1</v>
      </c>
      <c r="K42" s="1058"/>
      <c r="L42" s="1058">
        <f t="shared" ref="L42:R42" si="10">L43</f>
        <v>130.1</v>
      </c>
      <c r="M42" s="1058">
        <f t="shared" si="10"/>
        <v>130.1</v>
      </c>
      <c r="N42" s="1933">
        <f t="shared" si="10"/>
        <v>130.1</v>
      </c>
      <c r="O42" s="1934">
        <f t="shared" si="10"/>
        <v>130.1</v>
      </c>
      <c r="P42" s="1934">
        <f t="shared" si="10"/>
        <v>130.1</v>
      </c>
      <c r="Q42" s="1934">
        <f t="shared" si="10"/>
        <v>130.1</v>
      </c>
      <c r="R42" s="1934">
        <f t="shared" si="10"/>
        <v>130.1</v>
      </c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spans="1:256" s="2" customFormat="1" ht="15" hidden="1" customHeight="1" x14ac:dyDescent="0.3">
      <c r="A43" s="1"/>
      <c r="B43" s="1935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1062">
        <v>130.1</v>
      </c>
      <c r="K43" s="1062"/>
      <c r="L43" s="1062">
        <v>130.1</v>
      </c>
      <c r="M43" s="1062">
        <v>130.1</v>
      </c>
      <c r="N43" s="1936">
        <v>130.1</v>
      </c>
      <c r="O43" s="1937">
        <v>130.1</v>
      </c>
      <c r="P43" s="1937">
        <v>130.1</v>
      </c>
      <c r="Q43" s="1937">
        <v>130.1</v>
      </c>
      <c r="R43" s="1937">
        <v>130.1</v>
      </c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spans="1:256" s="2" customFormat="1" ht="60.65" hidden="1" customHeight="1" x14ac:dyDescent="0.25">
      <c r="A44" s="1"/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1062"/>
      <c r="K44" s="1062"/>
      <c r="L44" s="1062"/>
      <c r="M44" s="1062"/>
      <c r="N44" s="1936"/>
      <c r="O44" s="1937"/>
      <c r="P44" s="1937"/>
      <c r="Q44" s="1937"/>
      <c r="R44" s="1937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spans="1:256" s="2" customFormat="1" ht="52.5" hidden="1" thickBot="1" x14ac:dyDescent="0.3">
      <c r="A45" s="1"/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1058">
        <f>J46+J47</f>
        <v>546.70000000000005</v>
      </c>
      <c r="K45" s="1058"/>
      <c r="L45" s="1058">
        <f t="shared" ref="L45:R45" si="11">L46+L47</f>
        <v>546.70000000000005</v>
      </c>
      <c r="M45" s="1058">
        <f t="shared" si="11"/>
        <v>546.70000000000005</v>
      </c>
      <c r="N45" s="1933">
        <f t="shared" si="11"/>
        <v>546.70000000000005</v>
      </c>
      <c r="O45" s="1934">
        <f t="shared" si="11"/>
        <v>546.70000000000005</v>
      </c>
      <c r="P45" s="1934">
        <f t="shared" si="11"/>
        <v>546.70000000000005</v>
      </c>
      <c r="Q45" s="1934">
        <f t="shared" si="11"/>
        <v>546.70000000000005</v>
      </c>
      <c r="R45" s="1934">
        <f t="shared" si="11"/>
        <v>546.70000000000005</v>
      </c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spans="1:256" s="2" customFormat="1" ht="13.5" hidden="1" thickBot="1" x14ac:dyDescent="0.35">
      <c r="A46" s="1"/>
      <c r="B46" s="744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1062">
        <f>546.7-45.2</f>
        <v>501.50000000000006</v>
      </c>
      <c r="K46" s="1062"/>
      <c r="L46" s="1062">
        <f t="shared" ref="L46:R46" si="12">546.7-45.2</f>
        <v>501.50000000000006</v>
      </c>
      <c r="M46" s="1062">
        <f t="shared" si="12"/>
        <v>501.50000000000006</v>
      </c>
      <c r="N46" s="1936">
        <f t="shared" si="12"/>
        <v>501.50000000000006</v>
      </c>
      <c r="O46" s="1937">
        <f t="shared" si="12"/>
        <v>501.50000000000006</v>
      </c>
      <c r="P46" s="1937">
        <f t="shared" si="12"/>
        <v>501.50000000000006</v>
      </c>
      <c r="Q46" s="1937">
        <f t="shared" si="12"/>
        <v>501.50000000000006</v>
      </c>
      <c r="R46" s="1937">
        <f t="shared" si="12"/>
        <v>501.50000000000006</v>
      </c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spans="1:256" s="2" customFormat="1" ht="13.5" hidden="1" thickBot="1" x14ac:dyDescent="0.35">
      <c r="A47" s="1"/>
      <c r="B47" s="1935" t="s">
        <v>16</v>
      </c>
      <c r="C47" s="88"/>
      <c r="D47" s="88"/>
      <c r="E47" s="88"/>
      <c r="F47" s="9"/>
      <c r="G47" s="9" t="s">
        <v>1</v>
      </c>
      <c r="H47" s="9"/>
      <c r="I47" s="88"/>
      <c r="J47" s="1062">
        <v>45.2</v>
      </c>
      <c r="K47" s="1062"/>
      <c r="L47" s="1062">
        <v>45.2</v>
      </c>
      <c r="M47" s="1062">
        <v>45.2</v>
      </c>
      <c r="N47" s="1936">
        <v>45.2</v>
      </c>
      <c r="O47" s="1937">
        <v>45.2</v>
      </c>
      <c r="P47" s="1937">
        <v>45.2</v>
      </c>
      <c r="Q47" s="1937">
        <v>45.2</v>
      </c>
      <c r="R47" s="1937">
        <v>45.2</v>
      </c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spans="1:256" s="2" customFormat="1" ht="42" hidden="1" customHeight="1" x14ac:dyDescent="0.25">
      <c r="A48" s="1"/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1065">
        <f>J49</f>
        <v>99.305000000000007</v>
      </c>
      <c r="K48" s="1065"/>
      <c r="L48" s="1065">
        <f t="shared" ref="L48:R50" si="13">L49</f>
        <v>99.305000000000007</v>
      </c>
      <c r="M48" s="1065">
        <f t="shared" si="13"/>
        <v>99.305000000000007</v>
      </c>
      <c r="N48" s="1938">
        <f t="shared" si="13"/>
        <v>99.305000000000007</v>
      </c>
      <c r="O48" s="1939">
        <f t="shared" si="13"/>
        <v>99.305000000000007</v>
      </c>
      <c r="P48" s="1939">
        <f t="shared" si="13"/>
        <v>99.305000000000007</v>
      </c>
      <c r="Q48" s="1939">
        <f t="shared" si="13"/>
        <v>99.305000000000007</v>
      </c>
      <c r="R48" s="1939">
        <f t="shared" si="13"/>
        <v>99.305000000000007</v>
      </c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spans="1:256" ht="39.5" hidden="1" thickBot="1" x14ac:dyDescent="0.3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1065">
        <f>J50</f>
        <v>99.305000000000007</v>
      </c>
      <c r="K49" s="1065"/>
      <c r="L49" s="1065">
        <f t="shared" si="13"/>
        <v>99.305000000000007</v>
      </c>
      <c r="M49" s="1065">
        <f t="shared" si="13"/>
        <v>99.305000000000007</v>
      </c>
      <c r="N49" s="1938">
        <f t="shared" si="13"/>
        <v>99.305000000000007</v>
      </c>
      <c r="O49" s="1939">
        <f t="shared" si="13"/>
        <v>99.305000000000007</v>
      </c>
      <c r="P49" s="1939">
        <f t="shared" si="13"/>
        <v>99.305000000000007</v>
      </c>
      <c r="Q49" s="1939">
        <f t="shared" si="13"/>
        <v>99.305000000000007</v>
      </c>
      <c r="R49" s="1939">
        <f t="shared" si="13"/>
        <v>99.305000000000007</v>
      </c>
    </row>
    <row r="50" spans="1:256" ht="45.75" hidden="1" customHeight="1" x14ac:dyDescent="0.25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1062">
        <f>J51</f>
        <v>99.305000000000007</v>
      </c>
      <c r="K50" s="1062"/>
      <c r="L50" s="1062">
        <f t="shared" si="13"/>
        <v>99.305000000000007</v>
      </c>
      <c r="M50" s="1062">
        <f t="shared" si="13"/>
        <v>99.305000000000007</v>
      </c>
      <c r="N50" s="1936">
        <f t="shared" si="13"/>
        <v>99.305000000000007</v>
      </c>
      <c r="O50" s="1937">
        <f t="shared" si="13"/>
        <v>99.305000000000007</v>
      </c>
      <c r="P50" s="1937">
        <f t="shared" si="13"/>
        <v>99.305000000000007</v>
      </c>
      <c r="Q50" s="1937">
        <f t="shared" si="13"/>
        <v>99.305000000000007</v>
      </c>
      <c r="R50" s="1937">
        <f t="shared" si="13"/>
        <v>99.305000000000007</v>
      </c>
    </row>
    <row r="51" spans="1:256" ht="13.9" hidden="1" customHeight="1" x14ac:dyDescent="0.3">
      <c r="B51" s="1935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1062">
        <v>99.305000000000007</v>
      </c>
      <c r="K51" s="1062"/>
      <c r="L51" s="1062">
        <v>99.305000000000007</v>
      </c>
      <c r="M51" s="1062">
        <v>99.305000000000007</v>
      </c>
      <c r="N51" s="1936">
        <v>99.305000000000007</v>
      </c>
      <c r="O51" s="1937">
        <v>99.305000000000007</v>
      </c>
      <c r="P51" s="1937">
        <v>99.305000000000007</v>
      </c>
      <c r="Q51" s="1937">
        <v>99.305000000000007</v>
      </c>
      <c r="R51" s="1937">
        <v>99.305000000000007</v>
      </c>
    </row>
    <row r="52" spans="1:256" ht="14.5" hidden="1" thickBot="1" x14ac:dyDescent="0.3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1062"/>
      <c r="K52" s="1062"/>
      <c r="L52" s="1062"/>
      <c r="M52" s="1062"/>
      <c r="N52" s="1936"/>
      <c r="O52" s="1937"/>
      <c r="P52" s="1937"/>
      <c r="Q52" s="1937"/>
      <c r="R52" s="1937"/>
    </row>
    <row r="53" spans="1:256" ht="39.5" hidden="1" thickBot="1" x14ac:dyDescent="0.3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1062"/>
      <c r="K53" s="1062"/>
      <c r="L53" s="1062"/>
      <c r="M53" s="1062"/>
      <c r="N53" s="1936"/>
      <c r="O53" s="1937"/>
      <c r="P53" s="1937"/>
      <c r="Q53" s="1937"/>
      <c r="R53" s="1937"/>
    </row>
    <row r="54" spans="1:256" ht="26.5" hidden="1" thickBot="1" x14ac:dyDescent="0.3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1062"/>
      <c r="K54" s="1062"/>
      <c r="L54" s="1062"/>
      <c r="M54" s="1062"/>
      <c r="N54" s="1936"/>
      <c r="O54" s="1937"/>
      <c r="P54" s="1937"/>
      <c r="Q54" s="1937"/>
      <c r="R54" s="1937"/>
    </row>
    <row r="55" spans="1:256" ht="13.5" hidden="1" thickBot="1" x14ac:dyDescent="0.3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1064">
        <f>J56</f>
        <v>2000</v>
      </c>
      <c r="K55" s="1064"/>
      <c r="L55" s="1064">
        <f t="shared" ref="L55:R57" si="14">L56</f>
        <v>2000</v>
      </c>
      <c r="M55" s="1064">
        <f t="shared" si="14"/>
        <v>2000</v>
      </c>
      <c r="N55" s="1938">
        <f t="shared" si="14"/>
        <v>2000</v>
      </c>
      <c r="O55" s="1939">
        <f t="shared" si="14"/>
        <v>2000</v>
      </c>
      <c r="P55" s="1939">
        <f t="shared" si="14"/>
        <v>2000</v>
      </c>
      <c r="Q55" s="1939">
        <f t="shared" si="14"/>
        <v>2000</v>
      </c>
      <c r="R55" s="1939">
        <f t="shared" si="14"/>
        <v>2000</v>
      </c>
    </row>
    <row r="56" spans="1:256" s="83" customFormat="1" ht="39.5" hidden="1" thickBot="1" x14ac:dyDescent="0.35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1061">
        <f>J57</f>
        <v>2000</v>
      </c>
      <c r="K56" s="1061"/>
      <c r="L56" s="1061">
        <f t="shared" si="14"/>
        <v>2000</v>
      </c>
      <c r="M56" s="1061">
        <f t="shared" si="14"/>
        <v>2000</v>
      </c>
      <c r="N56" s="1940">
        <f t="shared" si="14"/>
        <v>2000</v>
      </c>
      <c r="O56" s="1941">
        <f t="shared" si="14"/>
        <v>2000</v>
      </c>
      <c r="P56" s="1941">
        <f t="shared" si="14"/>
        <v>2000</v>
      </c>
      <c r="Q56" s="1941">
        <f t="shared" si="14"/>
        <v>2000</v>
      </c>
      <c r="R56" s="1941">
        <f t="shared" si="14"/>
        <v>2000</v>
      </c>
      <c r="S56" s="84"/>
      <c r="T56" s="84"/>
      <c r="U56" s="84"/>
      <c r="V56" s="84"/>
      <c r="W56" s="84"/>
      <c r="X56" s="84"/>
    </row>
    <row r="57" spans="1:256" ht="26.5" hidden="1" thickBot="1" x14ac:dyDescent="0.3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1061">
        <f>J58</f>
        <v>2000</v>
      </c>
      <c r="K57" s="1061"/>
      <c r="L57" s="1061">
        <f t="shared" si="14"/>
        <v>2000</v>
      </c>
      <c r="M57" s="1061">
        <f t="shared" si="14"/>
        <v>2000</v>
      </c>
      <c r="N57" s="1940">
        <f t="shared" si="14"/>
        <v>2000</v>
      </c>
      <c r="O57" s="1941">
        <f t="shared" si="14"/>
        <v>2000</v>
      </c>
      <c r="P57" s="1941">
        <f t="shared" si="14"/>
        <v>2000</v>
      </c>
      <c r="Q57" s="1941">
        <f t="shared" si="14"/>
        <v>2000</v>
      </c>
      <c r="R57" s="1941">
        <f t="shared" si="14"/>
        <v>2000</v>
      </c>
    </row>
    <row r="58" spans="1:256" ht="13.5" hidden="1" thickBot="1" x14ac:dyDescent="0.35">
      <c r="B58" s="1935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1061">
        <v>2000</v>
      </c>
      <c r="K58" s="1061"/>
      <c r="L58" s="1061">
        <v>2000</v>
      </c>
      <c r="M58" s="1061">
        <v>2000</v>
      </c>
      <c r="N58" s="1940">
        <v>2000</v>
      </c>
      <c r="O58" s="1941">
        <v>2000</v>
      </c>
      <c r="P58" s="1941">
        <v>2000</v>
      </c>
      <c r="Q58" s="1941">
        <v>2000</v>
      </c>
      <c r="R58" s="1941">
        <v>2000</v>
      </c>
    </row>
    <row r="59" spans="1:256" s="2" customFormat="1" ht="13.5" hidden="1" thickBot="1" x14ac:dyDescent="0.3">
      <c r="A59" s="1"/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1058">
        <f>J60</f>
        <v>108</v>
      </c>
      <c r="K59" s="1058"/>
      <c r="L59" s="1058">
        <f t="shared" ref="L59:R60" si="15">L60</f>
        <v>108</v>
      </c>
      <c r="M59" s="1058">
        <f t="shared" si="15"/>
        <v>108</v>
      </c>
      <c r="N59" s="1933">
        <f t="shared" si="15"/>
        <v>108</v>
      </c>
      <c r="O59" s="1934">
        <f t="shared" si="15"/>
        <v>108</v>
      </c>
      <c r="P59" s="1934">
        <f t="shared" si="15"/>
        <v>108</v>
      </c>
      <c r="Q59" s="1934">
        <f t="shared" si="15"/>
        <v>108</v>
      </c>
      <c r="R59" s="1934">
        <f t="shared" si="15"/>
        <v>108</v>
      </c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spans="1:256" s="2" customFormat="1" ht="26.5" hidden="1" thickBot="1" x14ac:dyDescent="0.3">
      <c r="A60" s="1"/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1065">
        <f>J61</f>
        <v>108</v>
      </c>
      <c r="K60" s="1065"/>
      <c r="L60" s="1065">
        <f t="shared" si="15"/>
        <v>108</v>
      </c>
      <c r="M60" s="1065">
        <f t="shared" si="15"/>
        <v>108</v>
      </c>
      <c r="N60" s="1938">
        <f t="shared" si="15"/>
        <v>108</v>
      </c>
      <c r="O60" s="1939">
        <f t="shared" si="15"/>
        <v>108</v>
      </c>
      <c r="P60" s="1939">
        <f t="shared" si="15"/>
        <v>108</v>
      </c>
      <c r="Q60" s="1939">
        <f t="shared" si="15"/>
        <v>108</v>
      </c>
      <c r="R60" s="1939">
        <f t="shared" si="15"/>
        <v>108</v>
      </c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spans="1:256" s="2" customFormat="1" ht="13.5" hidden="1" thickBot="1" x14ac:dyDescent="0.3">
      <c r="A61" s="1"/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1063">
        <f>J62+J63</f>
        <v>108</v>
      </c>
      <c r="K61" s="1063"/>
      <c r="L61" s="1063">
        <f t="shared" ref="L61:R61" si="16">L62+L63</f>
        <v>108</v>
      </c>
      <c r="M61" s="1063">
        <f t="shared" si="16"/>
        <v>108</v>
      </c>
      <c r="N61" s="1940">
        <f t="shared" si="16"/>
        <v>108</v>
      </c>
      <c r="O61" s="1941">
        <f t="shared" si="16"/>
        <v>108</v>
      </c>
      <c r="P61" s="1941">
        <f t="shared" si="16"/>
        <v>108</v>
      </c>
      <c r="Q61" s="1941">
        <f t="shared" si="16"/>
        <v>108</v>
      </c>
      <c r="R61" s="1941">
        <f t="shared" si="16"/>
        <v>108</v>
      </c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spans="1:256" s="2" customFormat="1" ht="13.5" hidden="1" thickBot="1" x14ac:dyDescent="0.35">
      <c r="A62" s="1"/>
      <c r="B62" s="1935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1063">
        <v>105</v>
      </c>
      <c r="K62" s="1063"/>
      <c r="L62" s="1063">
        <v>105</v>
      </c>
      <c r="M62" s="1063">
        <v>105</v>
      </c>
      <c r="N62" s="1940">
        <v>105</v>
      </c>
      <c r="O62" s="1941">
        <v>105</v>
      </c>
      <c r="P62" s="1941">
        <v>105</v>
      </c>
      <c r="Q62" s="1941">
        <v>105</v>
      </c>
      <c r="R62" s="1941">
        <v>105</v>
      </c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spans="1:256" s="2" customFormat="1" ht="13.5" hidden="1" thickBot="1" x14ac:dyDescent="0.35">
      <c r="A63" s="1"/>
      <c r="B63" s="1935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1063">
        <v>3</v>
      </c>
      <c r="K63" s="1063"/>
      <c r="L63" s="1063">
        <v>3</v>
      </c>
      <c r="M63" s="1063">
        <v>3</v>
      </c>
      <c r="N63" s="1940">
        <v>3</v>
      </c>
      <c r="O63" s="1941">
        <v>3</v>
      </c>
      <c r="P63" s="1941">
        <v>3</v>
      </c>
      <c r="Q63" s="1941">
        <v>3</v>
      </c>
      <c r="R63" s="1941">
        <v>3</v>
      </c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spans="1:256" s="2" customFormat="1" ht="14.5" hidden="1" thickBot="1" x14ac:dyDescent="0.3">
      <c r="A64" s="1"/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1067">
        <f>J65</f>
        <v>605.88300000000004</v>
      </c>
      <c r="K64" s="1067"/>
      <c r="L64" s="1067">
        <f t="shared" ref="L64:R65" si="17">L65</f>
        <v>605.88300000000004</v>
      </c>
      <c r="M64" s="1067">
        <f t="shared" si="17"/>
        <v>605.88300000000004</v>
      </c>
      <c r="N64" s="1942">
        <f t="shared" si="17"/>
        <v>605.88300000000004</v>
      </c>
      <c r="O64" s="1943">
        <f t="shared" si="17"/>
        <v>605.88300000000004</v>
      </c>
      <c r="P64" s="1943">
        <f t="shared" si="17"/>
        <v>605.88300000000004</v>
      </c>
      <c r="Q64" s="1943">
        <f t="shared" si="17"/>
        <v>605.88300000000004</v>
      </c>
      <c r="R64" s="1943">
        <f t="shared" si="17"/>
        <v>605.88300000000004</v>
      </c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spans="1:256" s="2" customFormat="1" ht="13.5" hidden="1" thickBot="1" x14ac:dyDescent="0.3">
      <c r="A65" s="1"/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1063">
        <f>J66</f>
        <v>605.88300000000004</v>
      </c>
      <c r="K65" s="1063"/>
      <c r="L65" s="1063">
        <f t="shared" si="17"/>
        <v>605.88300000000004</v>
      </c>
      <c r="M65" s="1063">
        <f t="shared" si="17"/>
        <v>605.88300000000004</v>
      </c>
      <c r="N65" s="1940">
        <f t="shared" si="17"/>
        <v>605.88300000000004</v>
      </c>
      <c r="O65" s="1941">
        <f t="shared" si="17"/>
        <v>605.88300000000004</v>
      </c>
      <c r="P65" s="1941">
        <f t="shared" si="17"/>
        <v>605.88300000000004</v>
      </c>
      <c r="Q65" s="1941">
        <f t="shared" si="17"/>
        <v>605.88300000000004</v>
      </c>
      <c r="R65" s="1941">
        <f t="shared" si="17"/>
        <v>605.88300000000004</v>
      </c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 s="2" customFormat="1" ht="26.5" hidden="1" thickBot="1" x14ac:dyDescent="0.3">
      <c r="A66" s="1"/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1063">
        <f>J67+J68</f>
        <v>605.88300000000004</v>
      </c>
      <c r="K66" s="1063"/>
      <c r="L66" s="1063">
        <f t="shared" ref="L66:R66" si="18">L67+L68</f>
        <v>605.88300000000004</v>
      </c>
      <c r="M66" s="1063">
        <f t="shared" si="18"/>
        <v>605.88300000000004</v>
      </c>
      <c r="N66" s="1940">
        <f t="shared" si="18"/>
        <v>605.88300000000004</v>
      </c>
      <c r="O66" s="1941">
        <f t="shared" si="18"/>
        <v>605.88300000000004</v>
      </c>
      <c r="P66" s="1941">
        <f t="shared" si="18"/>
        <v>605.88300000000004</v>
      </c>
      <c r="Q66" s="1941">
        <f t="shared" si="18"/>
        <v>605.88300000000004</v>
      </c>
      <c r="R66" s="1941">
        <f t="shared" si="18"/>
        <v>605.88300000000004</v>
      </c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 s="2" customFormat="1" ht="13.5" hidden="1" thickBot="1" x14ac:dyDescent="0.35">
      <c r="A67" s="1"/>
      <c r="B67" s="744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1063">
        <v>555.32000000000005</v>
      </c>
      <c r="K67" s="1063"/>
      <c r="L67" s="1063">
        <v>555.32000000000005</v>
      </c>
      <c r="M67" s="1063">
        <v>555.32000000000005</v>
      </c>
      <c r="N67" s="1940">
        <v>555.32000000000005</v>
      </c>
      <c r="O67" s="1941">
        <v>555.32000000000005</v>
      </c>
      <c r="P67" s="1941">
        <v>555.32000000000005</v>
      </c>
      <c r="Q67" s="1941">
        <v>555.32000000000005</v>
      </c>
      <c r="R67" s="1941">
        <v>555.32000000000005</v>
      </c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 s="2" customFormat="1" ht="13.5" hidden="1" thickBot="1" x14ac:dyDescent="0.35">
      <c r="A68" s="1"/>
      <c r="B68" s="1935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1063">
        <v>50.563000000000002</v>
      </c>
      <c r="K68" s="1063"/>
      <c r="L68" s="1063">
        <v>50.563000000000002</v>
      </c>
      <c r="M68" s="1063">
        <v>50.563000000000002</v>
      </c>
      <c r="N68" s="1940">
        <v>50.563000000000002</v>
      </c>
      <c r="O68" s="1941">
        <v>50.563000000000002</v>
      </c>
      <c r="P68" s="1941">
        <v>50.563000000000002</v>
      </c>
      <c r="Q68" s="1941">
        <v>50.563000000000002</v>
      </c>
      <c r="R68" s="1941">
        <v>50.563000000000002</v>
      </c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2" customFormat="1" ht="32.25" hidden="1" customHeight="1" x14ac:dyDescent="0.25">
      <c r="A69" s="1"/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1068">
        <f>J70</f>
        <v>1397</v>
      </c>
      <c r="K69" s="1068"/>
      <c r="L69" s="1068">
        <f t="shared" ref="L69:R70" si="19">L70</f>
        <v>1182</v>
      </c>
      <c r="M69" s="1068">
        <f t="shared" si="19"/>
        <v>1022</v>
      </c>
      <c r="N69" s="1942">
        <f t="shared" si="19"/>
        <v>1397</v>
      </c>
      <c r="O69" s="1943">
        <f t="shared" si="19"/>
        <v>1397</v>
      </c>
      <c r="P69" s="1943">
        <f t="shared" si="19"/>
        <v>1397</v>
      </c>
      <c r="Q69" s="1943">
        <f t="shared" si="19"/>
        <v>1397</v>
      </c>
      <c r="R69" s="1943">
        <f t="shared" si="19"/>
        <v>1397</v>
      </c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 s="2" customFormat="1" ht="26.5" hidden="1" thickBot="1" x14ac:dyDescent="0.3">
      <c r="A70" s="1"/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1061">
        <f>J71</f>
        <v>1397</v>
      </c>
      <c r="K70" s="1061"/>
      <c r="L70" s="1061">
        <f t="shared" si="19"/>
        <v>1182</v>
      </c>
      <c r="M70" s="1061">
        <f t="shared" si="19"/>
        <v>1022</v>
      </c>
      <c r="N70" s="1940">
        <f t="shared" si="19"/>
        <v>1397</v>
      </c>
      <c r="O70" s="1941">
        <f t="shared" si="19"/>
        <v>1397</v>
      </c>
      <c r="P70" s="1941">
        <f t="shared" si="19"/>
        <v>1397</v>
      </c>
      <c r="Q70" s="1941">
        <f t="shared" si="19"/>
        <v>1397</v>
      </c>
      <c r="R70" s="1941">
        <f t="shared" si="19"/>
        <v>1397</v>
      </c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2" customFormat="1" ht="39.65" hidden="1" customHeight="1" x14ac:dyDescent="0.25">
      <c r="A71" s="1"/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 t="shared" ref="L71:R71" si="20">L72+L77</f>
        <v>1182</v>
      </c>
      <c r="M71" s="51">
        <f t="shared" si="20"/>
        <v>1022</v>
      </c>
      <c r="N71" s="1938">
        <f t="shared" si="20"/>
        <v>1397</v>
      </c>
      <c r="O71" s="1944">
        <f t="shared" si="20"/>
        <v>1397</v>
      </c>
      <c r="P71" s="1944">
        <f t="shared" si="20"/>
        <v>1397</v>
      </c>
      <c r="Q71" s="1945">
        <f t="shared" si="20"/>
        <v>1397</v>
      </c>
      <c r="R71" s="1945">
        <f t="shared" si="20"/>
        <v>1397</v>
      </c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 s="2" customFormat="1" ht="91.5" hidden="1" thickBot="1" x14ac:dyDescent="0.3">
      <c r="A72" s="1"/>
      <c r="B72" s="157" t="s">
        <v>746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1063">
        <f>J73+J75</f>
        <v>711</v>
      </c>
      <c r="K72" s="1063"/>
      <c r="L72" s="1063">
        <f t="shared" ref="L72:R72" si="21">L73+L75</f>
        <v>496</v>
      </c>
      <c r="M72" s="1063">
        <f t="shared" si="21"/>
        <v>336</v>
      </c>
      <c r="N72" s="1940">
        <f t="shared" si="21"/>
        <v>711</v>
      </c>
      <c r="O72" s="1941">
        <f t="shared" si="21"/>
        <v>711</v>
      </c>
      <c r="P72" s="1941">
        <f t="shared" si="21"/>
        <v>711</v>
      </c>
      <c r="Q72" s="1941">
        <f t="shared" si="21"/>
        <v>711</v>
      </c>
      <c r="R72" s="1941">
        <f t="shared" si="21"/>
        <v>711</v>
      </c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 s="2" customFormat="1" ht="91.5" hidden="1" thickBot="1" x14ac:dyDescent="0.3">
      <c r="A73" s="1"/>
      <c r="B73" s="49" t="s">
        <v>747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1063">
        <f>J74</f>
        <v>426</v>
      </c>
      <c r="K73" s="1063"/>
      <c r="L73" s="1063">
        <f t="shared" ref="L73:R73" si="22">L74</f>
        <v>296</v>
      </c>
      <c r="M73" s="1063">
        <f t="shared" si="22"/>
        <v>136</v>
      </c>
      <c r="N73" s="1940">
        <f t="shared" si="22"/>
        <v>426</v>
      </c>
      <c r="O73" s="1941">
        <f t="shared" si="22"/>
        <v>426</v>
      </c>
      <c r="P73" s="1941">
        <f t="shared" si="22"/>
        <v>426</v>
      </c>
      <c r="Q73" s="1941">
        <f t="shared" si="22"/>
        <v>426</v>
      </c>
      <c r="R73" s="1941">
        <f t="shared" si="22"/>
        <v>426</v>
      </c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 s="2" customFormat="1" ht="13.5" hidden="1" thickBot="1" x14ac:dyDescent="0.35">
      <c r="A74" s="1"/>
      <c r="B74" s="1935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1063">
        <v>426</v>
      </c>
      <c r="K74" s="1063"/>
      <c r="L74" s="1063">
        <v>296</v>
      </c>
      <c r="M74" s="1063">
        <v>136</v>
      </c>
      <c r="N74" s="1940">
        <v>426</v>
      </c>
      <c r="O74" s="1941">
        <v>426</v>
      </c>
      <c r="P74" s="1941">
        <v>426</v>
      </c>
      <c r="Q74" s="1941">
        <v>426</v>
      </c>
      <c r="R74" s="1941">
        <v>426</v>
      </c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 ht="78.5" hidden="1" thickBot="1" x14ac:dyDescent="0.3">
      <c r="B75" s="49" t="s">
        <v>748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1063">
        <f>J76</f>
        <v>285</v>
      </c>
      <c r="K75" s="1063"/>
      <c r="L75" s="1063">
        <f t="shared" ref="L75:R75" si="23">L76</f>
        <v>200</v>
      </c>
      <c r="M75" s="1063">
        <f t="shared" si="23"/>
        <v>200</v>
      </c>
      <c r="N75" s="1940">
        <f t="shared" si="23"/>
        <v>285</v>
      </c>
      <c r="O75" s="1941">
        <f t="shared" si="23"/>
        <v>285</v>
      </c>
      <c r="P75" s="1941">
        <f t="shared" si="23"/>
        <v>285</v>
      </c>
      <c r="Q75" s="1941">
        <f t="shared" si="23"/>
        <v>285</v>
      </c>
      <c r="R75" s="1941">
        <f t="shared" si="23"/>
        <v>285</v>
      </c>
    </row>
    <row r="76" spans="1:256" ht="13.5" hidden="1" thickBot="1" x14ac:dyDescent="0.35">
      <c r="B76" s="1935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1063">
        <v>285</v>
      </c>
      <c r="K76" s="1063"/>
      <c r="L76" s="1063">
        <v>200</v>
      </c>
      <c r="M76" s="1063">
        <v>200</v>
      </c>
      <c r="N76" s="1940">
        <v>285</v>
      </c>
      <c r="O76" s="1941">
        <v>285</v>
      </c>
      <c r="P76" s="1941">
        <v>285</v>
      </c>
      <c r="Q76" s="1941">
        <v>285</v>
      </c>
      <c r="R76" s="1941">
        <v>285</v>
      </c>
    </row>
    <row r="77" spans="1:256" ht="91.5" hidden="1" thickBot="1" x14ac:dyDescent="0.3">
      <c r="B77" s="157" t="s">
        <v>749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1065">
        <f>J78</f>
        <v>686</v>
      </c>
      <c r="K77" s="1065"/>
      <c r="L77" s="1065">
        <f t="shared" ref="L77:R77" si="24">L78</f>
        <v>686</v>
      </c>
      <c r="M77" s="1065">
        <f t="shared" si="24"/>
        <v>686</v>
      </c>
      <c r="N77" s="1938">
        <f t="shared" si="24"/>
        <v>686</v>
      </c>
      <c r="O77" s="1939">
        <f t="shared" si="24"/>
        <v>686</v>
      </c>
      <c r="P77" s="1939">
        <f t="shared" si="24"/>
        <v>686</v>
      </c>
      <c r="Q77" s="1939">
        <f t="shared" si="24"/>
        <v>686</v>
      </c>
      <c r="R77" s="1939">
        <f t="shared" si="24"/>
        <v>686</v>
      </c>
    </row>
    <row r="78" spans="1:256" ht="104.5" hidden="1" thickBot="1" x14ac:dyDescent="0.3">
      <c r="B78" s="49" t="s">
        <v>750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1063">
        <f>J80</f>
        <v>686</v>
      </c>
      <c r="K78" s="1063"/>
      <c r="L78" s="1063">
        <f t="shared" ref="L78:R78" si="25">L80</f>
        <v>686</v>
      </c>
      <c r="M78" s="1063">
        <f t="shared" si="25"/>
        <v>686</v>
      </c>
      <c r="N78" s="1940">
        <f t="shared" si="25"/>
        <v>686</v>
      </c>
      <c r="O78" s="1941">
        <f t="shared" si="25"/>
        <v>686</v>
      </c>
      <c r="P78" s="1941">
        <f t="shared" si="25"/>
        <v>686</v>
      </c>
      <c r="Q78" s="1941">
        <f t="shared" si="25"/>
        <v>686</v>
      </c>
      <c r="R78" s="1941">
        <f t="shared" si="25"/>
        <v>686</v>
      </c>
    </row>
    <row r="79" spans="1:256" ht="40.5" hidden="1" customHeight="1" x14ac:dyDescent="0.25"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1069"/>
      <c r="K79" s="1069"/>
      <c r="L79" s="1069"/>
      <c r="M79" s="1069"/>
      <c r="N79" s="1946"/>
      <c r="O79" s="1947"/>
      <c r="P79" s="1947"/>
      <c r="Q79" s="1947"/>
      <c r="R79" s="1947"/>
    </row>
    <row r="80" spans="1:256" ht="17.5" hidden="1" customHeight="1" x14ac:dyDescent="0.3">
      <c r="B80" s="1935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1063">
        <v>686</v>
      </c>
      <c r="K80" s="1069"/>
      <c r="L80" s="1063">
        <v>686</v>
      </c>
      <c r="M80" s="1063">
        <v>686</v>
      </c>
      <c r="N80" s="1940">
        <v>686</v>
      </c>
      <c r="O80" s="1941">
        <v>686</v>
      </c>
      <c r="P80" s="1941">
        <v>686</v>
      </c>
      <c r="Q80" s="1941">
        <v>686</v>
      </c>
      <c r="R80" s="1941">
        <v>686</v>
      </c>
    </row>
    <row r="81" spans="2:24" ht="44.25" hidden="1" customHeight="1" x14ac:dyDescent="0.25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938"/>
      <c r="O81" s="1944"/>
      <c r="P81" s="1944"/>
      <c r="Q81" s="1945"/>
      <c r="R81" s="1945"/>
    </row>
    <row r="82" spans="2:24" ht="39.5" hidden="1" thickBot="1" x14ac:dyDescent="0.3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1063"/>
      <c r="K82" s="1063"/>
      <c r="L82" s="1063"/>
      <c r="M82" s="1063"/>
      <c r="N82" s="1940"/>
      <c r="O82" s="1941"/>
      <c r="P82" s="1941"/>
      <c r="Q82" s="1941"/>
      <c r="R82" s="1941"/>
    </row>
    <row r="83" spans="2:24" s="83" customFormat="1" ht="14.5" hidden="1" thickBot="1" x14ac:dyDescent="0.35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1070">
        <f>J84+J93</f>
        <v>18097.09</v>
      </c>
      <c r="K83" s="1071"/>
      <c r="L83" s="1070">
        <f t="shared" ref="L83:R83" si="26">L84+L93</f>
        <v>11814.485000000001</v>
      </c>
      <c r="M83" s="1070">
        <f t="shared" si="26"/>
        <v>14413.347</v>
      </c>
      <c r="N83" s="1948">
        <f t="shared" si="26"/>
        <v>18097.09</v>
      </c>
      <c r="O83" s="1949">
        <f t="shared" si="26"/>
        <v>18097.09</v>
      </c>
      <c r="P83" s="1949">
        <f t="shared" si="26"/>
        <v>18097.09</v>
      </c>
      <c r="Q83" s="1949">
        <f t="shared" si="26"/>
        <v>18097.09</v>
      </c>
      <c r="R83" s="1949">
        <f t="shared" si="26"/>
        <v>18097.09</v>
      </c>
      <c r="S83" s="84"/>
      <c r="T83" s="84"/>
      <c r="U83" s="84"/>
      <c r="V83" s="84"/>
      <c r="W83" s="84"/>
      <c r="X83" s="84"/>
    </row>
    <row r="84" spans="2:24" s="83" customFormat="1" ht="13.5" hidden="1" thickBot="1" x14ac:dyDescent="0.35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1064">
        <f>J85</f>
        <v>17447.29</v>
      </c>
      <c r="K84" s="1063"/>
      <c r="L84" s="1064">
        <f t="shared" ref="L84:R84" si="27">L85</f>
        <v>11444.685000000001</v>
      </c>
      <c r="M84" s="1064">
        <f t="shared" si="27"/>
        <v>14038.547</v>
      </c>
      <c r="N84" s="1938">
        <f t="shared" si="27"/>
        <v>17447.29</v>
      </c>
      <c r="O84" s="1939">
        <f t="shared" si="27"/>
        <v>17447.29</v>
      </c>
      <c r="P84" s="1939">
        <f t="shared" si="27"/>
        <v>17447.29</v>
      </c>
      <c r="Q84" s="1939">
        <f t="shared" si="27"/>
        <v>17447.29</v>
      </c>
      <c r="R84" s="1939">
        <f t="shared" si="27"/>
        <v>17447.29</v>
      </c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3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 t="shared" ref="L85:R85" si="28">L86+L90</f>
        <v>11444.685000000001</v>
      </c>
      <c r="M85" s="51">
        <f t="shared" si="28"/>
        <v>14038.547</v>
      </c>
      <c r="N85" s="1938">
        <f t="shared" si="28"/>
        <v>17447.29</v>
      </c>
      <c r="O85" s="1944">
        <f t="shared" si="28"/>
        <v>17447.29</v>
      </c>
      <c r="P85" s="1944">
        <f t="shared" si="28"/>
        <v>17447.29</v>
      </c>
      <c r="Q85" s="1945">
        <f t="shared" si="28"/>
        <v>17447.29</v>
      </c>
      <c r="R85" s="1945">
        <f t="shared" si="28"/>
        <v>17447.29</v>
      </c>
      <c r="S85" s="84"/>
      <c r="T85" s="84"/>
      <c r="U85" s="84"/>
      <c r="V85" s="84"/>
      <c r="W85" s="84"/>
      <c r="X85" s="84"/>
    </row>
    <row r="86" spans="2:24" s="83" customFormat="1" ht="65.5" hidden="1" thickBot="1" x14ac:dyDescent="0.35">
      <c r="B86" s="157" t="s">
        <v>751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1064">
        <f>J87</f>
        <v>16806.29</v>
      </c>
      <c r="K86" s="1065"/>
      <c r="L86" s="1065">
        <f t="shared" ref="L86:R87" si="29">L87</f>
        <v>10777.685000000001</v>
      </c>
      <c r="M86" s="1064">
        <f t="shared" si="29"/>
        <v>13305.547</v>
      </c>
      <c r="N86" s="1938">
        <f t="shared" si="29"/>
        <v>16806.29</v>
      </c>
      <c r="O86" s="1939">
        <f t="shared" si="29"/>
        <v>16806.29</v>
      </c>
      <c r="P86" s="1939">
        <f t="shared" si="29"/>
        <v>16806.29</v>
      </c>
      <c r="Q86" s="1939">
        <f t="shared" si="29"/>
        <v>16806.29</v>
      </c>
      <c r="R86" s="1939">
        <f t="shared" si="29"/>
        <v>16806.29</v>
      </c>
      <c r="S86" s="84"/>
      <c r="T86" s="84"/>
      <c r="U86" s="84"/>
      <c r="V86" s="84"/>
      <c r="W86" s="84"/>
      <c r="X86" s="84"/>
    </row>
    <row r="87" spans="2:24" s="83" customFormat="1" ht="78.5" hidden="1" thickBot="1" x14ac:dyDescent="0.35">
      <c r="B87" s="90" t="s">
        <v>752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1061">
        <f>J88</f>
        <v>16806.29</v>
      </c>
      <c r="K87" s="1063"/>
      <c r="L87" s="1061">
        <f t="shared" si="29"/>
        <v>10777.685000000001</v>
      </c>
      <c r="M87" s="1061">
        <f t="shared" si="29"/>
        <v>13305.547</v>
      </c>
      <c r="N87" s="1940">
        <f t="shared" si="29"/>
        <v>16806.29</v>
      </c>
      <c r="O87" s="1941">
        <f t="shared" si="29"/>
        <v>16806.29</v>
      </c>
      <c r="P87" s="1941">
        <f t="shared" si="29"/>
        <v>16806.29</v>
      </c>
      <c r="Q87" s="1941">
        <f t="shared" si="29"/>
        <v>16806.29</v>
      </c>
      <c r="R87" s="1941">
        <f t="shared" si="29"/>
        <v>16806.29</v>
      </c>
      <c r="S87" s="84"/>
      <c r="T87" s="84"/>
      <c r="U87" s="84"/>
      <c r="V87" s="84"/>
      <c r="W87" s="84"/>
      <c r="X87" s="84"/>
    </row>
    <row r="88" spans="2:24" s="83" customFormat="1" ht="13.5" hidden="1" thickBot="1" x14ac:dyDescent="0.35">
      <c r="B88" s="1935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1061">
        <f>7156.753+13430-3780.463</f>
        <v>16806.29</v>
      </c>
      <c r="K88" s="1063"/>
      <c r="L88" s="1061">
        <f>22480.2-11702.515</f>
        <v>10777.685000000001</v>
      </c>
      <c r="M88" s="1061">
        <v>13305.547</v>
      </c>
      <c r="N88" s="1940">
        <f>7156.753+13430-3780.463</f>
        <v>16806.29</v>
      </c>
      <c r="O88" s="1941">
        <f>7156.753+13430-3780.463</f>
        <v>16806.29</v>
      </c>
      <c r="P88" s="1941">
        <f>7156.753+13430-3780.463</f>
        <v>16806.29</v>
      </c>
      <c r="Q88" s="1941">
        <f>7156.753+13430-3780.463</f>
        <v>16806.29</v>
      </c>
      <c r="R88" s="1941">
        <f>7156.753+13430-3780.463</f>
        <v>16806.29</v>
      </c>
      <c r="S88" s="84"/>
      <c r="T88" s="84"/>
      <c r="U88" s="84"/>
      <c r="V88" s="84"/>
      <c r="W88" s="84"/>
      <c r="X88" s="84"/>
    </row>
    <row r="89" spans="2:24" s="83" customFormat="1" ht="52.5" hidden="1" thickBot="1" x14ac:dyDescent="0.35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1063"/>
      <c r="K89" s="1063"/>
      <c r="L89" s="1063"/>
      <c r="M89" s="1063"/>
      <c r="N89" s="1940"/>
      <c r="O89" s="1941"/>
      <c r="P89" s="1941"/>
      <c r="Q89" s="1941"/>
      <c r="R89" s="1941"/>
      <c r="S89" s="84"/>
      <c r="T89" s="84"/>
      <c r="U89" s="84"/>
      <c r="V89" s="84"/>
      <c r="W89" s="84"/>
      <c r="X89" s="84"/>
    </row>
    <row r="90" spans="2:24" s="83" customFormat="1" ht="65.5" hidden="1" thickBot="1" x14ac:dyDescent="0.35">
      <c r="B90" s="157" t="s">
        <v>753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1065">
        <f>J91</f>
        <v>641</v>
      </c>
      <c r="K90" s="1065"/>
      <c r="L90" s="1065">
        <f t="shared" ref="L90:R91" si="30">L91</f>
        <v>667</v>
      </c>
      <c r="M90" s="1065">
        <f t="shared" si="30"/>
        <v>733</v>
      </c>
      <c r="N90" s="1938">
        <f t="shared" si="30"/>
        <v>641</v>
      </c>
      <c r="O90" s="1939">
        <f t="shared" si="30"/>
        <v>641</v>
      </c>
      <c r="P90" s="1939">
        <f t="shared" si="30"/>
        <v>641</v>
      </c>
      <c r="Q90" s="1939">
        <f t="shared" si="30"/>
        <v>641</v>
      </c>
      <c r="R90" s="1939">
        <f t="shared" si="30"/>
        <v>641</v>
      </c>
      <c r="S90" s="84"/>
      <c r="T90" s="84"/>
      <c r="U90" s="84"/>
      <c r="V90" s="84"/>
      <c r="W90" s="84"/>
      <c r="X90" s="84"/>
    </row>
    <row r="91" spans="2:24" s="83" customFormat="1" ht="78.5" hidden="1" thickBot="1" x14ac:dyDescent="0.35">
      <c r="B91" s="49" t="s">
        <v>754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1063">
        <f>J92</f>
        <v>641</v>
      </c>
      <c r="K91" s="1063"/>
      <c r="L91" s="1063">
        <f t="shared" si="30"/>
        <v>667</v>
      </c>
      <c r="M91" s="1063">
        <f t="shared" si="30"/>
        <v>733</v>
      </c>
      <c r="N91" s="1940">
        <f t="shared" si="30"/>
        <v>641</v>
      </c>
      <c r="O91" s="1941">
        <f t="shared" si="30"/>
        <v>641</v>
      </c>
      <c r="P91" s="1941">
        <f t="shared" si="30"/>
        <v>641</v>
      </c>
      <c r="Q91" s="1941">
        <f t="shared" si="30"/>
        <v>641</v>
      </c>
      <c r="R91" s="1941">
        <f t="shared" si="30"/>
        <v>641</v>
      </c>
      <c r="S91" s="84"/>
      <c r="T91" s="84"/>
      <c r="U91" s="84"/>
      <c r="V91" s="84"/>
      <c r="W91" s="84"/>
      <c r="X91" s="84"/>
    </row>
    <row r="92" spans="2:24" s="83" customFormat="1" ht="13.5" hidden="1" thickBot="1" x14ac:dyDescent="0.35">
      <c r="B92" s="1935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1063">
        <v>641</v>
      </c>
      <c r="K92" s="1063"/>
      <c r="L92" s="1063">
        <v>667</v>
      </c>
      <c r="M92" s="1063">
        <v>733</v>
      </c>
      <c r="N92" s="1940">
        <v>641</v>
      </c>
      <c r="O92" s="1941">
        <v>641</v>
      </c>
      <c r="P92" s="1941">
        <v>641</v>
      </c>
      <c r="Q92" s="1941">
        <v>641</v>
      </c>
      <c r="R92" s="1941">
        <v>641</v>
      </c>
      <c r="S92" s="84"/>
      <c r="T92" s="84"/>
      <c r="U92" s="84"/>
      <c r="V92" s="84"/>
      <c r="W92" s="84"/>
      <c r="X92" s="84"/>
    </row>
    <row r="93" spans="2:24" s="83" customFormat="1" ht="13.5" hidden="1" thickBot="1" x14ac:dyDescent="0.35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1072">
        <f>J94+J98</f>
        <v>649.79999999999995</v>
      </c>
      <c r="K93" s="1072"/>
      <c r="L93" s="1072">
        <f t="shared" ref="L93:R93" si="31">L94+L98</f>
        <v>369.8</v>
      </c>
      <c r="M93" s="1072">
        <f t="shared" si="31"/>
        <v>374.8</v>
      </c>
      <c r="N93" s="1938">
        <f t="shared" si="31"/>
        <v>649.79999999999995</v>
      </c>
      <c r="O93" s="1939">
        <f t="shared" si="31"/>
        <v>649.79999999999995</v>
      </c>
      <c r="P93" s="1939">
        <f t="shared" si="31"/>
        <v>649.79999999999995</v>
      </c>
      <c r="Q93" s="1939">
        <f t="shared" si="31"/>
        <v>649.79999999999995</v>
      </c>
      <c r="R93" s="1939">
        <f t="shared" si="31"/>
        <v>649.79999999999995</v>
      </c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3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 t="shared" ref="L94:R94" si="32">L96</f>
        <v>305</v>
      </c>
      <c r="M94" s="51">
        <f t="shared" si="32"/>
        <v>310</v>
      </c>
      <c r="N94" s="1938">
        <f t="shared" si="32"/>
        <v>300</v>
      </c>
      <c r="O94" s="1944">
        <f t="shared" si="32"/>
        <v>300</v>
      </c>
      <c r="P94" s="1944">
        <f t="shared" si="32"/>
        <v>300</v>
      </c>
      <c r="Q94" s="1945">
        <f t="shared" si="32"/>
        <v>300</v>
      </c>
      <c r="R94" s="1945">
        <f t="shared" si="32"/>
        <v>300</v>
      </c>
      <c r="S94" s="84"/>
      <c r="T94" s="84"/>
      <c r="U94" s="84"/>
      <c r="V94" s="84"/>
      <c r="W94" s="84"/>
      <c r="X94" s="84"/>
    </row>
    <row r="95" spans="2:24" s="83" customFormat="1" ht="78" hidden="1" customHeight="1" x14ac:dyDescent="0.3">
      <c r="B95" s="170" t="s">
        <v>755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1065"/>
      <c r="K95" s="1065"/>
      <c r="L95" s="1065"/>
      <c r="M95" s="1065"/>
      <c r="N95" s="1938"/>
      <c r="O95" s="1939"/>
      <c r="P95" s="1939"/>
      <c r="Q95" s="1939"/>
      <c r="R95" s="1939"/>
      <c r="S95" s="84"/>
      <c r="T95" s="84"/>
      <c r="U95" s="84"/>
      <c r="V95" s="84"/>
      <c r="W95" s="84"/>
      <c r="X95" s="84"/>
    </row>
    <row r="96" spans="2:24" s="83" customFormat="1" ht="112.5" hidden="1" thickBot="1" x14ac:dyDescent="0.35">
      <c r="B96" s="214" t="s">
        <v>756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1065">
        <f>J97</f>
        <v>300</v>
      </c>
      <c r="K96" s="1065"/>
      <c r="L96" s="1065">
        <f t="shared" ref="L96:R96" si="33">L97</f>
        <v>305</v>
      </c>
      <c r="M96" s="1065">
        <f t="shared" si="33"/>
        <v>310</v>
      </c>
      <c r="N96" s="1938">
        <f t="shared" si="33"/>
        <v>300</v>
      </c>
      <c r="O96" s="1939">
        <f t="shared" si="33"/>
        <v>300</v>
      </c>
      <c r="P96" s="1939">
        <f t="shared" si="33"/>
        <v>300</v>
      </c>
      <c r="Q96" s="1939">
        <f t="shared" si="33"/>
        <v>300</v>
      </c>
      <c r="R96" s="1939">
        <f t="shared" si="33"/>
        <v>300</v>
      </c>
      <c r="S96" s="84"/>
      <c r="T96" s="84"/>
      <c r="U96" s="84"/>
      <c r="V96" s="84"/>
      <c r="W96" s="84"/>
      <c r="X96" s="84"/>
    </row>
    <row r="97" spans="1:256" s="83" customFormat="1" ht="13.5" hidden="1" thickBot="1" x14ac:dyDescent="0.35">
      <c r="B97" s="1935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1063">
        <v>300</v>
      </c>
      <c r="K97" s="1065"/>
      <c r="L97" s="1063">
        <v>305</v>
      </c>
      <c r="M97" s="1063">
        <v>310</v>
      </c>
      <c r="N97" s="1940">
        <v>300</v>
      </c>
      <c r="O97" s="1941">
        <v>300</v>
      </c>
      <c r="P97" s="1941">
        <v>300</v>
      </c>
      <c r="Q97" s="1941">
        <v>300</v>
      </c>
      <c r="R97" s="1941">
        <v>300</v>
      </c>
      <c r="S97" s="84"/>
      <c r="T97" s="84"/>
      <c r="U97" s="84"/>
      <c r="V97" s="84"/>
      <c r="W97" s="84"/>
      <c r="X97" s="84"/>
    </row>
    <row r="98" spans="1:256" s="83" customFormat="1" ht="39.5" hidden="1" thickBot="1" x14ac:dyDescent="0.35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1065">
        <f>J99+J101+J103</f>
        <v>349.8</v>
      </c>
      <c r="K98" s="1065"/>
      <c r="L98" s="1065">
        <f t="shared" ref="L98:R98" si="34">L99+L101+L103</f>
        <v>64.8</v>
      </c>
      <c r="M98" s="1065">
        <f t="shared" si="34"/>
        <v>64.8</v>
      </c>
      <c r="N98" s="1938">
        <f t="shared" si="34"/>
        <v>349.8</v>
      </c>
      <c r="O98" s="1939">
        <f t="shared" si="34"/>
        <v>349.8</v>
      </c>
      <c r="P98" s="1939">
        <f t="shared" si="34"/>
        <v>349.8</v>
      </c>
      <c r="Q98" s="1939">
        <f t="shared" si="34"/>
        <v>349.8</v>
      </c>
      <c r="R98" s="1939">
        <f t="shared" si="34"/>
        <v>349.8</v>
      </c>
      <c r="S98" s="84"/>
      <c r="T98" s="84"/>
      <c r="U98" s="84"/>
      <c r="V98" s="84"/>
      <c r="W98" s="84"/>
      <c r="X98" s="84"/>
    </row>
    <row r="99" spans="1:256" s="83" customFormat="1" ht="13.5" hidden="1" thickBot="1" x14ac:dyDescent="0.35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1065">
        <f>J100</f>
        <v>195</v>
      </c>
      <c r="K99" s="1065"/>
      <c r="L99" s="1065">
        <f t="shared" ref="L99:R99" si="35">L100</f>
        <v>0</v>
      </c>
      <c r="M99" s="1065">
        <f t="shared" si="35"/>
        <v>0</v>
      </c>
      <c r="N99" s="1938">
        <f t="shared" si="35"/>
        <v>195</v>
      </c>
      <c r="O99" s="1939">
        <f t="shared" si="35"/>
        <v>195</v>
      </c>
      <c r="P99" s="1939">
        <f t="shared" si="35"/>
        <v>195</v>
      </c>
      <c r="Q99" s="1939">
        <f t="shared" si="35"/>
        <v>195</v>
      </c>
      <c r="R99" s="1939">
        <f t="shared" si="35"/>
        <v>195</v>
      </c>
      <c r="S99" s="84"/>
      <c r="T99" s="84"/>
      <c r="U99" s="84"/>
      <c r="V99" s="84"/>
      <c r="W99" s="84"/>
      <c r="X99" s="84"/>
    </row>
    <row r="100" spans="1:256" s="83" customFormat="1" ht="13.5" hidden="1" thickBot="1" x14ac:dyDescent="0.35">
      <c r="B100" s="1935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1063">
        <v>195</v>
      </c>
      <c r="K100" s="1063"/>
      <c r="L100" s="1063"/>
      <c r="M100" s="1063"/>
      <c r="N100" s="1940">
        <v>195</v>
      </c>
      <c r="O100" s="1941">
        <v>195</v>
      </c>
      <c r="P100" s="1941">
        <v>195</v>
      </c>
      <c r="Q100" s="1941">
        <v>195</v>
      </c>
      <c r="R100" s="1941">
        <v>195</v>
      </c>
      <c r="S100" s="84"/>
      <c r="T100" s="84"/>
      <c r="U100" s="84"/>
      <c r="V100" s="84"/>
      <c r="W100" s="84"/>
      <c r="X100" s="84"/>
    </row>
    <row r="101" spans="1:256" s="83" customFormat="1" ht="13.5" hidden="1" thickBot="1" x14ac:dyDescent="0.35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1065">
        <f>J102</f>
        <v>64.8</v>
      </c>
      <c r="K101" s="1065"/>
      <c r="L101" s="1065">
        <f t="shared" ref="L101:R101" si="36">L102</f>
        <v>64.8</v>
      </c>
      <c r="M101" s="1065">
        <f t="shared" si="36"/>
        <v>64.8</v>
      </c>
      <c r="N101" s="1938">
        <f t="shared" si="36"/>
        <v>64.8</v>
      </c>
      <c r="O101" s="1939">
        <f t="shared" si="36"/>
        <v>64.8</v>
      </c>
      <c r="P101" s="1939">
        <f t="shared" si="36"/>
        <v>64.8</v>
      </c>
      <c r="Q101" s="1939">
        <f t="shared" si="36"/>
        <v>64.8</v>
      </c>
      <c r="R101" s="1939">
        <f t="shared" si="36"/>
        <v>64.8</v>
      </c>
      <c r="S101" s="84"/>
      <c r="T101" s="84"/>
      <c r="U101" s="84"/>
      <c r="V101" s="84"/>
      <c r="W101" s="84"/>
      <c r="X101" s="84"/>
    </row>
    <row r="102" spans="1:256" s="83" customFormat="1" ht="13.5" hidden="1" thickBot="1" x14ac:dyDescent="0.35">
      <c r="B102" s="1935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1063">
        <v>64.8</v>
      </c>
      <c r="K102" s="1063"/>
      <c r="L102" s="1063">
        <v>64.8</v>
      </c>
      <c r="M102" s="1063">
        <v>64.8</v>
      </c>
      <c r="N102" s="1940">
        <v>64.8</v>
      </c>
      <c r="O102" s="1941">
        <v>64.8</v>
      </c>
      <c r="P102" s="1941">
        <v>64.8</v>
      </c>
      <c r="Q102" s="1941">
        <v>64.8</v>
      </c>
      <c r="R102" s="1941">
        <v>64.8</v>
      </c>
      <c r="S102" s="84"/>
      <c r="T102" s="84"/>
      <c r="U102" s="84"/>
      <c r="V102" s="84"/>
      <c r="W102" s="84"/>
      <c r="X102" s="84"/>
    </row>
    <row r="103" spans="1:256" s="83" customFormat="1" ht="13.5" hidden="1" thickBot="1" x14ac:dyDescent="0.35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1065">
        <f>J104</f>
        <v>90</v>
      </c>
      <c r="K103" s="1065"/>
      <c r="L103" s="1065">
        <f t="shared" ref="L103:R103" si="37">L104</f>
        <v>0</v>
      </c>
      <c r="M103" s="1065">
        <f t="shared" si="37"/>
        <v>0</v>
      </c>
      <c r="N103" s="1938">
        <f t="shared" si="37"/>
        <v>90</v>
      </c>
      <c r="O103" s="1939">
        <f t="shared" si="37"/>
        <v>90</v>
      </c>
      <c r="P103" s="1939">
        <f t="shared" si="37"/>
        <v>90</v>
      </c>
      <c r="Q103" s="1939">
        <f t="shared" si="37"/>
        <v>90</v>
      </c>
      <c r="R103" s="1939">
        <f t="shared" si="37"/>
        <v>90</v>
      </c>
      <c r="S103" s="84"/>
      <c r="T103" s="84"/>
      <c r="U103" s="84"/>
      <c r="V103" s="84"/>
      <c r="W103" s="84"/>
      <c r="X103" s="84"/>
    </row>
    <row r="104" spans="1:256" s="83" customFormat="1" ht="13.5" hidden="1" thickBot="1" x14ac:dyDescent="0.35">
      <c r="B104" s="1935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1063">
        <v>90</v>
      </c>
      <c r="K104" s="1065"/>
      <c r="L104" s="1065"/>
      <c r="M104" s="1065"/>
      <c r="N104" s="1940">
        <v>90</v>
      </c>
      <c r="O104" s="1941">
        <v>90</v>
      </c>
      <c r="P104" s="1941">
        <v>90</v>
      </c>
      <c r="Q104" s="1941">
        <v>90</v>
      </c>
      <c r="R104" s="1941">
        <v>90</v>
      </c>
      <c r="S104" s="84"/>
      <c r="T104" s="84"/>
      <c r="U104" s="84"/>
      <c r="V104" s="84"/>
      <c r="W104" s="84"/>
      <c r="X104" s="84"/>
    </row>
    <row r="105" spans="1:256" s="83" customFormat="1" ht="14.5" hidden="1" thickBot="1" x14ac:dyDescent="0.35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1073">
        <f>J106+J117+J130+J139</f>
        <v>22021.318999999996</v>
      </c>
      <c r="K105" s="1067"/>
      <c r="L105" s="1073">
        <f t="shared" ref="L105:R105" si="38">L106+L117+L130+L139</f>
        <v>27710.55</v>
      </c>
      <c r="M105" s="1073">
        <f t="shared" si="38"/>
        <v>26064.505000000001</v>
      </c>
      <c r="N105" s="1942">
        <f t="shared" si="38"/>
        <v>22021.318999999996</v>
      </c>
      <c r="O105" s="1943">
        <f t="shared" si="38"/>
        <v>22021.318999999996</v>
      </c>
      <c r="P105" s="1943">
        <f t="shared" si="38"/>
        <v>22021.318999999996</v>
      </c>
      <c r="Q105" s="1943">
        <f t="shared" si="38"/>
        <v>22021.318999999996</v>
      </c>
      <c r="R105" s="1943">
        <f t="shared" si="38"/>
        <v>22021.318999999996</v>
      </c>
      <c r="S105" s="84"/>
      <c r="T105" s="84"/>
      <c r="U105" s="84"/>
      <c r="V105" s="84"/>
      <c r="W105" s="84"/>
      <c r="X105" s="84"/>
    </row>
    <row r="106" spans="1:256" ht="13.5" hidden="1" thickBot="1" x14ac:dyDescent="0.3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1061">
        <f>J107+J112</f>
        <v>9048</v>
      </c>
      <c r="K106" s="1061"/>
      <c r="L106" s="1061">
        <f t="shared" ref="L106:R106" si="39">L107+L112</f>
        <v>10000</v>
      </c>
      <c r="M106" s="1061">
        <f t="shared" si="39"/>
        <v>10000</v>
      </c>
      <c r="N106" s="1940">
        <f t="shared" si="39"/>
        <v>9048</v>
      </c>
      <c r="O106" s="1941">
        <f t="shared" si="39"/>
        <v>9048</v>
      </c>
      <c r="P106" s="1941">
        <f t="shared" si="39"/>
        <v>9048</v>
      </c>
      <c r="Q106" s="1941">
        <f t="shared" si="39"/>
        <v>9048</v>
      </c>
      <c r="R106" s="1941">
        <f t="shared" si="39"/>
        <v>9048</v>
      </c>
    </row>
    <row r="107" spans="1:256" s="2" customFormat="1" ht="53.5" hidden="1" customHeight="1" x14ac:dyDescent="0.25">
      <c r="A107" s="1"/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938"/>
      <c r="O107" s="1944"/>
      <c r="P107" s="1944"/>
      <c r="Q107" s="1945"/>
      <c r="R107" s="1945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spans="1:256" s="2" customFormat="1" ht="65.5" hidden="1" thickBot="1" x14ac:dyDescent="0.35">
      <c r="A108" s="1"/>
      <c r="B108" s="211" t="s">
        <v>757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1058"/>
      <c r="K108" s="1058"/>
      <c r="L108" s="1058"/>
      <c r="M108" s="1058"/>
      <c r="N108" s="1933"/>
      <c r="O108" s="1934"/>
      <c r="P108" s="1934"/>
      <c r="Q108" s="1934"/>
      <c r="R108" s="1934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spans="1:256" s="2" customFormat="1" ht="81.650000000000006" hidden="1" customHeight="1" x14ac:dyDescent="0.3">
      <c r="A109" s="1"/>
      <c r="B109" s="210" t="s">
        <v>758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1058"/>
      <c r="K109" s="1058"/>
      <c r="L109" s="1058"/>
      <c r="M109" s="1058"/>
      <c r="N109" s="1933"/>
      <c r="O109" s="1934"/>
      <c r="P109" s="1934"/>
      <c r="Q109" s="1934"/>
      <c r="R109" s="1934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spans="1:256" s="2" customFormat="1" ht="81" hidden="1" customHeight="1" x14ac:dyDescent="0.3">
      <c r="A110" s="1"/>
      <c r="B110" s="211" t="s">
        <v>759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1065"/>
      <c r="K110" s="1065"/>
      <c r="L110" s="1065"/>
      <c r="M110" s="1065"/>
      <c r="N110" s="1938"/>
      <c r="O110" s="1939"/>
      <c r="P110" s="1939"/>
      <c r="Q110" s="1939"/>
      <c r="R110" s="1939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spans="1:256" s="2" customFormat="1" ht="52.5" hidden="1" thickBot="1" x14ac:dyDescent="0.35">
      <c r="A111" s="1"/>
      <c r="B111" s="210" t="s">
        <v>760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1065"/>
      <c r="K111" s="1065"/>
      <c r="L111" s="1065"/>
      <c r="M111" s="1065"/>
      <c r="N111" s="1938"/>
      <c r="O111" s="1939"/>
      <c r="P111" s="1939"/>
      <c r="Q111" s="1939"/>
      <c r="R111" s="1939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spans="1:256" s="2" customFormat="1" ht="39.65" hidden="1" customHeight="1" x14ac:dyDescent="0.25">
      <c r="A112" s="1"/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 t="shared" ref="L112:R112" si="40">L113+L115</f>
        <v>10000</v>
      </c>
      <c r="M112" s="47">
        <f t="shared" si="40"/>
        <v>10000</v>
      </c>
      <c r="N112" s="1940">
        <f t="shared" si="40"/>
        <v>9048</v>
      </c>
      <c r="O112" s="1950">
        <f t="shared" si="40"/>
        <v>9048</v>
      </c>
      <c r="P112" s="1950">
        <f t="shared" si="40"/>
        <v>9048</v>
      </c>
      <c r="Q112" s="1951">
        <f t="shared" si="40"/>
        <v>9048</v>
      </c>
      <c r="R112" s="1951">
        <f t="shared" si="40"/>
        <v>9048</v>
      </c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spans="1:256" s="2" customFormat="1" ht="26.5" hidden="1" thickBot="1" x14ac:dyDescent="0.3">
      <c r="A113" s="1"/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 t="shared" ref="L113:R113" si="41">L114</f>
        <v>0</v>
      </c>
      <c r="M113" s="47">
        <f t="shared" si="41"/>
        <v>0</v>
      </c>
      <c r="N113" s="1940">
        <f t="shared" si="41"/>
        <v>420</v>
      </c>
      <c r="O113" s="1950">
        <f t="shared" si="41"/>
        <v>420</v>
      </c>
      <c r="P113" s="1950">
        <f t="shared" si="41"/>
        <v>420</v>
      </c>
      <c r="Q113" s="1951">
        <f t="shared" si="41"/>
        <v>420</v>
      </c>
      <c r="R113" s="1951">
        <f t="shared" si="41"/>
        <v>420</v>
      </c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 s="2" customFormat="1" ht="13.5" hidden="1" thickBot="1" x14ac:dyDescent="0.35">
      <c r="A114" s="1"/>
      <c r="B114" s="1935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1952">
        <v>420</v>
      </c>
      <c r="O114" s="1953">
        <v>420</v>
      </c>
      <c r="P114" s="1953">
        <v>420</v>
      </c>
      <c r="Q114" s="1953">
        <v>420</v>
      </c>
      <c r="R114" s="1953">
        <v>420</v>
      </c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 s="2" customFormat="1" ht="18.75" hidden="1" customHeight="1" x14ac:dyDescent="0.25">
      <c r="A115" s="1"/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 t="shared" ref="L115:R115" si="42">L116</f>
        <v>10000</v>
      </c>
      <c r="M115" s="57">
        <f t="shared" si="42"/>
        <v>10000</v>
      </c>
      <c r="N115" s="1952">
        <f t="shared" si="42"/>
        <v>8628</v>
      </c>
      <c r="O115" s="1953">
        <f t="shared" si="42"/>
        <v>8628</v>
      </c>
      <c r="P115" s="1953">
        <f t="shared" si="42"/>
        <v>8628</v>
      </c>
      <c r="Q115" s="1953">
        <f t="shared" si="42"/>
        <v>8628</v>
      </c>
      <c r="R115" s="1953">
        <f t="shared" si="42"/>
        <v>8628</v>
      </c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 s="2" customFormat="1" ht="25.9" hidden="1" customHeight="1" x14ac:dyDescent="0.3">
      <c r="A116" s="1"/>
      <c r="B116" s="1954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1074">
        <v>8628</v>
      </c>
      <c r="K116" s="207"/>
      <c r="L116" s="54">
        <v>10000</v>
      </c>
      <c r="M116" s="206">
        <v>10000</v>
      </c>
      <c r="N116" s="1955">
        <v>8628</v>
      </c>
      <c r="O116" s="1956">
        <v>8628</v>
      </c>
      <c r="P116" s="1956">
        <v>8628</v>
      </c>
      <c r="Q116" s="1956">
        <v>8628</v>
      </c>
      <c r="R116" s="1956">
        <v>8628</v>
      </c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 s="2" customFormat="1" ht="13.5" hidden="1" thickBot="1" x14ac:dyDescent="0.3">
      <c r="A117" s="1"/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1064">
        <f>J118+J125</f>
        <v>1214.55</v>
      </c>
      <c r="K117" s="1065"/>
      <c r="L117" s="1075">
        <f t="shared" ref="L117:R117" si="43">L118+L125</f>
        <v>4085</v>
      </c>
      <c r="M117" s="1065">
        <f t="shared" si="43"/>
        <v>85</v>
      </c>
      <c r="N117" s="1938">
        <f t="shared" si="43"/>
        <v>1214.55</v>
      </c>
      <c r="O117" s="1939">
        <f t="shared" si="43"/>
        <v>1214.55</v>
      </c>
      <c r="P117" s="1939">
        <f t="shared" si="43"/>
        <v>1214.55</v>
      </c>
      <c r="Q117" s="1939">
        <f t="shared" si="43"/>
        <v>1214.55</v>
      </c>
      <c r="R117" s="1939">
        <f t="shared" si="43"/>
        <v>1214.55</v>
      </c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s="2" customFormat="1" ht="58.15" hidden="1" customHeight="1" x14ac:dyDescent="0.25">
      <c r="A118" s="1"/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R119" si="44">L119</f>
        <v>4000</v>
      </c>
      <c r="M118" s="205">
        <f t="shared" si="44"/>
        <v>0</v>
      </c>
      <c r="N118" s="1957">
        <f t="shared" si="44"/>
        <v>1129.55</v>
      </c>
      <c r="O118" s="1958">
        <f t="shared" si="44"/>
        <v>1129.55</v>
      </c>
      <c r="P118" s="1958">
        <f t="shared" si="44"/>
        <v>1129.55</v>
      </c>
      <c r="Q118" s="1959">
        <f t="shared" si="44"/>
        <v>1129.55</v>
      </c>
      <c r="R118" s="1959">
        <f t="shared" si="44"/>
        <v>1129.55</v>
      </c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 s="2" customFormat="1" ht="78.5" hidden="1" thickBot="1" x14ac:dyDescent="0.3">
      <c r="A119" s="1"/>
      <c r="B119" s="58" t="s">
        <v>761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1075">
        <f>J120</f>
        <v>1129.55</v>
      </c>
      <c r="K119" s="1075"/>
      <c r="L119" s="1075">
        <f t="shared" si="44"/>
        <v>4000</v>
      </c>
      <c r="M119" s="1065">
        <f t="shared" si="44"/>
        <v>0</v>
      </c>
      <c r="N119" s="1938">
        <f t="shared" si="44"/>
        <v>1129.55</v>
      </c>
      <c r="O119" s="1939">
        <f t="shared" si="44"/>
        <v>1129.55</v>
      </c>
      <c r="P119" s="1939">
        <f t="shared" si="44"/>
        <v>1129.55</v>
      </c>
      <c r="Q119" s="1939">
        <f t="shared" si="44"/>
        <v>1129.55</v>
      </c>
      <c r="R119" s="1939">
        <f t="shared" si="44"/>
        <v>1129.55</v>
      </c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 s="2" customFormat="1" ht="26.5" hidden="1" thickBot="1" x14ac:dyDescent="0.3">
      <c r="A120" s="1"/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1066">
        <v>1129.55</v>
      </c>
      <c r="K120" s="1075"/>
      <c r="L120" s="1066">
        <v>4000</v>
      </c>
      <c r="M120" s="1065"/>
      <c r="N120" s="1940">
        <v>1129.55</v>
      </c>
      <c r="O120" s="1941">
        <v>1129.55</v>
      </c>
      <c r="P120" s="1941">
        <v>1129.55</v>
      </c>
      <c r="Q120" s="1941">
        <v>1129.55</v>
      </c>
      <c r="R120" s="1941">
        <v>1129.55</v>
      </c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 s="2" customFormat="1" ht="52.5" hidden="1" thickBot="1" x14ac:dyDescent="0.3">
      <c r="A121" s="1"/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1065"/>
      <c r="K121" s="1065"/>
      <c r="L121" s="1065"/>
      <c r="M121" s="1065"/>
      <c r="N121" s="1938"/>
      <c r="O121" s="1939"/>
      <c r="P121" s="1939"/>
      <c r="Q121" s="1939"/>
      <c r="R121" s="1939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 s="2" customFormat="1" ht="42.75" hidden="1" customHeight="1" x14ac:dyDescent="0.25">
      <c r="A122" s="1"/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938"/>
      <c r="O122" s="1944"/>
      <c r="P122" s="1944"/>
      <c r="Q122" s="1945"/>
      <c r="R122" s="1945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s="2" customFormat="1" ht="72.75" hidden="1" customHeight="1" x14ac:dyDescent="0.25">
      <c r="A123" s="1"/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1065"/>
      <c r="K123" s="1065"/>
      <c r="L123" s="1065"/>
      <c r="M123" s="1065"/>
      <c r="N123" s="1938"/>
      <c r="O123" s="1939"/>
      <c r="P123" s="1939"/>
      <c r="Q123" s="1939"/>
      <c r="R123" s="1939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 s="2" customFormat="1" ht="57" hidden="1" customHeight="1" x14ac:dyDescent="0.25">
      <c r="A124" s="1"/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1065"/>
      <c r="K124" s="1065"/>
      <c r="L124" s="1065"/>
      <c r="M124" s="1065"/>
      <c r="N124" s="1938"/>
      <c r="O124" s="1939"/>
      <c r="P124" s="1939"/>
      <c r="Q124" s="1939"/>
      <c r="R124" s="1939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 s="2" customFormat="1" ht="39.65" hidden="1" customHeight="1" x14ac:dyDescent="0.25">
      <c r="A125" s="1"/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 t="shared" ref="L125:R125" si="45">L126</f>
        <v>85</v>
      </c>
      <c r="M125" s="51">
        <f t="shared" si="45"/>
        <v>85</v>
      </c>
      <c r="N125" s="1938">
        <f t="shared" si="45"/>
        <v>85</v>
      </c>
      <c r="O125" s="1944">
        <f t="shared" si="45"/>
        <v>85</v>
      </c>
      <c r="P125" s="1944">
        <f t="shared" si="45"/>
        <v>85</v>
      </c>
      <c r="Q125" s="1945">
        <f t="shared" si="45"/>
        <v>85</v>
      </c>
      <c r="R125" s="1945">
        <f t="shared" si="45"/>
        <v>85</v>
      </c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 s="2" customFormat="1" ht="43.5" hidden="1" customHeight="1" x14ac:dyDescent="0.25">
      <c r="A126" s="1"/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 t="shared" ref="L126:R126" si="46">L129</f>
        <v>85</v>
      </c>
      <c r="M126" s="47">
        <f t="shared" si="46"/>
        <v>85</v>
      </c>
      <c r="N126" s="1940">
        <f t="shared" si="46"/>
        <v>85</v>
      </c>
      <c r="O126" s="1950">
        <f t="shared" si="46"/>
        <v>85</v>
      </c>
      <c r="P126" s="1950">
        <f t="shared" si="46"/>
        <v>85</v>
      </c>
      <c r="Q126" s="1951">
        <f t="shared" si="46"/>
        <v>85</v>
      </c>
      <c r="R126" s="1951">
        <f t="shared" si="46"/>
        <v>85</v>
      </c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 s="2" customFormat="1" ht="60.75" hidden="1" customHeight="1" x14ac:dyDescent="0.25">
      <c r="A127" s="1"/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3379" t="s">
        <v>20</v>
      </c>
      <c r="H127" s="3380"/>
      <c r="I127" s="3380"/>
      <c r="J127" s="3381"/>
      <c r="K127" s="41"/>
      <c r="L127" s="1"/>
      <c r="M127" s="1"/>
      <c r="N127" s="1905"/>
      <c r="O127" s="1921"/>
      <c r="P127" s="1921"/>
      <c r="Q127" s="1922"/>
      <c r="R127" s="1922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 s="2" customFormat="1" ht="48" hidden="1" customHeight="1" x14ac:dyDescent="0.25">
      <c r="A128" s="1"/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3373" t="s">
        <v>17</v>
      </c>
      <c r="H128" s="3374"/>
      <c r="I128" s="3374"/>
      <c r="J128" s="3375"/>
      <c r="K128" s="41"/>
      <c r="L128" s="1"/>
      <c r="M128" s="1"/>
      <c r="N128" s="1905"/>
      <c r="O128" s="1921"/>
      <c r="P128" s="1921"/>
      <c r="Q128" s="1922"/>
      <c r="R128" s="1922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 s="2" customFormat="1" ht="16.899999999999999" hidden="1" customHeight="1" x14ac:dyDescent="0.3">
      <c r="A129" s="1"/>
      <c r="B129" s="1935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1960">
        <v>85</v>
      </c>
      <c r="O129" s="1961">
        <v>85</v>
      </c>
      <c r="P129" s="1961">
        <v>85</v>
      </c>
      <c r="Q129" s="1961">
        <v>85</v>
      </c>
      <c r="R129" s="1961">
        <v>85</v>
      </c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 s="2" customFormat="1" ht="20.25" hidden="1" customHeight="1" x14ac:dyDescent="0.25">
      <c r="A130" s="1"/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1076">
        <f>J131+J134</f>
        <v>11758.768999999998</v>
      </c>
      <c r="K130" s="1065"/>
      <c r="L130" s="1076">
        <f t="shared" ref="L130:R130" si="47">L131+L134</f>
        <v>13625.55</v>
      </c>
      <c r="M130" s="1076">
        <f t="shared" si="47"/>
        <v>15979.505000000001</v>
      </c>
      <c r="N130" s="1938">
        <f t="shared" si="47"/>
        <v>11758.768999999998</v>
      </c>
      <c r="O130" s="1962">
        <f t="shared" si="47"/>
        <v>11758.768999999998</v>
      </c>
      <c r="P130" s="1962">
        <f t="shared" si="47"/>
        <v>11758.768999999998</v>
      </c>
      <c r="Q130" s="1939">
        <f t="shared" si="47"/>
        <v>11758.768999999998</v>
      </c>
      <c r="R130" s="1939">
        <f t="shared" si="47"/>
        <v>11758.768999999998</v>
      </c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s="2" customFormat="1" ht="55.15" hidden="1" customHeight="1" x14ac:dyDescent="0.25">
      <c r="A131" s="1"/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R132" si="48">L132</f>
        <v>6008.35</v>
      </c>
      <c r="M131" s="51">
        <f t="shared" si="48"/>
        <v>8515.7049999999999</v>
      </c>
      <c r="N131" s="1938">
        <f t="shared" si="48"/>
        <v>2275.0059999999999</v>
      </c>
      <c r="O131" s="1944">
        <f t="shared" si="48"/>
        <v>2275.0059999999999</v>
      </c>
      <c r="P131" s="1944">
        <f t="shared" si="48"/>
        <v>2275.0059999999999</v>
      </c>
      <c r="Q131" s="1945">
        <f t="shared" si="48"/>
        <v>2275.0059999999999</v>
      </c>
      <c r="R131" s="1945">
        <f t="shared" si="48"/>
        <v>2275.0059999999999</v>
      </c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 s="2" customFormat="1" ht="70.150000000000006" hidden="1" customHeight="1" x14ac:dyDescent="0.25">
      <c r="A132" s="1"/>
      <c r="B132" s="58" t="s">
        <v>762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1064">
        <f>J133</f>
        <v>2275.0059999999999</v>
      </c>
      <c r="K132" s="1065"/>
      <c r="L132" s="1064">
        <f t="shared" si="48"/>
        <v>6008.35</v>
      </c>
      <c r="M132" s="1064">
        <f t="shared" si="48"/>
        <v>8515.7049999999999</v>
      </c>
      <c r="N132" s="1938">
        <f t="shared" si="48"/>
        <v>2275.0059999999999</v>
      </c>
      <c r="O132" s="1939">
        <f t="shared" si="48"/>
        <v>2275.0059999999999</v>
      </c>
      <c r="P132" s="1939">
        <f t="shared" si="48"/>
        <v>2275.0059999999999</v>
      </c>
      <c r="Q132" s="1939">
        <f t="shared" si="48"/>
        <v>2275.0059999999999</v>
      </c>
      <c r="R132" s="1939">
        <f t="shared" si="48"/>
        <v>2275.0059999999999</v>
      </c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 s="2" customFormat="1" ht="12.65" hidden="1" customHeight="1" x14ac:dyDescent="0.3">
      <c r="A133" s="1"/>
      <c r="B133" s="1935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1064">
        <v>2275.0059999999999</v>
      </c>
      <c r="K133" s="1065"/>
      <c r="L133" s="1064">
        <v>6008.35</v>
      </c>
      <c r="M133" s="1064">
        <v>8515.7049999999999</v>
      </c>
      <c r="N133" s="1938">
        <v>2275.0059999999999</v>
      </c>
      <c r="O133" s="1939">
        <v>2275.0059999999999</v>
      </c>
      <c r="P133" s="1939">
        <v>2275.0059999999999</v>
      </c>
      <c r="Q133" s="1939">
        <v>2275.0059999999999</v>
      </c>
      <c r="R133" s="1939">
        <v>2275.0059999999999</v>
      </c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 s="2" customFormat="1" ht="56.5" hidden="1" customHeight="1" x14ac:dyDescent="0.25">
      <c r="A134" s="1"/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 t="shared" ref="L134:R134" si="49">L135+L137</f>
        <v>7617.2</v>
      </c>
      <c r="M134" s="1076">
        <f t="shared" si="49"/>
        <v>7463.8</v>
      </c>
      <c r="N134" s="1938">
        <f t="shared" si="49"/>
        <v>9483.762999999999</v>
      </c>
      <c r="O134" s="1944">
        <f t="shared" si="49"/>
        <v>9483.762999999999</v>
      </c>
      <c r="P134" s="1944">
        <f t="shared" si="49"/>
        <v>9483.762999999999</v>
      </c>
      <c r="Q134" s="1945">
        <f t="shared" si="49"/>
        <v>9483.762999999999</v>
      </c>
      <c r="R134" s="1945">
        <f t="shared" si="49"/>
        <v>9483.762999999999</v>
      </c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 s="2" customFormat="1" ht="78.5" hidden="1" thickBot="1" x14ac:dyDescent="0.3">
      <c r="A135" s="1"/>
      <c r="B135" s="49" t="s">
        <v>763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1064">
        <f>J136</f>
        <v>5353.7750000000005</v>
      </c>
      <c r="K135" s="1065"/>
      <c r="L135" s="1065">
        <f t="shared" ref="L135:R135" si="50">L136</f>
        <v>5406.2</v>
      </c>
      <c r="M135" s="1065">
        <f t="shared" si="50"/>
        <v>5230.3</v>
      </c>
      <c r="N135" s="1938">
        <f t="shared" si="50"/>
        <v>5353.7750000000005</v>
      </c>
      <c r="O135" s="1939">
        <f t="shared" si="50"/>
        <v>5353.7750000000005</v>
      </c>
      <c r="P135" s="1939">
        <f t="shared" si="50"/>
        <v>5353.7750000000005</v>
      </c>
      <c r="Q135" s="1939">
        <f t="shared" si="50"/>
        <v>5353.7750000000005</v>
      </c>
      <c r="R135" s="1939">
        <f t="shared" si="50"/>
        <v>5353.7750000000005</v>
      </c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 s="2" customFormat="1" ht="13.5" hidden="1" thickBot="1" x14ac:dyDescent="0.35">
      <c r="A136" s="1"/>
      <c r="B136" s="1935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1061">
        <f>5356.1-4835.3+2500.3+2332.675</f>
        <v>5353.7750000000005</v>
      </c>
      <c r="K136" s="1065"/>
      <c r="L136" s="1061">
        <v>5406.2</v>
      </c>
      <c r="M136" s="1061">
        <v>5230.3</v>
      </c>
      <c r="N136" s="1940">
        <f>5356.1-4835.3+2500.3+2332.675</f>
        <v>5353.7750000000005</v>
      </c>
      <c r="O136" s="1941">
        <f>5356.1-4835.3+2500.3+2332.675</f>
        <v>5353.7750000000005</v>
      </c>
      <c r="P136" s="1941">
        <f>5356.1-4835.3+2500.3+2332.675</f>
        <v>5353.7750000000005</v>
      </c>
      <c r="Q136" s="1941">
        <f>5356.1-4835.3+2500.3+2332.675</f>
        <v>5353.7750000000005</v>
      </c>
      <c r="R136" s="1941">
        <f>5356.1-4835.3+2500.3+2332.675</f>
        <v>5353.7750000000005</v>
      </c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 s="2" customFormat="1" ht="79.150000000000006" hidden="1" customHeight="1" x14ac:dyDescent="0.25">
      <c r="A137" s="1"/>
      <c r="B137" s="49" t="s">
        <v>764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1064">
        <f>J138</f>
        <v>4129.9879999999994</v>
      </c>
      <c r="K137" s="1064"/>
      <c r="L137" s="1064">
        <f t="shared" ref="L137:R137" si="51">L138</f>
        <v>2211</v>
      </c>
      <c r="M137" s="1064">
        <f t="shared" si="51"/>
        <v>2233.5</v>
      </c>
      <c r="N137" s="1938">
        <f t="shared" si="51"/>
        <v>4129.9879999999994</v>
      </c>
      <c r="O137" s="1939">
        <f t="shared" si="51"/>
        <v>4129.9879999999994</v>
      </c>
      <c r="P137" s="1939">
        <f t="shared" si="51"/>
        <v>4129.9879999999994</v>
      </c>
      <c r="Q137" s="1939">
        <f t="shared" si="51"/>
        <v>4129.9879999999994</v>
      </c>
      <c r="R137" s="1939">
        <f t="shared" si="51"/>
        <v>4129.9879999999994</v>
      </c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 s="2" customFormat="1" ht="18.649999999999999" hidden="1" customHeight="1" x14ac:dyDescent="0.3">
      <c r="A138" s="1"/>
      <c r="B138" s="1935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1064">
        <f>2142.2+1447.788+540</f>
        <v>4129.9879999999994</v>
      </c>
      <c r="K138" s="1064"/>
      <c r="L138" s="1064">
        <v>2211</v>
      </c>
      <c r="M138" s="1064">
        <v>2233.5</v>
      </c>
      <c r="N138" s="1938">
        <f>2142.2+1447.788+540</f>
        <v>4129.9879999999994</v>
      </c>
      <c r="O138" s="1939">
        <f>2142.2+1447.788+540</f>
        <v>4129.9879999999994</v>
      </c>
      <c r="P138" s="1939">
        <f>2142.2+1447.788+540</f>
        <v>4129.9879999999994</v>
      </c>
      <c r="Q138" s="1939">
        <f>2142.2+1447.788+540</f>
        <v>4129.9879999999994</v>
      </c>
      <c r="R138" s="1939">
        <f>2142.2+1447.788+540</f>
        <v>4129.9879999999994</v>
      </c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 s="2" customFormat="1" ht="19.5" hidden="1" customHeight="1" x14ac:dyDescent="0.25">
      <c r="A139" s="1"/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1065">
        <f>J140</f>
        <v>0</v>
      </c>
      <c r="K139" s="1065"/>
      <c r="L139" s="1065">
        <f t="shared" ref="L139:R142" si="52">L140</f>
        <v>0</v>
      </c>
      <c r="M139" s="1065">
        <f t="shared" si="52"/>
        <v>0</v>
      </c>
      <c r="N139" s="1938">
        <f t="shared" si="52"/>
        <v>0</v>
      </c>
      <c r="O139" s="1939">
        <f t="shared" si="52"/>
        <v>0</v>
      </c>
      <c r="P139" s="1939">
        <f t="shared" si="52"/>
        <v>0</v>
      </c>
      <c r="Q139" s="1939">
        <f t="shared" si="52"/>
        <v>0</v>
      </c>
      <c r="R139" s="1939">
        <f t="shared" si="52"/>
        <v>0</v>
      </c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 s="2" customFormat="1" ht="39.5" hidden="1" thickBot="1" x14ac:dyDescent="0.3">
      <c r="A140" s="1"/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1065">
        <f>J141</f>
        <v>0</v>
      </c>
      <c r="K140" s="1065"/>
      <c r="L140" s="1065">
        <f t="shared" si="52"/>
        <v>0</v>
      </c>
      <c r="M140" s="1065">
        <f t="shared" si="52"/>
        <v>0</v>
      </c>
      <c r="N140" s="1938">
        <f t="shared" si="52"/>
        <v>0</v>
      </c>
      <c r="O140" s="1939">
        <f t="shared" si="52"/>
        <v>0</v>
      </c>
      <c r="P140" s="1939">
        <f t="shared" si="52"/>
        <v>0</v>
      </c>
      <c r="Q140" s="1939">
        <f t="shared" si="52"/>
        <v>0</v>
      </c>
      <c r="R140" s="1939">
        <f t="shared" si="52"/>
        <v>0</v>
      </c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 s="2" customFormat="1" ht="30.75" hidden="1" customHeight="1" x14ac:dyDescent="0.25">
      <c r="A141" s="1"/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1077">
        <f>J142</f>
        <v>0</v>
      </c>
      <c r="K141" s="1077"/>
      <c r="L141" s="1077">
        <f t="shared" si="52"/>
        <v>0</v>
      </c>
      <c r="M141" s="1077">
        <f t="shared" si="52"/>
        <v>0</v>
      </c>
      <c r="N141" s="1940">
        <f t="shared" si="52"/>
        <v>0</v>
      </c>
      <c r="O141" s="1963">
        <f t="shared" si="52"/>
        <v>0</v>
      </c>
      <c r="P141" s="1963">
        <f t="shared" si="52"/>
        <v>0</v>
      </c>
      <c r="Q141" s="1941">
        <f t="shared" si="52"/>
        <v>0</v>
      </c>
      <c r="R141" s="1941">
        <f t="shared" si="52"/>
        <v>0</v>
      </c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 s="2" customFormat="1" ht="26.5" hidden="1" thickBot="1" x14ac:dyDescent="0.3">
      <c r="A142" s="1"/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1077">
        <f>J143</f>
        <v>0</v>
      </c>
      <c r="K142" s="1077"/>
      <c r="L142" s="1077">
        <f t="shared" si="52"/>
        <v>0</v>
      </c>
      <c r="M142" s="1077">
        <f t="shared" si="52"/>
        <v>0</v>
      </c>
      <c r="N142" s="1940">
        <f t="shared" si="52"/>
        <v>0</v>
      </c>
      <c r="O142" s="1963">
        <f t="shared" si="52"/>
        <v>0</v>
      </c>
      <c r="P142" s="1963">
        <f t="shared" si="52"/>
        <v>0</v>
      </c>
      <c r="Q142" s="1941">
        <f t="shared" si="52"/>
        <v>0</v>
      </c>
      <c r="R142" s="1941">
        <f t="shared" si="52"/>
        <v>0</v>
      </c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 s="2" customFormat="1" ht="13.5" hidden="1" thickBot="1" x14ac:dyDescent="0.3">
      <c r="A143" s="1"/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1077"/>
      <c r="K143" s="1077"/>
      <c r="L143" s="1077"/>
      <c r="M143" s="1077"/>
      <c r="N143" s="1940"/>
      <c r="O143" s="1963"/>
      <c r="P143" s="1963"/>
      <c r="Q143" s="1941"/>
      <c r="R143" s="194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 s="2" customFormat="1" ht="14.5" hidden="1" thickBot="1" x14ac:dyDescent="0.3">
      <c r="A144" s="1"/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1057">
        <f>J145</f>
        <v>160</v>
      </c>
      <c r="K144" s="1057"/>
      <c r="L144" s="1057">
        <f t="shared" ref="L144:R146" si="53">L145</f>
        <v>172</v>
      </c>
      <c r="M144" s="1057">
        <f t="shared" si="53"/>
        <v>184</v>
      </c>
      <c r="N144" s="1931">
        <f t="shared" si="53"/>
        <v>160</v>
      </c>
      <c r="O144" s="1932">
        <f t="shared" si="53"/>
        <v>160</v>
      </c>
      <c r="P144" s="1932">
        <f t="shared" si="53"/>
        <v>160</v>
      </c>
      <c r="Q144" s="1932">
        <f t="shared" si="53"/>
        <v>160</v>
      </c>
      <c r="R144" s="1932">
        <f t="shared" si="53"/>
        <v>160</v>
      </c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 s="2" customFormat="1" ht="13.5" hidden="1" thickBot="1" x14ac:dyDescent="0.3">
      <c r="A145" s="1"/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1062">
        <f>J146</f>
        <v>160</v>
      </c>
      <c r="K145" s="1062"/>
      <c r="L145" s="1062">
        <f t="shared" si="53"/>
        <v>172</v>
      </c>
      <c r="M145" s="1062">
        <f t="shared" si="53"/>
        <v>184</v>
      </c>
      <c r="N145" s="1936">
        <f t="shared" si="53"/>
        <v>160</v>
      </c>
      <c r="O145" s="1937">
        <f t="shared" si="53"/>
        <v>160</v>
      </c>
      <c r="P145" s="1937">
        <f t="shared" si="53"/>
        <v>160</v>
      </c>
      <c r="Q145" s="1937">
        <f t="shared" si="53"/>
        <v>160</v>
      </c>
      <c r="R145" s="1937">
        <f t="shared" si="53"/>
        <v>160</v>
      </c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 s="2" customFormat="1" ht="53.25" hidden="1" customHeight="1" x14ac:dyDescent="0.25">
      <c r="A146" s="1"/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53"/>
        <v>172</v>
      </c>
      <c r="M146" s="51">
        <f t="shared" si="53"/>
        <v>184</v>
      </c>
      <c r="N146" s="1938">
        <f t="shared" si="53"/>
        <v>160</v>
      </c>
      <c r="O146" s="1944">
        <f t="shared" si="53"/>
        <v>160</v>
      </c>
      <c r="P146" s="1944">
        <f t="shared" si="53"/>
        <v>160</v>
      </c>
      <c r="Q146" s="1945">
        <f t="shared" si="53"/>
        <v>160</v>
      </c>
      <c r="R146" s="1945">
        <f t="shared" si="53"/>
        <v>160</v>
      </c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 s="2" customFormat="1" ht="65.5" hidden="1" thickBot="1" x14ac:dyDescent="0.3">
      <c r="A147" s="1"/>
      <c r="B147" s="157" t="s">
        <v>765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1062">
        <f>J150</f>
        <v>160</v>
      </c>
      <c r="K147" s="1062"/>
      <c r="L147" s="1062">
        <f t="shared" ref="L147:R147" si="54">L150</f>
        <v>172</v>
      </c>
      <c r="M147" s="1062">
        <f t="shared" si="54"/>
        <v>184</v>
      </c>
      <c r="N147" s="1936">
        <f t="shared" si="54"/>
        <v>160</v>
      </c>
      <c r="O147" s="1937">
        <f t="shared" si="54"/>
        <v>160</v>
      </c>
      <c r="P147" s="1937">
        <f t="shared" si="54"/>
        <v>160</v>
      </c>
      <c r="Q147" s="1937">
        <f t="shared" si="54"/>
        <v>160</v>
      </c>
      <c r="R147" s="1937">
        <f t="shared" si="54"/>
        <v>160</v>
      </c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 s="2" customFormat="1" ht="75" hidden="1" customHeight="1" x14ac:dyDescent="0.25">
      <c r="A148" s="1"/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1062"/>
      <c r="K148" s="1062"/>
      <c r="L148" s="1062"/>
      <c r="M148" s="1062"/>
      <c r="N148" s="1936"/>
      <c r="O148" s="1937"/>
      <c r="P148" s="1937"/>
      <c r="Q148" s="1937"/>
      <c r="R148" s="1937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 s="2" customFormat="1" ht="16.149999999999999" hidden="1" customHeight="1" x14ac:dyDescent="0.3">
      <c r="A149" s="1"/>
      <c r="B149" s="1935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1062"/>
      <c r="K149" s="1062"/>
      <c r="L149" s="1062"/>
      <c r="M149" s="1062"/>
      <c r="N149" s="1936"/>
      <c r="O149" s="1937"/>
      <c r="P149" s="1937"/>
      <c r="Q149" s="1937"/>
      <c r="R149" s="1937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 s="2" customFormat="1" ht="77.25" hidden="1" customHeight="1" x14ac:dyDescent="0.25">
      <c r="A150" s="1"/>
      <c r="B150" s="49" t="s">
        <v>766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1062">
        <f>J151</f>
        <v>160</v>
      </c>
      <c r="K150" s="1062"/>
      <c r="L150" s="1062">
        <f t="shared" ref="L150:R150" si="55">L151</f>
        <v>172</v>
      </c>
      <c r="M150" s="1062">
        <f t="shared" si="55"/>
        <v>184</v>
      </c>
      <c r="N150" s="1936">
        <f t="shared" si="55"/>
        <v>160</v>
      </c>
      <c r="O150" s="1937">
        <f t="shared" si="55"/>
        <v>160</v>
      </c>
      <c r="P150" s="1937">
        <f t="shared" si="55"/>
        <v>160</v>
      </c>
      <c r="Q150" s="1937">
        <f t="shared" si="55"/>
        <v>160</v>
      </c>
      <c r="R150" s="1937">
        <f t="shared" si="55"/>
        <v>160</v>
      </c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 s="2" customFormat="1" ht="16.899999999999999" hidden="1" customHeight="1" x14ac:dyDescent="0.3">
      <c r="A151" s="1"/>
      <c r="B151" s="1935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1062">
        <v>160</v>
      </c>
      <c r="K151" s="1062"/>
      <c r="L151" s="1062">
        <v>172</v>
      </c>
      <c r="M151" s="1062">
        <v>184</v>
      </c>
      <c r="N151" s="1936">
        <v>160</v>
      </c>
      <c r="O151" s="1937">
        <v>160</v>
      </c>
      <c r="P151" s="1937">
        <v>160</v>
      </c>
      <c r="Q151" s="1937">
        <v>160</v>
      </c>
      <c r="R151" s="1937">
        <v>160</v>
      </c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 s="2" customFormat="1" ht="14.5" hidden="1" thickBot="1" x14ac:dyDescent="0.3">
      <c r="A152" s="1"/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1057">
        <f>J153+J160</f>
        <v>7152.5</v>
      </c>
      <c r="K152" s="1057"/>
      <c r="L152" s="1057">
        <f t="shared" ref="L152:R152" si="56">L153+L160</f>
        <v>7583.5</v>
      </c>
      <c r="M152" s="1057">
        <f t="shared" si="56"/>
        <v>8198.5</v>
      </c>
      <c r="N152" s="1931">
        <f t="shared" si="56"/>
        <v>7152.5</v>
      </c>
      <c r="O152" s="1932">
        <f t="shared" si="56"/>
        <v>7152.5</v>
      </c>
      <c r="P152" s="1932">
        <f t="shared" si="56"/>
        <v>7152.5</v>
      </c>
      <c r="Q152" s="1932">
        <f t="shared" si="56"/>
        <v>7152.5</v>
      </c>
      <c r="R152" s="1932">
        <f t="shared" si="56"/>
        <v>7152.5</v>
      </c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 s="2" customFormat="1" ht="13.5" hidden="1" thickBot="1" x14ac:dyDescent="0.3">
      <c r="A153" s="1"/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1058">
        <f>J154</f>
        <v>5947</v>
      </c>
      <c r="K153" s="1058"/>
      <c r="L153" s="1058">
        <f t="shared" ref="L153:R155" si="57">L154</f>
        <v>6305</v>
      </c>
      <c r="M153" s="1058">
        <f t="shared" si="57"/>
        <v>6960</v>
      </c>
      <c r="N153" s="1933">
        <f t="shared" si="57"/>
        <v>5947</v>
      </c>
      <c r="O153" s="1934">
        <f t="shared" si="57"/>
        <v>5947</v>
      </c>
      <c r="P153" s="1934">
        <f t="shared" si="57"/>
        <v>5947</v>
      </c>
      <c r="Q153" s="1934">
        <f t="shared" si="57"/>
        <v>5947</v>
      </c>
      <c r="R153" s="1934">
        <f t="shared" si="57"/>
        <v>5947</v>
      </c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 s="2" customFormat="1" ht="55.5" hidden="1" customHeight="1" x14ac:dyDescent="0.25">
      <c r="A154" s="1"/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57"/>
        <v>6305</v>
      </c>
      <c r="M154" s="51">
        <f t="shared" si="57"/>
        <v>6960</v>
      </c>
      <c r="N154" s="1938">
        <f t="shared" si="57"/>
        <v>5947</v>
      </c>
      <c r="O154" s="1944">
        <f t="shared" si="57"/>
        <v>5947</v>
      </c>
      <c r="P154" s="1944">
        <f t="shared" si="57"/>
        <v>5947</v>
      </c>
      <c r="Q154" s="1945">
        <f t="shared" si="57"/>
        <v>5947</v>
      </c>
      <c r="R154" s="1945">
        <f t="shared" si="57"/>
        <v>5947</v>
      </c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 ht="83.5" hidden="1" customHeight="1" x14ac:dyDescent="0.25">
      <c r="B155" s="157" t="s">
        <v>767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1060">
        <f>J156</f>
        <v>5947</v>
      </c>
      <c r="K155" s="1060"/>
      <c r="L155" s="1060">
        <f t="shared" si="57"/>
        <v>6305</v>
      </c>
      <c r="M155" s="1060">
        <f t="shared" si="57"/>
        <v>6960</v>
      </c>
      <c r="N155" s="1936">
        <f t="shared" si="57"/>
        <v>5947</v>
      </c>
      <c r="O155" s="1937">
        <f t="shared" si="57"/>
        <v>5947</v>
      </c>
      <c r="P155" s="1937">
        <f t="shared" si="57"/>
        <v>5947</v>
      </c>
      <c r="Q155" s="1937">
        <f t="shared" si="57"/>
        <v>5947</v>
      </c>
      <c r="R155" s="1937">
        <f t="shared" si="57"/>
        <v>5947</v>
      </c>
    </row>
    <row r="156" spans="1:256" ht="91.5" hidden="1" thickBot="1" x14ac:dyDescent="0.3">
      <c r="B156" s="49" t="s">
        <v>768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1060">
        <f>J157+J158+J159</f>
        <v>5947</v>
      </c>
      <c r="K156" s="1060"/>
      <c r="L156" s="1060">
        <f t="shared" ref="L156:R156" si="58">L157+L158+L159</f>
        <v>6305</v>
      </c>
      <c r="M156" s="1060">
        <f t="shared" si="58"/>
        <v>6960</v>
      </c>
      <c r="N156" s="1936">
        <f t="shared" si="58"/>
        <v>5947</v>
      </c>
      <c r="O156" s="1937">
        <f t="shared" si="58"/>
        <v>5947</v>
      </c>
      <c r="P156" s="1937">
        <f t="shared" si="58"/>
        <v>5947</v>
      </c>
      <c r="Q156" s="1937">
        <f t="shared" si="58"/>
        <v>5947</v>
      </c>
      <c r="R156" s="1937">
        <f t="shared" si="58"/>
        <v>5947</v>
      </c>
    </row>
    <row r="157" spans="1:256" ht="13.5" hidden="1" thickBot="1" x14ac:dyDescent="0.35">
      <c r="B157" s="1935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1078">
        <v>4171.2870000000003</v>
      </c>
      <c r="K157" s="1078"/>
      <c r="L157" s="1060">
        <v>5305.1139999999996</v>
      </c>
      <c r="M157" s="1060">
        <v>6631.482</v>
      </c>
      <c r="N157" s="1936">
        <v>4171.2870000000003</v>
      </c>
      <c r="O157" s="1937">
        <v>4171.2870000000003</v>
      </c>
      <c r="P157" s="1937">
        <v>4171.2870000000003</v>
      </c>
      <c r="Q157" s="1937">
        <v>4171.2870000000003</v>
      </c>
      <c r="R157" s="1937">
        <v>4171.2870000000003</v>
      </c>
    </row>
    <row r="158" spans="1:256" ht="13.5" hidden="1" thickBot="1" x14ac:dyDescent="0.35">
      <c r="B158" s="1935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1060">
        <f>1775.713-0.713</f>
        <v>1775</v>
      </c>
      <c r="K158" s="1060"/>
      <c r="L158" s="1060">
        <f>999.886-0.886</f>
        <v>999</v>
      </c>
      <c r="M158" s="1060">
        <v>328</v>
      </c>
      <c r="N158" s="1936">
        <f>1775.713-0.713</f>
        <v>1775</v>
      </c>
      <c r="O158" s="1937">
        <f>1775.713-0.713</f>
        <v>1775</v>
      </c>
      <c r="P158" s="1937">
        <f>1775.713-0.713</f>
        <v>1775</v>
      </c>
      <c r="Q158" s="1937">
        <f>1775.713-0.713</f>
        <v>1775</v>
      </c>
      <c r="R158" s="1937">
        <f>1775.713-0.713</f>
        <v>1775</v>
      </c>
    </row>
    <row r="159" spans="1:256" ht="13.5" hidden="1" thickBot="1" x14ac:dyDescent="0.35">
      <c r="B159" s="1935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1062">
        <v>0.71299999999999997</v>
      </c>
      <c r="K159" s="1062"/>
      <c r="L159" s="1062">
        <v>0.88600000000000001</v>
      </c>
      <c r="M159" s="1062">
        <v>0.51800000000000002</v>
      </c>
      <c r="N159" s="1936">
        <v>0.71299999999999997</v>
      </c>
      <c r="O159" s="1937">
        <v>0.71299999999999997</v>
      </c>
      <c r="P159" s="1937">
        <v>0.71299999999999997</v>
      </c>
      <c r="Q159" s="1937">
        <v>0.71299999999999997</v>
      </c>
      <c r="R159" s="1937">
        <v>0.71299999999999997</v>
      </c>
    </row>
    <row r="160" spans="1:256" ht="30.75" hidden="1" customHeight="1" x14ac:dyDescent="0.25"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1058">
        <f>J161</f>
        <v>1205.5</v>
      </c>
      <c r="K160" s="1058"/>
      <c r="L160" s="1058">
        <f t="shared" ref="L160:R163" si="59">L161</f>
        <v>1278.5</v>
      </c>
      <c r="M160" s="1058">
        <f t="shared" si="59"/>
        <v>1238.5</v>
      </c>
      <c r="N160" s="1933">
        <f t="shared" si="59"/>
        <v>1205.5</v>
      </c>
      <c r="O160" s="1934">
        <f t="shared" si="59"/>
        <v>1205.5</v>
      </c>
      <c r="P160" s="1934">
        <f t="shared" si="59"/>
        <v>1205.5</v>
      </c>
      <c r="Q160" s="1934">
        <f t="shared" si="59"/>
        <v>1205.5</v>
      </c>
      <c r="R160" s="1934">
        <f t="shared" si="59"/>
        <v>1205.5</v>
      </c>
    </row>
    <row r="161" spans="1:256" ht="39.65" hidden="1" customHeight="1" x14ac:dyDescent="0.25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59"/>
        <v>1278.5</v>
      </c>
      <c r="M161" s="51">
        <f t="shared" si="59"/>
        <v>1238.5</v>
      </c>
      <c r="N161" s="1938">
        <f t="shared" si="59"/>
        <v>1205.5</v>
      </c>
      <c r="O161" s="1944">
        <f t="shared" si="59"/>
        <v>1205.5</v>
      </c>
      <c r="P161" s="1944">
        <f t="shared" si="59"/>
        <v>1205.5</v>
      </c>
      <c r="Q161" s="1945">
        <f t="shared" si="59"/>
        <v>1205.5</v>
      </c>
      <c r="R161" s="1945">
        <f t="shared" si="59"/>
        <v>1205.5</v>
      </c>
    </row>
    <row r="162" spans="1:256" ht="85.9" hidden="1" customHeight="1" x14ac:dyDescent="0.25">
      <c r="B162" s="157" t="s">
        <v>769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1060">
        <f>J163</f>
        <v>1205.5</v>
      </c>
      <c r="K162" s="1060"/>
      <c r="L162" s="1060">
        <f t="shared" si="59"/>
        <v>1278.5</v>
      </c>
      <c r="M162" s="1060">
        <f t="shared" si="59"/>
        <v>1238.5</v>
      </c>
      <c r="N162" s="1936">
        <f t="shared" si="59"/>
        <v>1205.5</v>
      </c>
      <c r="O162" s="1937">
        <f t="shared" si="59"/>
        <v>1205.5</v>
      </c>
      <c r="P162" s="1937">
        <f t="shared" si="59"/>
        <v>1205.5</v>
      </c>
      <c r="Q162" s="1937">
        <f t="shared" si="59"/>
        <v>1205.5</v>
      </c>
      <c r="R162" s="1937">
        <f t="shared" si="59"/>
        <v>1205.5</v>
      </c>
    </row>
    <row r="163" spans="1:256" ht="91.5" hidden="1" thickBot="1" x14ac:dyDescent="0.3">
      <c r="B163" s="49" t="s">
        <v>770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1060">
        <f>J164</f>
        <v>1205.5</v>
      </c>
      <c r="K163" s="1060"/>
      <c r="L163" s="1060">
        <f t="shared" si="59"/>
        <v>1278.5</v>
      </c>
      <c r="M163" s="1060">
        <f t="shared" si="59"/>
        <v>1238.5</v>
      </c>
      <c r="N163" s="1936">
        <f t="shared" si="59"/>
        <v>1205.5</v>
      </c>
      <c r="O163" s="1937">
        <f t="shared" si="59"/>
        <v>1205.5</v>
      </c>
      <c r="P163" s="1937">
        <f t="shared" si="59"/>
        <v>1205.5</v>
      </c>
      <c r="Q163" s="1937">
        <f t="shared" si="59"/>
        <v>1205.5</v>
      </c>
      <c r="R163" s="1937">
        <f t="shared" si="59"/>
        <v>1205.5</v>
      </c>
    </row>
    <row r="164" spans="1:256" ht="13.5" hidden="1" thickBot="1" x14ac:dyDescent="0.35">
      <c r="B164" s="1935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1060">
        <v>1205.5</v>
      </c>
      <c r="K164" s="1060"/>
      <c r="L164" s="1060">
        <v>1278.5</v>
      </c>
      <c r="M164" s="1060">
        <v>1238.5</v>
      </c>
      <c r="N164" s="1936">
        <v>1205.5</v>
      </c>
      <c r="O164" s="1937">
        <v>1205.5</v>
      </c>
      <c r="P164" s="1937">
        <v>1205.5</v>
      </c>
      <c r="Q164" s="1937">
        <v>1205.5</v>
      </c>
      <c r="R164" s="1937">
        <v>1205.5</v>
      </c>
    </row>
    <row r="165" spans="1:256" s="162" customFormat="1" ht="52.5" hidden="1" thickBot="1" x14ac:dyDescent="0.35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1062"/>
      <c r="K165" s="1062"/>
      <c r="L165" s="1062"/>
      <c r="M165" s="1062"/>
      <c r="N165" s="1936"/>
      <c r="O165" s="1937"/>
      <c r="P165" s="1937"/>
      <c r="Q165" s="1937"/>
      <c r="R165" s="1937"/>
      <c r="S165" s="163"/>
      <c r="T165" s="163"/>
      <c r="U165" s="163"/>
      <c r="V165" s="163"/>
      <c r="W165" s="163"/>
      <c r="X165" s="163"/>
    </row>
    <row r="166" spans="1:256" ht="14.5" hidden="1" thickBot="1" x14ac:dyDescent="0.3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1067">
        <f>J167+J170</f>
        <v>412.5</v>
      </c>
      <c r="K166" s="1067"/>
      <c r="L166" s="1067">
        <f t="shared" ref="L166:R166" si="60">L167+L170</f>
        <v>412.5</v>
      </c>
      <c r="M166" s="1067">
        <f t="shared" si="60"/>
        <v>412.5</v>
      </c>
      <c r="N166" s="1942">
        <f t="shared" si="60"/>
        <v>412.5</v>
      </c>
      <c r="O166" s="1943">
        <f t="shared" si="60"/>
        <v>412.5</v>
      </c>
      <c r="P166" s="1943">
        <f t="shared" si="60"/>
        <v>412.5</v>
      </c>
      <c r="Q166" s="1943">
        <f t="shared" si="60"/>
        <v>412.5</v>
      </c>
      <c r="R166" s="1943">
        <f t="shared" si="60"/>
        <v>412.5</v>
      </c>
    </row>
    <row r="167" spans="1:256" ht="13.5" hidden="1" thickBot="1" x14ac:dyDescent="0.3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1065">
        <f>J168</f>
        <v>240.5</v>
      </c>
      <c r="K167" s="1065"/>
      <c r="L167" s="1065">
        <f t="shared" ref="L167:R168" si="61">L168</f>
        <v>240.5</v>
      </c>
      <c r="M167" s="1065">
        <f t="shared" si="61"/>
        <v>240.5</v>
      </c>
      <c r="N167" s="1938">
        <f t="shared" si="61"/>
        <v>240.5</v>
      </c>
      <c r="O167" s="1939">
        <f t="shared" si="61"/>
        <v>240.5</v>
      </c>
      <c r="P167" s="1939">
        <f t="shared" si="61"/>
        <v>240.5</v>
      </c>
      <c r="Q167" s="1939">
        <f t="shared" si="61"/>
        <v>240.5</v>
      </c>
      <c r="R167" s="1939">
        <f t="shared" si="61"/>
        <v>240.5</v>
      </c>
    </row>
    <row r="168" spans="1:256" ht="21" hidden="1" customHeight="1" x14ac:dyDescent="0.25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1063">
        <f>J169</f>
        <v>240.5</v>
      </c>
      <c r="K168" s="1063"/>
      <c r="L168" s="1063">
        <f t="shared" si="61"/>
        <v>240.5</v>
      </c>
      <c r="M168" s="1063">
        <f t="shared" si="61"/>
        <v>240.5</v>
      </c>
      <c r="N168" s="1940">
        <f t="shared" si="61"/>
        <v>240.5</v>
      </c>
      <c r="O168" s="1941">
        <f t="shared" si="61"/>
        <v>240.5</v>
      </c>
      <c r="P168" s="1941">
        <f t="shared" si="61"/>
        <v>240.5</v>
      </c>
      <c r="Q168" s="1941">
        <f t="shared" si="61"/>
        <v>240.5</v>
      </c>
      <c r="R168" s="1941">
        <f t="shared" si="61"/>
        <v>240.5</v>
      </c>
    </row>
    <row r="169" spans="1:256" ht="21" hidden="1" customHeight="1" x14ac:dyDescent="0.3">
      <c r="B169" s="1935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1063">
        <v>240.5</v>
      </c>
      <c r="K169" s="1063"/>
      <c r="L169" s="1063">
        <v>240.5</v>
      </c>
      <c r="M169" s="1063">
        <v>240.5</v>
      </c>
      <c r="N169" s="1940">
        <v>240.5</v>
      </c>
      <c r="O169" s="1941">
        <v>240.5</v>
      </c>
      <c r="P169" s="1941">
        <v>240.5</v>
      </c>
      <c r="Q169" s="1941">
        <v>240.5</v>
      </c>
      <c r="R169" s="1941">
        <v>240.5</v>
      </c>
    </row>
    <row r="170" spans="1:256" ht="13.5" hidden="1" thickBot="1" x14ac:dyDescent="0.3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1065">
        <f>J171</f>
        <v>172</v>
      </c>
      <c r="K170" s="1065"/>
      <c r="L170" s="1065">
        <f t="shared" ref="L170:R171" si="62">L171</f>
        <v>172</v>
      </c>
      <c r="M170" s="1065">
        <f t="shared" si="62"/>
        <v>172</v>
      </c>
      <c r="N170" s="1938">
        <f t="shared" si="62"/>
        <v>172</v>
      </c>
      <c r="O170" s="1939">
        <f t="shared" si="62"/>
        <v>172</v>
      </c>
      <c r="P170" s="1939">
        <f t="shared" si="62"/>
        <v>172</v>
      </c>
      <c r="Q170" s="1939">
        <f t="shared" si="62"/>
        <v>172</v>
      </c>
      <c r="R170" s="1939">
        <f t="shared" si="62"/>
        <v>172</v>
      </c>
    </row>
    <row r="171" spans="1:256" s="2" customFormat="1" ht="21" hidden="1" customHeight="1" x14ac:dyDescent="0.25">
      <c r="A171" s="1"/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1063">
        <f>J172</f>
        <v>172</v>
      </c>
      <c r="K171" s="1063"/>
      <c r="L171" s="1063">
        <f t="shared" si="62"/>
        <v>172</v>
      </c>
      <c r="M171" s="1063">
        <f t="shared" si="62"/>
        <v>172</v>
      </c>
      <c r="N171" s="1940">
        <f t="shared" si="62"/>
        <v>172</v>
      </c>
      <c r="O171" s="1941">
        <f t="shared" si="62"/>
        <v>172</v>
      </c>
      <c r="P171" s="1941">
        <f t="shared" si="62"/>
        <v>172</v>
      </c>
      <c r="Q171" s="1941">
        <f t="shared" si="62"/>
        <v>172</v>
      </c>
      <c r="R171" s="1941">
        <f t="shared" si="62"/>
        <v>172</v>
      </c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spans="1:256" s="2" customFormat="1" ht="21" hidden="1" customHeight="1" x14ac:dyDescent="0.3">
      <c r="A172" s="1"/>
      <c r="B172" s="1935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1063">
        <v>172</v>
      </c>
      <c r="K172" s="1063"/>
      <c r="L172" s="1063">
        <v>172</v>
      </c>
      <c r="M172" s="1063">
        <v>172</v>
      </c>
      <c r="N172" s="1940">
        <v>172</v>
      </c>
      <c r="O172" s="1941">
        <v>172</v>
      </c>
      <c r="P172" s="1941">
        <v>172</v>
      </c>
      <c r="Q172" s="1941">
        <v>172</v>
      </c>
      <c r="R172" s="1941">
        <v>172</v>
      </c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spans="1:256" s="2" customFormat="1" ht="14.5" hidden="1" thickBot="1" x14ac:dyDescent="0.3">
      <c r="A173" s="1"/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1068">
        <f>J175</f>
        <v>3930</v>
      </c>
      <c r="K173" s="1068"/>
      <c r="L173" s="1068">
        <f t="shared" ref="L173:R173" si="63">L175</f>
        <v>3930</v>
      </c>
      <c r="M173" s="1068">
        <f t="shared" si="63"/>
        <v>1185</v>
      </c>
      <c r="N173" s="1942">
        <f t="shared" si="63"/>
        <v>3930</v>
      </c>
      <c r="O173" s="1943">
        <f t="shared" si="63"/>
        <v>3930</v>
      </c>
      <c r="P173" s="1943">
        <f t="shared" si="63"/>
        <v>3930</v>
      </c>
      <c r="Q173" s="1943">
        <f t="shared" si="63"/>
        <v>3930</v>
      </c>
      <c r="R173" s="1943">
        <f t="shared" si="63"/>
        <v>3930</v>
      </c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spans="1:256" s="2" customFormat="1" ht="24" hidden="1" customHeight="1" x14ac:dyDescent="0.25">
      <c r="A174" s="1"/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1061">
        <f>J175</f>
        <v>3930</v>
      </c>
      <c r="K174" s="1061"/>
      <c r="L174" s="1061">
        <f t="shared" ref="L174:R174" si="64">L175</f>
        <v>3930</v>
      </c>
      <c r="M174" s="1061">
        <f t="shared" si="64"/>
        <v>1185</v>
      </c>
      <c r="N174" s="1940">
        <f t="shared" si="64"/>
        <v>3930</v>
      </c>
      <c r="O174" s="1941">
        <f t="shared" si="64"/>
        <v>3930</v>
      </c>
      <c r="P174" s="1941">
        <f t="shared" si="64"/>
        <v>3930</v>
      </c>
      <c r="Q174" s="1941">
        <f t="shared" si="64"/>
        <v>3930</v>
      </c>
      <c r="R174" s="1941">
        <f t="shared" si="64"/>
        <v>3930</v>
      </c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spans="1:256" s="2" customFormat="1" ht="58.5" hidden="1" customHeight="1" x14ac:dyDescent="0.25">
      <c r="A175" s="1"/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1079">
        <f>J178+J182</f>
        <v>3930</v>
      </c>
      <c r="K175" s="1079"/>
      <c r="L175" s="1079">
        <f t="shared" ref="L175:R175" si="65">L178+L182</f>
        <v>3930</v>
      </c>
      <c r="M175" s="1079">
        <f t="shared" si="65"/>
        <v>1185</v>
      </c>
      <c r="N175" s="1946">
        <f t="shared" si="65"/>
        <v>3930</v>
      </c>
      <c r="O175" s="1964">
        <f t="shared" si="65"/>
        <v>3930</v>
      </c>
      <c r="P175" s="1964">
        <f t="shared" si="65"/>
        <v>3930</v>
      </c>
      <c r="Q175" s="1947">
        <f t="shared" si="65"/>
        <v>3930</v>
      </c>
      <c r="R175" s="1947">
        <f t="shared" si="65"/>
        <v>3930</v>
      </c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spans="1:256" s="2" customFormat="1" ht="52.5" hidden="1" thickBot="1" x14ac:dyDescent="0.3">
      <c r="A176" s="1"/>
      <c r="B176" s="157" t="s">
        <v>771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1061"/>
      <c r="K176" s="1061"/>
      <c r="L176" s="1061"/>
      <c r="M176" s="1061"/>
      <c r="N176" s="1940"/>
      <c r="O176" s="1941"/>
      <c r="P176" s="1941"/>
      <c r="Q176" s="1941"/>
      <c r="R176" s="194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spans="1:256" s="2" customFormat="1" ht="52.5" hidden="1" thickBot="1" x14ac:dyDescent="0.3">
      <c r="A177" s="1"/>
      <c r="B177" s="76" t="s">
        <v>772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1061"/>
      <c r="K177" s="1061"/>
      <c r="L177" s="1061"/>
      <c r="M177" s="1061"/>
      <c r="N177" s="1940"/>
      <c r="O177" s="1941"/>
      <c r="P177" s="1941"/>
      <c r="Q177" s="1941"/>
      <c r="R177" s="194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 s="2" customFormat="1" ht="78.5" hidden="1" thickBot="1" x14ac:dyDescent="0.3">
      <c r="A178" s="1"/>
      <c r="B178" s="157" t="s">
        <v>773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1059">
        <f>J179</f>
        <v>3600</v>
      </c>
      <c r="K178" s="1059"/>
      <c r="L178" s="1059">
        <f t="shared" ref="L178:R179" si="66">L179</f>
        <v>3600</v>
      </c>
      <c r="M178" s="1059">
        <f t="shared" si="66"/>
        <v>850</v>
      </c>
      <c r="N178" s="1933">
        <f t="shared" si="66"/>
        <v>3600</v>
      </c>
      <c r="O178" s="1934">
        <f t="shared" si="66"/>
        <v>3600</v>
      </c>
      <c r="P178" s="1934">
        <f t="shared" si="66"/>
        <v>3600</v>
      </c>
      <c r="Q178" s="1934">
        <f t="shared" si="66"/>
        <v>3600</v>
      </c>
      <c r="R178" s="1934">
        <f t="shared" si="66"/>
        <v>3600</v>
      </c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 s="2" customFormat="1" ht="80.5" hidden="1" customHeight="1" x14ac:dyDescent="0.25">
      <c r="A179" s="1"/>
      <c r="B179" s="49" t="s">
        <v>774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1061">
        <f>J180</f>
        <v>3600</v>
      </c>
      <c r="K179" s="1061"/>
      <c r="L179" s="1061">
        <f t="shared" si="66"/>
        <v>3600</v>
      </c>
      <c r="M179" s="1061">
        <f t="shared" si="66"/>
        <v>850</v>
      </c>
      <c r="N179" s="1940">
        <f t="shared" si="66"/>
        <v>3600</v>
      </c>
      <c r="O179" s="1941">
        <f t="shared" si="66"/>
        <v>3600</v>
      </c>
      <c r="P179" s="1941">
        <f t="shared" si="66"/>
        <v>3600</v>
      </c>
      <c r="Q179" s="1941">
        <f t="shared" si="66"/>
        <v>3600</v>
      </c>
      <c r="R179" s="1941">
        <f t="shared" si="66"/>
        <v>3600</v>
      </c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 s="2" customFormat="1" ht="13.5" hidden="1" thickBot="1" x14ac:dyDescent="0.35">
      <c r="A180" s="1"/>
      <c r="B180" s="744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1061">
        <v>3600</v>
      </c>
      <c r="K180" s="1061"/>
      <c r="L180" s="1061">
        <v>3600</v>
      </c>
      <c r="M180" s="1061">
        <v>850</v>
      </c>
      <c r="N180" s="1940">
        <v>3600</v>
      </c>
      <c r="O180" s="1941">
        <v>3600</v>
      </c>
      <c r="P180" s="1941">
        <v>3600</v>
      </c>
      <c r="Q180" s="1941">
        <v>3600</v>
      </c>
      <c r="R180" s="1941">
        <v>3600</v>
      </c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 s="2" customFormat="1" ht="52.5" hidden="1" thickBot="1" x14ac:dyDescent="0.3">
      <c r="A181" s="1"/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1063"/>
      <c r="K181" s="1063"/>
      <c r="L181" s="1063"/>
      <c r="M181" s="1063"/>
      <c r="N181" s="1940"/>
      <c r="O181" s="1941"/>
      <c r="P181" s="1941"/>
      <c r="Q181" s="1941"/>
      <c r="R181" s="194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 s="2" customFormat="1" ht="78.5" hidden="1" thickBot="1" x14ac:dyDescent="0.3">
      <c r="A182" s="1"/>
      <c r="B182" s="191" t="s">
        <v>775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1065">
        <f>J183</f>
        <v>330</v>
      </c>
      <c r="K182" s="1065"/>
      <c r="L182" s="1065">
        <f t="shared" ref="L182:R182" si="67">L183</f>
        <v>330</v>
      </c>
      <c r="M182" s="1065">
        <f t="shared" si="67"/>
        <v>335</v>
      </c>
      <c r="N182" s="1938">
        <f t="shared" si="67"/>
        <v>330</v>
      </c>
      <c r="O182" s="1939">
        <f t="shared" si="67"/>
        <v>330</v>
      </c>
      <c r="P182" s="1939">
        <f t="shared" si="67"/>
        <v>330</v>
      </c>
      <c r="Q182" s="1939">
        <f t="shared" si="67"/>
        <v>330</v>
      </c>
      <c r="R182" s="1939">
        <f t="shared" si="67"/>
        <v>330</v>
      </c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 s="2" customFormat="1" ht="92.25" hidden="1" customHeight="1" x14ac:dyDescent="0.25">
      <c r="A183" s="1"/>
      <c r="B183" s="76" t="s">
        <v>776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1063">
        <f>J184</f>
        <v>330</v>
      </c>
      <c r="K183" s="1063"/>
      <c r="L183" s="1063">
        <f>L184</f>
        <v>330</v>
      </c>
      <c r="M183" s="1063">
        <v>335</v>
      </c>
      <c r="N183" s="1940">
        <f>N184</f>
        <v>330</v>
      </c>
      <c r="O183" s="1941">
        <f>O184</f>
        <v>330</v>
      </c>
      <c r="P183" s="1941">
        <f>P184</f>
        <v>330</v>
      </c>
      <c r="Q183" s="1941">
        <f>Q184</f>
        <v>330</v>
      </c>
      <c r="R183" s="1941">
        <f>R184</f>
        <v>330</v>
      </c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 s="2" customFormat="1" ht="13.9" hidden="1" customHeight="1" x14ac:dyDescent="0.3">
      <c r="A184" s="1"/>
      <c r="B184" s="744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1063">
        <v>330</v>
      </c>
      <c r="K184" s="1063"/>
      <c r="L184" s="1063">
        <v>330</v>
      </c>
      <c r="M184" s="1063">
        <v>330</v>
      </c>
      <c r="N184" s="1940">
        <v>330</v>
      </c>
      <c r="O184" s="1941">
        <v>330</v>
      </c>
      <c r="P184" s="1941">
        <v>330</v>
      </c>
      <c r="Q184" s="1941">
        <v>330</v>
      </c>
      <c r="R184" s="1941">
        <v>330</v>
      </c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 s="2" customFormat="1" ht="13" hidden="1" thickBot="1" x14ac:dyDescent="0.3">
      <c r="A185" s="1"/>
      <c r="B185" s="6"/>
      <c r="C185" s="5"/>
      <c r="D185" s="4"/>
      <c r="E185" s="4"/>
      <c r="F185" s="4"/>
      <c r="G185" s="4"/>
      <c r="H185" s="4"/>
      <c r="I185" s="4"/>
      <c r="J185" s="1045"/>
      <c r="K185" s="1045"/>
      <c r="L185" s="1045"/>
      <c r="M185" s="1045"/>
      <c r="N185" s="1905"/>
      <c r="O185" s="1906"/>
      <c r="P185" s="1906"/>
      <c r="Q185" s="1906"/>
      <c r="R185" s="1906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 s="2" customFormat="1" ht="13" hidden="1" thickBot="1" x14ac:dyDescent="0.3">
      <c r="A186" s="1"/>
      <c r="B186" s="6"/>
      <c r="C186" s="5"/>
      <c r="D186" s="4"/>
      <c r="E186" s="4"/>
      <c r="F186" s="4"/>
      <c r="G186" s="4"/>
      <c r="H186" s="4"/>
      <c r="I186" s="4"/>
      <c r="J186" s="1045"/>
      <c r="K186" s="1045"/>
      <c r="L186" s="1045"/>
      <c r="M186" s="1045"/>
      <c r="N186" s="1905"/>
      <c r="O186" s="1906"/>
      <c r="P186" s="1906"/>
      <c r="Q186" s="1906"/>
      <c r="R186" s="1906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 s="2" customFormat="1" ht="13" hidden="1" thickBot="1" x14ac:dyDescent="0.3">
      <c r="A187" s="1"/>
      <c r="B187" s="6"/>
      <c r="C187" s="5"/>
      <c r="D187" s="4"/>
      <c r="E187" s="4"/>
      <c r="F187" s="4"/>
      <c r="G187" s="4"/>
      <c r="H187" s="4"/>
      <c r="I187" s="4"/>
      <c r="J187" s="1045"/>
      <c r="K187" s="1045"/>
      <c r="L187" s="1045"/>
      <c r="M187" s="1045"/>
      <c r="N187" s="1905"/>
      <c r="O187" s="1906"/>
      <c r="P187" s="1906"/>
      <c r="Q187" s="1906"/>
      <c r="R187" s="1906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 s="2" customFormat="1" ht="45" x14ac:dyDescent="0.25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1080" t="s">
        <v>319</v>
      </c>
      <c r="K188" s="1081"/>
      <c r="L188" s="1965" t="s">
        <v>318</v>
      </c>
      <c r="M188" s="1966" t="s">
        <v>317</v>
      </c>
      <c r="N188" s="1967" t="s">
        <v>791</v>
      </c>
      <c r="O188" s="1968" t="s">
        <v>779</v>
      </c>
      <c r="P188" s="1969" t="s">
        <v>315</v>
      </c>
      <c r="Q188" s="1970" t="s">
        <v>844</v>
      </c>
      <c r="R188" s="1971" t="s">
        <v>899</v>
      </c>
      <c r="X188" s="1972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 s="2" customFormat="1" ht="15" x14ac:dyDescent="0.25">
      <c r="A189" s="32"/>
      <c r="B189" s="1973" t="s">
        <v>314</v>
      </c>
      <c r="C189" s="179"/>
      <c r="D189" s="178"/>
      <c r="E189" s="178"/>
      <c r="F189" s="94"/>
      <c r="G189" s="94"/>
      <c r="H189" s="94"/>
      <c r="I189" s="94"/>
      <c r="J189" s="1082">
        <f>J190+J378</f>
        <v>72325.900000000009</v>
      </c>
      <c r="K189" s="1083"/>
      <c r="L189" s="1084">
        <f t="shared" ref="L189:R189" si="68">L190+L378</f>
        <v>70391</v>
      </c>
      <c r="M189" s="1548">
        <f t="shared" si="68"/>
        <v>70022.100000000006</v>
      </c>
      <c r="N189" s="1974">
        <f t="shared" si="68"/>
        <v>117214.8216</v>
      </c>
      <c r="O189" s="1975">
        <f t="shared" si="68"/>
        <v>78381.100000000006</v>
      </c>
      <c r="P189" s="1976">
        <f t="shared" si="68"/>
        <v>79311.600000000006</v>
      </c>
      <c r="Q189" s="1977">
        <f t="shared" si="68"/>
        <v>94576.186999999991</v>
      </c>
      <c r="R189" s="1978">
        <f t="shared" si="68"/>
        <v>96164.56</v>
      </c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 s="2" customFormat="1" ht="15" x14ac:dyDescent="0.25">
      <c r="A190" s="32"/>
      <c r="B190" s="1979" t="s">
        <v>313</v>
      </c>
      <c r="C190" s="179"/>
      <c r="D190" s="178"/>
      <c r="E190" s="178"/>
      <c r="F190" s="94"/>
      <c r="G190" s="94"/>
      <c r="H190" s="94"/>
      <c r="I190" s="94"/>
      <c r="J190" s="1084">
        <f>J191+J204+J215+J246+J266+J290+J299+J355</f>
        <v>25287.312000000002</v>
      </c>
      <c r="K190" s="1083"/>
      <c r="L190" s="1084">
        <f>L191+L204+L215+L246+L266+L290+L299+L355</f>
        <v>42242.735000000001</v>
      </c>
      <c r="M190" s="1548">
        <f>M191+M204+M215+M246+M266+M290+M299+M355</f>
        <v>40917.551999999996</v>
      </c>
      <c r="N190" s="1974">
        <f>N191+N204+N215+N246+N266+N290+N299+N311+N341+N365+N371</f>
        <v>80139.301599999992</v>
      </c>
      <c r="O190" s="1980">
        <f>O355+O311+O299+O290+O266+O246+O215+O204+O191</f>
        <v>55959.275000000001</v>
      </c>
      <c r="P190" s="1980">
        <f>P355+P311+P299+P290+P266+P246+P215+P204+P191</f>
        <v>55434.17</v>
      </c>
      <c r="Q190" s="1981">
        <f>Q355+Q311+Q299+Q290+Q266+Q246+Q215+Q204+Q191+Q322+Q341</f>
        <v>64557.609999999993</v>
      </c>
      <c r="R190" s="1978">
        <f>R355+R311+R299+R290+R266+R246+R215+R204+R191+R322+R341</f>
        <v>65974.811000000002</v>
      </c>
      <c r="W190" s="1972"/>
      <c r="X190" s="1972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 s="2" customFormat="1" ht="48" customHeight="1" x14ac:dyDescent="0.25">
      <c r="A191" s="91">
        <v>1</v>
      </c>
      <c r="B191" s="126" t="s">
        <v>906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1085">
        <f>J194+J199</f>
        <v>330</v>
      </c>
      <c r="K191" s="1079"/>
      <c r="L191" s="1079">
        <f t="shared" ref="L191:R191" si="69">L194+L199</f>
        <v>3930</v>
      </c>
      <c r="M191" s="1549">
        <f t="shared" si="69"/>
        <v>1185</v>
      </c>
      <c r="N191" s="1982">
        <f t="shared" si="69"/>
        <v>600</v>
      </c>
      <c r="O191" s="1983">
        <f t="shared" si="69"/>
        <v>450</v>
      </c>
      <c r="P191" s="1983">
        <f t="shared" si="69"/>
        <v>500</v>
      </c>
      <c r="Q191" s="1984">
        <f t="shared" si="69"/>
        <v>650</v>
      </c>
      <c r="R191" s="1985">
        <f t="shared" si="69"/>
        <v>700</v>
      </c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 s="2" customFormat="1" ht="52" hidden="1" x14ac:dyDescent="0.25">
      <c r="A192" s="32"/>
      <c r="B192" s="157" t="s">
        <v>771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1061"/>
      <c r="K192" s="1061"/>
      <c r="L192" s="1061"/>
      <c r="M192" s="1550"/>
      <c r="N192" s="1986"/>
      <c r="O192" s="1947"/>
      <c r="P192" s="1941"/>
      <c r="Q192" s="1987"/>
      <c r="R192" s="1988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 s="2" customFormat="1" ht="52" hidden="1" x14ac:dyDescent="0.25">
      <c r="A193" s="32"/>
      <c r="B193" s="49" t="s">
        <v>772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1061"/>
      <c r="K193" s="1061"/>
      <c r="L193" s="1061"/>
      <c r="M193" s="1550"/>
      <c r="N193" s="1986"/>
      <c r="O193" s="1947"/>
      <c r="P193" s="1941"/>
      <c r="Q193" s="1987"/>
      <c r="R193" s="1988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 s="2" customFormat="1" ht="78" hidden="1" x14ac:dyDescent="0.3">
      <c r="A194" s="32"/>
      <c r="B194" s="157" t="s">
        <v>780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1059">
        <f>J195</f>
        <v>0</v>
      </c>
      <c r="K194" s="1059"/>
      <c r="L194" s="1059">
        <f t="shared" ref="L194:R195" si="70">L195</f>
        <v>3600</v>
      </c>
      <c r="M194" s="1551">
        <f t="shared" si="70"/>
        <v>850</v>
      </c>
      <c r="N194" s="1989">
        <f t="shared" si="70"/>
        <v>0</v>
      </c>
      <c r="O194" s="1990">
        <f t="shared" si="70"/>
        <v>0</v>
      </c>
      <c r="P194" s="1934">
        <f t="shared" si="70"/>
        <v>0</v>
      </c>
      <c r="Q194" s="1991">
        <f t="shared" si="70"/>
        <v>0</v>
      </c>
      <c r="R194" s="1992">
        <f t="shared" si="70"/>
        <v>0</v>
      </c>
      <c r="S194" s="1089"/>
      <c r="T194" s="1089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 s="2" customFormat="1" ht="91" hidden="1" x14ac:dyDescent="0.3">
      <c r="A195" s="32"/>
      <c r="B195" s="49" t="s">
        <v>781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1061">
        <f>J196</f>
        <v>0</v>
      </c>
      <c r="K195" s="1061"/>
      <c r="L195" s="1061">
        <f t="shared" si="70"/>
        <v>3600</v>
      </c>
      <c r="M195" s="1550">
        <f t="shared" si="70"/>
        <v>850</v>
      </c>
      <c r="N195" s="1986">
        <f t="shared" si="70"/>
        <v>0</v>
      </c>
      <c r="O195" s="1947">
        <f t="shared" si="70"/>
        <v>0</v>
      </c>
      <c r="P195" s="1941">
        <f t="shared" si="70"/>
        <v>0</v>
      </c>
      <c r="Q195" s="1987">
        <f t="shared" si="70"/>
        <v>0</v>
      </c>
      <c r="R195" s="1988">
        <f t="shared" si="70"/>
        <v>0</v>
      </c>
      <c r="S195" s="1089"/>
      <c r="T195" s="1089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 s="2" customFormat="1" ht="26" hidden="1" x14ac:dyDescent="0.3">
      <c r="A196" s="32"/>
      <c r="B196" s="1993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1061">
        <f>J198</f>
        <v>0</v>
      </c>
      <c r="K196" s="1061"/>
      <c r="L196" s="1061">
        <v>3600</v>
      </c>
      <c r="M196" s="1550">
        <v>850</v>
      </c>
      <c r="N196" s="1986">
        <f>N198</f>
        <v>0</v>
      </c>
      <c r="O196" s="1947">
        <f>O198</f>
        <v>0</v>
      </c>
      <c r="P196" s="1941">
        <f>P198</f>
        <v>0</v>
      </c>
      <c r="Q196" s="1987">
        <f>Q198</f>
        <v>0</v>
      </c>
      <c r="R196" s="1988">
        <f>R198</f>
        <v>0</v>
      </c>
      <c r="S196" s="1089"/>
      <c r="T196" s="1089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 s="2" customFormat="1" ht="52" hidden="1" x14ac:dyDescent="0.3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1063"/>
      <c r="K197" s="1063"/>
      <c r="L197" s="1063"/>
      <c r="M197" s="1125"/>
      <c r="N197" s="1986"/>
      <c r="O197" s="1947"/>
      <c r="P197" s="1941"/>
      <c r="Q197" s="1987"/>
      <c r="R197" s="1988"/>
      <c r="S197" s="1089"/>
      <c r="T197" s="1089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 s="2" customFormat="1" ht="15" hidden="1" x14ac:dyDescent="0.3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 t="s">
        <v>464</v>
      </c>
      <c r="I198" s="9" t="s">
        <v>463</v>
      </c>
      <c r="J198" s="1061"/>
      <c r="K198" s="1061"/>
      <c r="L198" s="1061">
        <v>3600</v>
      </c>
      <c r="M198" s="1550">
        <v>850</v>
      </c>
      <c r="N198" s="1986"/>
      <c r="O198" s="1947"/>
      <c r="P198" s="1941"/>
      <c r="Q198" s="1987"/>
      <c r="R198" s="1988"/>
      <c r="S198" s="1089"/>
      <c r="T198" s="1089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 s="2" customFormat="1" ht="39" x14ac:dyDescent="0.3">
      <c r="A199" s="32"/>
      <c r="B199" s="157" t="s">
        <v>300</v>
      </c>
      <c r="C199" s="9"/>
      <c r="D199" s="9" t="s">
        <v>295</v>
      </c>
      <c r="E199" s="9" t="s">
        <v>62</v>
      </c>
      <c r="F199" s="9" t="s">
        <v>299</v>
      </c>
      <c r="G199" s="9"/>
      <c r="H199" s="9"/>
      <c r="I199" s="9"/>
      <c r="J199" s="1065">
        <f>J200</f>
        <v>330</v>
      </c>
      <c r="K199" s="1065"/>
      <c r="L199" s="1065">
        <f t="shared" ref="L199:R199" si="71">L200</f>
        <v>330</v>
      </c>
      <c r="M199" s="1552">
        <f t="shared" si="71"/>
        <v>335</v>
      </c>
      <c r="N199" s="1982">
        <f t="shared" si="71"/>
        <v>600</v>
      </c>
      <c r="O199" s="1994">
        <f t="shared" si="71"/>
        <v>450</v>
      </c>
      <c r="P199" s="1939">
        <f t="shared" si="71"/>
        <v>500</v>
      </c>
      <c r="Q199" s="1995">
        <f t="shared" si="71"/>
        <v>650</v>
      </c>
      <c r="R199" s="1985">
        <f t="shared" si="71"/>
        <v>700</v>
      </c>
      <c r="S199" s="1089"/>
      <c r="T199" s="1089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 s="2" customFormat="1" ht="39" x14ac:dyDescent="0.25">
      <c r="A200" s="32"/>
      <c r="B200" s="1092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1063">
        <f>J202</f>
        <v>330</v>
      </c>
      <c r="K200" s="1063"/>
      <c r="L200" s="1063">
        <f>L202</f>
        <v>330</v>
      </c>
      <c r="M200" s="1125">
        <v>335</v>
      </c>
      <c r="N200" s="1986">
        <f t="shared" ref="N200:R201" si="72">N202</f>
        <v>600</v>
      </c>
      <c r="O200" s="1947">
        <f t="shared" si="72"/>
        <v>450</v>
      </c>
      <c r="P200" s="1941">
        <f t="shared" si="72"/>
        <v>500</v>
      </c>
      <c r="Q200" s="1987">
        <f t="shared" si="72"/>
        <v>650</v>
      </c>
      <c r="R200" s="1988">
        <f t="shared" si="72"/>
        <v>700</v>
      </c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 s="2" customFormat="1" ht="26" x14ac:dyDescent="0.25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1063">
        <f>J203</f>
        <v>330</v>
      </c>
      <c r="K201" s="1063"/>
      <c r="L201" s="1063"/>
      <c r="M201" s="1125"/>
      <c r="N201" s="1986">
        <f t="shared" si="72"/>
        <v>600</v>
      </c>
      <c r="O201" s="1947">
        <f t="shared" si="72"/>
        <v>450</v>
      </c>
      <c r="P201" s="1941">
        <f t="shared" si="72"/>
        <v>500</v>
      </c>
      <c r="Q201" s="1987">
        <f t="shared" si="72"/>
        <v>650</v>
      </c>
      <c r="R201" s="1988">
        <f t="shared" si="72"/>
        <v>700</v>
      </c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 s="2" customFormat="1" ht="25.15" customHeight="1" x14ac:dyDescent="0.25">
      <c r="A202" s="32"/>
      <c r="B202" s="1993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1063">
        <f>J203</f>
        <v>330</v>
      </c>
      <c r="K202" s="1063"/>
      <c r="L202" s="1063">
        <v>330</v>
      </c>
      <c r="M202" s="1125">
        <v>330</v>
      </c>
      <c r="N202" s="1986">
        <f>N203</f>
        <v>600</v>
      </c>
      <c r="O202" s="1947">
        <f>O203</f>
        <v>450</v>
      </c>
      <c r="P202" s="1941">
        <f>P203</f>
        <v>500</v>
      </c>
      <c r="Q202" s="1987">
        <f>Q203</f>
        <v>650</v>
      </c>
      <c r="R202" s="1988">
        <f>R203</f>
        <v>700</v>
      </c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 ht="13.9" customHeight="1" x14ac:dyDescent="0.25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1063">
        <v>330</v>
      </c>
      <c r="K203" s="1063"/>
      <c r="L203" s="1063">
        <v>330</v>
      </c>
      <c r="M203" s="1125">
        <v>330</v>
      </c>
      <c r="N203" s="1986">
        <v>600</v>
      </c>
      <c r="O203" s="1947">
        <v>450</v>
      </c>
      <c r="P203" s="1941">
        <v>500</v>
      </c>
      <c r="Q203" s="1987">
        <v>650</v>
      </c>
      <c r="R203" s="1988">
        <v>700</v>
      </c>
    </row>
    <row r="204" spans="1:256" s="83" customFormat="1" ht="51.75" customHeight="1" x14ac:dyDescent="0.3">
      <c r="A204" s="91">
        <v>2</v>
      </c>
      <c r="B204" s="52" t="s">
        <v>907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 t="shared" ref="L204:R204" si="73">L206</f>
        <v>305</v>
      </c>
      <c r="M204" s="1553">
        <f t="shared" si="73"/>
        <v>310</v>
      </c>
      <c r="N204" s="1982">
        <f t="shared" si="73"/>
        <v>330</v>
      </c>
      <c r="O204" s="1958">
        <f t="shared" si="73"/>
        <v>315</v>
      </c>
      <c r="P204" s="1944">
        <f t="shared" si="73"/>
        <v>320</v>
      </c>
      <c r="Q204" s="1996">
        <f t="shared" si="73"/>
        <v>330</v>
      </c>
      <c r="R204" s="1997">
        <f t="shared" si="73"/>
        <v>350</v>
      </c>
      <c r="S204" s="84"/>
      <c r="T204" s="84"/>
      <c r="U204" s="84"/>
      <c r="V204" s="84"/>
      <c r="W204" s="84"/>
      <c r="X204" s="84"/>
    </row>
    <row r="205" spans="1:256" s="83" customFormat="1" ht="78" hidden="1" customHeight="1" x14ac:dyDescent="0.3">
      <c r="A205" s="85"/>
      <c r="B205" s="170" t="s">
        <v>755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1065"/>
      <c r="K205" s="1065"/>
      <c r="L205" s="1065"/>
      <c r="M205" s="1552"/>
      <c r="N205" s="1982"/>
      <c r="O205" s="1994"/>
      <c r="P205" s="1939"/>
      <c r="Q205" s="1995"/>
      <c r="R205" s="1985"/>
      <c r="S205" s="84"/>
      <c r="T205" s="84"/>
      <c r="U205" s="84"/>
      <c r="V205" s="84"/>
      <c r="W205" s="84"/>
      <c r="X205" s="84"/>
    </row>
    <row r="206" spans="1:256" s="83" customFormat="1" ht="55" customHeight="1" x14ac:dyDescent="0.3">
      <c r="A206" s="85"/>
      <c r="B206" s="1093" t="s">
        <v>289</v>
      </c>
      <c r="C206" s="9"/>
      <c r="D206" s="33" t="s">
        <v>52</v>
      </c>
      <c r="E206" s="33" t="s">
        <v>49</v>
      </c>
      <c r="F206" s="9" t="s">
        <v>286</v>
      </c>
      <c r="G206" s="9"/>
      <c r="H206" s="9"/>
      <c r="I206" s="33"/>
      <c r="J206" s="1063">
        <f>J208</f>
        <v>305</v>
      </c>
      <c r="K206" s="1065"/>
      <c r="L206" s="1065">
        <f t="shared" ref="L206:R206" si="74">L208</f>
        <v>305</v>
      </c>
      <c r="M206" s="1552">
        <f t="shared" si="74"/>
        <v>310</v>
      </c>
      <c r="N206" s="1986">
        <f t="shared" si="74"/>
        <v>330</v>
      </c>
      <c r="O206" s="1947">
        <f t="shared" si="74"/>
        <v>315</v>
      </c>
      <c r="P206" s="1941">
        <f t="shared" si="74"/>
        <v>320</v>
      </c>
      <c r="Q206" s="1987">
        <f t="shared" si="74"/>
        <v>330</v>
      </c>
      <c r="R206" s="1988">
        <f t="shared" si="74"/>
        <v>350</v>
      </c>
      <c r="S206" s="84"/>
      <c r="T206" s="84"/>
      <c r="U206" s="84"/>
      <c r="V206" s="84"/>
      <c r="W206" s="84"/>
      <c r="X206" s="84"/>
    </row>
    <row r="207" spans="1:256" s="83" customFormat="1" ht="26" x14ac:dyDescent="0.3">
      <c r="A207" s="85"/>
      <c r="B207" s="1094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1063">
        <f>J208</f>
        <v>305</v>
      </c>
      <c r="K207" s="1065"/>
      <c r="L207" s="1065"/>
      <c r="M207" s="1552"/>
      <c r="N207" s="1986">
        <f>N208</f>
        <v>330</v>
      </c>
      <c r="O207" s="1947">
        <f>O208</f>
        <v>315</v>
      </c>
      <c r="P207" s="1941">
        <f>P208</f>
        <v>320</v>
      </c>
      <c r="Q207" s="1987">
        <f>Q208</f>
        <v>330</v>
      </c>
      <c r="R207" s="1988">
        <f>R208</f>
        <v>350</v>
      </c>
      <c r="S207" s="84"/>
      <c r="T207" s="84"/>
      <c r="U207" s="84"/>
      <c r="V207" s="84"/>
      <c r="W207" s="84"/>
      <c r="X207" s="84"/>
    </row>
    <row r="208" spans="1:256" s="83" customFormat="1" ht="25.15" customHeight="1" x14ac:dyDescent="0.3">
      <c r="A208" s="85"/>
      <c r="B208" s="1993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1063">
        <f>J214</f>
        <v>305</v>
      </c>
      <c r="K208" s="1065"/>
      <c r="L208" s="1063">
        <v>305</v>
      </c>
      <c r="M208" s="1125">
        <v>310</v>
      </c>
      <c r="N208" s="1986">
        <f>N214</f>
        <v>330</v>
      </c>
      <c r="O208" s="1947">
        <f>O214</f>
        <v>315</v>
      </c>
      <c r="P208" s="1941">
        <f>P214</f>
        <v>320</v>
      </c>
      <c r="Q208" s="1987">
        <f>Q214</f>
        <v>330</v>
      </c>
      <c r="R208" s="1988">
        <f>R214</f>
        <v>350</v>
      </c>
      <c r="S208" s="84"/>
      <c r="T208" s="84"/>
      <c r="U208" s="84"/>
      <c r="V208" s="84"/>
      <c r="W208" s="84"/>
      <c r="X208" s="84"/>
    </row>
    <row r="209" spans="1:256" ht="53.5" hidden="1" customHeight="1" x14ac:dyDescent="0.25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L209" s="2"/>
      <c r="M209" s="1554"/>
      <c r="N209" s="1982"/>
      <c r="O209" s="1958"/>
      <c r="P209" s="1944"/>
      <c r="Q209" s="1996"/>
      <c r="R209" s="1997"/>
    </row>
    <row r="210" spans="1:256" ht="65" hidden="1" x14ac:dyDescent="0.3">
      <c r="A210" s="32"/>
      <c r="B210" s="168" t="s">
        <v>757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1058"/>
      <c r="K210" s="1058"/>
      <c r="L210" s="1058"/>
      <c r="M210" s="1555"/>
      <c r="N210" s="1989"/>
      <c r="O210" s="1990"/>
      <c r="P210" s="1934"/>
      <c r="Q210" s="1991"/>
      <c r="R210" s="1992"/>
    </row>
    <row r="211" spans="1:256" ht="81.650000000000006" hidden="1" customHeight="1" x14ac:dyDescent="0.3">
      <c r="A211" s="32"/>
      <c r="B211" s="167" t="s">
        <v>758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1058"/>
      <c r="K211" s="1058"/>
      <c r="L211" s="1058"/>
      <c r="M211" s="1555"/>
      <c r="N211" s="1989"/>
      <c r="O211" s="1990"/>
      <c r="P211" s="1934"/>
      <c r="Q211" s="1991"/>
      <c r="R211" s="1992"/>
    </row>
    <row r="212" spans="1:256" ht="81" hidden="1" customHeight="1" x14ac:dyDescent="0.3">
      <c r="A212" s="32"/>
      <c r="B212" s="168" t="s">
        <v>759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1065"/>
      <c r="K212" s="1065"/>
      <c r="L212" s="1065"/>
      <c r="M212" s="1552"/>
      <c r="N212" s="1982"/>
      <c r="O212" s="1994"/>
      <c r="P212" s="1939"/>
      <c r="Q212" s="1995"/>
      <c r="R212" s="1985"/>
    </row>
    <row r="213" spans="1:256" ht="52" hidden="1" x14ac:dyDescent="0.3">
      <c r="A213" s="32"/>
      <c r="B213" s="167" t="s">
        <v>760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1065"/>
      <c r="K213" s="1065"/>
      <c r="L213" s="1065"/>
      <c r="M213" s="1552"/>
      <c r="N213" s="1982"/>
      <c r="O213" s="1994"/>
      <c r="P213" s="1939"/>
      <c r="Q213" s="1995"/>
      <c r="R213" s="1985"/>
    </row>
    <row r="214" spans="1:256" ht="13" x14ac:dyDescent="0.3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1063">
        <v>305</v>
      </c>
      <c r="K214" s="1065"/>
      <c r="L214" s="1063">
        <v>305</v>
      </c>
      <c r="M214" s="1125">
        <v>310</v>
      </c>
      <c r="N214" s="1986">
        <v>330</v>
      </c>
      <c r="O214" s="1947">
        <v>315</v>
      </c>
      <c r="P214" s="1941">
        <v>320</v>
      </c>
      <c r="Q214" s="1987">
        <v>330</v>
      </c>
      <c r="R214" s="1988">
        <v>350</v>
      </c>
    </row>
    <row r="215" spans="1:256" ht="53.25" customHeight="1" x14ac:dyDescent="0.25">
      <c r="A215" s="91">
        <v>3</v>
      </c>
      <c r="B215" s="52" t="s">
        <v>908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J216+J227+J240</f>
        <v>7755.5</v>
      </c>
      <c r="K215" s="51"/>
      <c r="L215" s="51">
        <f t="shared" ref="L215:R215" si="75">L216+L227+L240</f>
        <v>7755.5</v>
      </c>
      <c r="M215" s="1553">
        <f t="shared" si="75"/>
        <v>8382.5</v>
      </c>
      <c r="N215" s="1982">
        <f t="shared" si="75"/>
        <v>17310.599000000002</v>
      </c>
      <c r="O215" s="1958">
        <f t="shared" si="75"/>
        <v>8514.5999999999985</v>
      </c>
      <c r="P215" s="1944">
        <f t="shared" si="75"/>
        <v>8600</v>
      </c>
      <c r="Q215" s="1996">
        <f t="shared" si="75"/>
        <v>15553.339999999998</v>
      </c>
      <c r="R215" s="1997">
        <f t="shared" si="75"/>
        <v>16146.57</v>
      </c>
    </row>
    <row r="216" spans="1:256" ht="26" x14ac:dyDescent="0.25">
      <c r="A216" s="32"/>
      <c r="B216" s="157" t="s">
        <v>909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1062">
        <f>J223</f>
        <v>272</v>
      </c>
      <c r="K216" s="1062"/>
      <c r="L216" s="1062">
        <f>L223</f>
        <v>172</v>
      </c>
      <c r="M216" s="1556">
        <f>M223</f>
        <v>184</v>
      </c>
      <c r="N216" s="1998">
        <f>N219</f>
        <v>348</v>
      </c>
      <c r="O216" s="1999">
        <f>O219</f>
        <v>302</v>
      </c>
      <c r="P216" s="1937">
        <f>P219</f>
        <v>337</v>
      </c>
      <c r="Q216" s="2000">
        <f>Q219</f>
        <v>362</v>
      </c>
      <c r="R216" s="2001">
        <f>R219</f>
        <v>377</v>
      </c>
    </row>
    <row r="217" spans="1:256" ht="75" hidden="1" customHeight="1" x14ac:dyDescent="0.25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1062"/>
      <c r="K217" s="1062"/>
      <c r="L217" s="1062"/>
      <c r="M217" s="1556"/>
      <c r="N217" s="1998"/>
      <c r="O217" s="1999"/>
      <c r="P217" s="1937"/>
      <c r="Q217" s="2000"/>
      <c r="R217" s="2001"/>
    </row>
    <row r="218" spans="1:256" ht="25.15" hidden="1" customHeight="1" x14ac:dyDescent="0.25">
      <c r="A218" s="32"/>
      <c r="B218" s="1993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1062"/>
      <c r="K218" s="1062"/>
      <c r="L218" s="1062"/>
      <c r="M218" s="1556"/>
      <c r="N218" s="1998"/>
      <c r="O218" s="1999"/>
      <c r="P218" s="1937"/>
      <c r="Q218" s="2000"/>
      <c r="R218" s="2001"/>
    </row>
    <row r="219" spans="1:256" s="2" customFormat="1" ht="25.15" customHeight="1" x14ac:dyDescent="0.25">
      <c r="A219" s="32"/>
      <c r="B219" s="1093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1062">
        <f>J223</f>
        <v>272</v>
      </c>
      <c r="K219" s="1062"/>
      <c r="L219" s="1062"/>
      <c r="M219" s="1556"/>
      <c r="N219" s="1998">
        <f>N223+N220</f>
        <v>348</v>
      </c>
      <c r="O219" s="1999">
        <f>O223</f>
        <v>302</v>
      </c>
      <c r="P219" s="1937">
        <f>P223</f>
        <v>337</v>
      </c>
      <c r="Q219" s="2002">
        <f t="shared" ref="Q219:R219" si="76">Q223+Q220</f>
        <v>362</v>
      </c>
      <c r="R219" s="2002">
        <f t="shared" si="76"/>
        <v>377</v>
      </c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spans="1:256" s="2" customFormat="1" ht="25.15" customHeight="1" x14ac:dyDescent="0.25">
      <c r="A220" s="32"/>
      <c r="B220" s="762" t="s">
        <v>1037</v>
      </c>
      <c r="C220" s="34"/>
      <c r="D220" s="34"/>
      <c r="E220" s="34"/>
      <c r="F220" s="9" t="s">
        <v>507</v>
      </c>
      <c r="G220" s="9"/>
      <c r="H220" s="9"/>
      <c r="I220" s="34"/>
      <c r="J220" s="1062"/>
      <c r="K220" s="1062"/>
      <c r="L220" s="1062"/>
      <c r="M220" s="1556"/>
      <c r="N220" s="1998">
        <f>N221</f>
        <v>98</v>
      </c>
      <c r="O220" s="1999"/>
      <c r="P220" s="1937"/>
      <c r="Q220" s="2000">
        <f>Q221</f>
        <v>102</v>
      </c>
      <c r="R220" s="2001">
        <f>R221</f>
        <v>107</v>
      </c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spans="1:256" s="2" customFormat="1" ht="25.15" customHeight="1" x14ac:dyDescent="0.25">
      <c r="A221" s="32"/>
      <c r="B221" s="1993" t="s">
        <v>4</v>
      </c>
      <c r="C221" s="34"/>
      <c r="D221" s="34"/>
      <c r="E221" s="34"/>
      <c r="F221" s="9" t="s">
        <v>507</v>
      </c>
      <c r="G221" s="9"/>
      <c r="H221" s="9"/>
      <c r="I221" s="34"/>
      <c r="J221" s="1062"/>
      <c r="K221" s="1062"/>
      <c r="L221" s="1062"/>
      <c r="M221" s="1556"/>
      <c r="N221" s="1998">
        <f>N222</f>
        <v>98</v>
      </c>
      <c r="O221" s="1999"/>
      <c r="P221" s="1937"/>
      <c r="Q221" s="2000">
        <f>Q222</f>
        <v>102</v>
      </c>
      <c r="R221" s="2001">
        <f>R222</f>
        <v>107</v>
      </c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spans="1:256" s="2" customFormat="1" ht="25.15" customHeight="1" x14ac:dyDescent="0.3">
      <c r="A222" s="32"/>
      <c r="B222" s="2003" t="s">
        <v>964</v>
      </c>
      <c r="C222" s="34"/>
      <c r="D222" s="34"/>
      <c r="E222" s="34"/>
      <c r="F222" s="9" t="s">
        <v>507</v>
      </c>
      <c r="G222" s="9" t="s">
        <v>1</v>
      </c>
      <c r="H222" s="9" t="s">
        <v>506</v>
      </c>
      <c r="I222" s="9" t="s">
        <v>506</v>
      </c>
      <c r="J222" s="1062"/>
      <c r="K222" s="1062"/>
      <c r="L222" s="1062"/>
      <c r="M222" s="1556"/>
      <c r="N222" s="1998">
        <v>98</v>
      </c>
      <c r="O222" s="1999"/>
      <c r="P222" s="1937"/>
      <c r="Q222" s="2000">
        <v>102</v>
      </c>
      <c r="R222" s="2001">
        <v>107</v>
      </c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spans="1:256" s="2" customFormat="1" ht="26" x14ac:dyDescent="0.25">
      <c r="A223" s="32"/>
      <c r="B223" s="49" t="s">
        <v>266</v>
      </c>
      <c r="C223" s="34"/>
      <c r="D223" s="34" t="s">
        <v>265</v>
      </c>
      <c r="E223" s="34" t="s">
        <v>262</v>
      </c>
      <c r="F223" s="9" t="s">
        <v>263</v>
      </c>
      <c r="G223" s="9"/>
      <c r="H223" s="9"/>
      <c r="I223" s="34"/>
      <c r="J223" s="1062">
        <f>J224</f>
        <v>272</v>
      </c>
      <c r="K223" s="1062"/>
      <c r="L223" s="1062">
        <f>L224</f>
        <v>172</v>
      </c>
      <c r="M223" s="1556">
        <f>M224</f>
        <v>184</v>
      </c>
      <c r="N223" s="1998">
        <f t="shared" ref="N223:R224" si="77">N224</f>
        <v>250</v>
      </c>
      <c r="O223" s="1999">
        <f t="shared" si="77"/>
        <v>302</v>
      </c>
      <c r="P223" s="1937">
        <f t="shared" si="77"/>
        <v>337</v>
      </c>
      <c r="Q223" s="2000">
        <f t="shared" si="77"/>
        <v>260</v>
      </c>
      <c r="R223" s="2001">
        <f t="shared" si="77"/>
        <v>270</v>
      </c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spans="1:256" s="2" customFormat="1" ht="25.15" customHeight="1" x14ac:dyDescent="0.25">
      <c r="A224" s="32"/>
      <c r="B224" s="1993" t="s">
        <v>4</v>
      </c>
      <c r="C224" s="34"/>
      <c r="D224" s="34" t="s">
        <v>265</v>
      </c>
      <c r="E224" s="34" t="s">
        <v>262</v>
      </c>
      <c r="F224" s="9" t="s">
        <v>263</v>
      </c>
      <c r="G224" s="9" t="s">
        <v>1</v>
      </c>
      <c r="H224" s="9"/>
      <c r="I224" s="9"/>
      <c r="J224" s="1062">
        <f>J225</f>
        <v>272</v>
      </c>
      <c r="K224" s="1062"/>
      <c r="L224" s="1062">
        <v>172</v>
      </c>
      <c r="M224" s="1556">
        <v>184</v>
      </c>
      <c r="N224" s="1998">
        <f t="shared" si="77"/>
        <v>250</v>
      </c>
      <c r="O224" s="1999">
        <f t="shared" si="77"/>
        <v>302</v>
      </c>
      <c r="P224" s="1937">
        <f t="shared" si="77"/>
        <v>337</v>
      </c>
      <c r="Q224" s="2000">
        <f t="shared" si="77"/>
        <v>260</v>
      </c>
      <c r="R224" s="2001">
        <f t="shared" si="77"/>
        <v>270</v>
      </c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spans="1:256" s="2" customFormat="1" ht="16.899999999999999" customHeight="1" x14ac:dyDescent="0.3">
      <c r="A225" s="32"/>
      <c r="B225" s="2003" t="s">
        <v>964</v>
      </c>
      <c r="C225" s="34"/>
      <c r="D225" s="34"/>
      <c r="E225" s="34"/>
      <c r="F225" s="9" t="s">
        <v>263</v>
      </c>
      <c r="G225" s="9" t="s">
        <v>1</v>
      </c>
      <c r="H225" s="9" t="s">
        <v>506</v>
      </c>
      <c r="I225" s="9" t="s">
        <v>506</v>
      </c>
      <c r="J225" s="1062">
        <v>272</v>
      </c>
      <c r="K225" s="1062"/>
      <c r="L225" s="1062">
        <v>172</v>
      </c>
      <c r="M225" s="1556">
        <v>184</v>
      </c>
      <c r="N225" s="1998">
        <f>348-98</f>
        <v>250</v>
      </c>
      <c r="O225" s="1999">
        <v>302</v>
      </c>
      <c r="P225" s="1937">
        <v>337</v>
      </c>
      <c r="Q225" s="2000">
        <f>362-102</f>
        <v>260</v>
      </c>
      <c r="R225" s="2001">
        <f>377-107</f>
        <v>270</v>
      </c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spans="1:256" s="2" customFormat="1" ht="48" hidden="1" customHeight="1" x14ac:dyDescent="0.25">
      <c r="A226" s="91"/>
      <c r="B226" s="52" t="s">
        <v>910</v>
      </c>
      <c r="C226" s="34"/>
      <c r="D226" s="34" t="s">
        <v>246</v>
      </c>
      <c r="E226" s="34" t="s">
        <v>85</v>
      </c>
      <c r="F226" s="34" t="s">
        <v>252</v>
      </c>
      <c r="G226" s="131"/>
      <c r="H226" s="131"/>
      <c r="I226" s="34"/>
      <c r="J226" s="51">
        <f>J227</f>
        <v>6205</v>
      </c>
      <c r="K226" s="51"/>
      <c r="L226" s="51">
        <f t="shared" ref="L226:R226" si="78">L227</f>
        <v>6305</v>
      </c>
      <c r="M226" s="1553">
        <f t="shared" si="78"/>
        <v>6960</v>
      </c>
      <c r="N226" s="1982">
        <f t="shared" si="78"/>
        <v>13348.895</v>
      </c>
      <c r="O226" s="1958">
        <f t="shared" si="78"/>
        <v>6962.0999999999995</v>
      </c>
      <c r="P226" s="1944">
        <f t="shared" si="78"/>
        <v>6915</v>
      </c>
      <c r="Q226" s="1996">
        <f t="shared" si="78"/>
        <v>12173.939999999999</v>
      </c>
      <c r="R226" s="1997">
        <f t="shared" si="78"/>
        <v>12431.57</v>
      </c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spans="1:256" s="2" customFormat="1" ht="39" x14ac:dyDescent="0.25">
      <c r="A227" s="32"/>
      <c r="B227" s="157" t="s">
        <v>911</v>
      </c>
      <c r="C227" s="9"/>
      <c r="D227" s="9" t="s">
        <v>246</v>
      </c>
      <c r="E227" s="9" t="s">
        <v>85</v>
      </c>
      <c r="F227" s="9" t="s">
        <v>260</v>
      </c>
      <c r="G227" s="9"/>
      <c r="H227" s="9"/>
      <c r="I227" s="9"/>
      <c r="J227" s="1060">
        <f>J229</f>
        <v>6205</v>
      </c>
      <c r="K227" s="1060"/>
      <c r="L227" s="1060">
        <f t="shared" ref="L227:P227" si="79">L229</f>
        <v>6305</v>
      </c>
      <c r="M227" s="1557">
        <f t="shared" si="79"/>
        <v>6960</v>
      </c>
      <c r="N227" s="1998">
        <f>N228</f>
        <v>13348.895</v>
      </c>
      <c r="O227" s="1999">
        <f t="shared" si="79"/>
        <v>6962.0999999999995</v>
      </c>
      <c r="P227" s="1937">
        <f t="shared" si="79"/>
        <v>6915</v>
      </c>
      <c r="Q227" s="2000">
        <f>Q228</f>
        <v>12173.939999999999</v>
      </c>
      <c r="R227" s="2001">
        <f>R228</f>
        <v>12431.57</v>
      </c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spans="1:256" s="2" customFormat="1" ht="13" x14ac:dyDescent="0.25">
      <c r="A228" s="32"/>
      <c r="B228" s="1093" t="s">
        <v>259</v>
      </c>
      <c r="C228" s="9"/>
      <c r="D228" s="9"/>
      <c r="E228" s="9"/>
      <c r="F228" s="9" t="s">
        <v>258</v>
      </c>
      <c r="G228" s="9"/>
      <c r="H228" s="9"/>
      <c r="I228" s="9"/>
      <c r="J228" s="1060">
        <f>J229</f>
        <v>6205</v>
      </c>
      <c r="K228" s="1060"/>
      <c r="L228" s="1060"/>
      <c r="M228" s="1557"/>
      <c r="N228" s="1998">
        <f>N229+N237</f>
        <v>13348.895</v>
      </c>
      <c r="O228" s="1999">
        <f>O229</f>
        <v>6962.0999999999995</v>
      </c>
      <c r="P228" s="1937">
        <f>P229</f>
        <v>6915</v>
      </c>
      <c r="Q228" s="2000">
        <f>Q229+Q237</f>
        <v>12173.939999999999</v>
      </c>
      <c r="R228" s="2001">
        <f>R229+R237</f>
        <v>12431.57</v>
      </c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spans="1:256" s="2" customFormat="1" ht="26" x14ac:dyDescent="0.25">
      <c r="A229" s="32"/>
      <c r="B229" s="49" t="s">
        <v>257</v>
      </c>
      <c r="C229" s="9"/>
      <c r="D229" s="9" t="s">
        <v>246</v>
      </c>
      <c r="E229" s="9" t="s">
        <v>85</v>
      </c>
      <c r="F229" s="9" t="s">
        <v>254</v>
      </c>
      <c r="G229" s="9"/>
      <c r="H229" s="9"/>
      <c r="I229" s="9"/>
      <c r="J229" s="1060">
        <f>J230+J232+J234</f>
        <v>6205</v>
      </c>
      <c r="K229" s="1060"/>
      <c r="L229" s="1060">
        <f t="shared" ref="L229:R229" si="80">L230+L232+L234</f>
        <v>6305</v>
      </c>
      <c r="M229" s="1557">
        <f t="shared" si="80"/>
        <v>6960</v>
      </c>
      <c r="N229" s="2004">
        <f t="shared" si="80"/>
        <v>10682.695</v>
      </c>
      <c r="O229" s="2005">
        <f t="shared" si="80"/>
        <v>6962.0999999999995</v>
      </c>
      <c r="P229" s="2006">
        <f t="shared" si="80"/>
        <v>6915</v>
      </c>
      <c r="Q229" s="2007">
        <f t="shared" si="80"/>
        <v>9507.74</v>
      </c>
      <c r="R229" s="2008">
        <f t="shared" si="80"/>
        <v>9765.3700000000008</v>
      </c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spans="1:256" s="2" customFormat="1" ht="13" x14ac:dyDescent="0.3">
      <c r="A230" s="32"/>
      <c r="B230" s="744" t="s">
        <v>256</v>
      </c>
      <c r="C230" s="9"/>
      <c r="D230" s="9" t="s">
        <v>246</v>
      </c>
      <c r="E230" s="9" t="s">
        <v>85</v>
      </c>
      <c r="F230" s="9" t="s">
        <v>254</v>
      </c>
      <c r="G230" s="9" t="s">
        <v>255</v>
      </c>
      <c r="H230" s="9"/>
      <c r="I230" s="9"/>
      <c r="J230" s="1060">
        <f>J231</f>
        <v>4156.915</v>
      </c>
      <c r="K230" s="1078"/>
      <c r="L230" s="1060">
        <v>5305.1139999999996</v>
      </c>
      <c r="M230" s="1557">
        <v>6631.482</v>
      </c>
      <c r="N230" s="1998">
        <f>N231</f>
        <v>7793.6940000000004</v>
      </c>
      <c r="O230" s="1999">
        <f>O231</f>
        <v>4886.9669999999996</v>
      </c>
      <c r="P230" s="1937">
        <f>P231</f>
        <v>5375.0079999999998</v>
      </c>
      <c r="Q230" s="2000">
        <f>Q231</f>
        <v>7375.74</v>
      </c>
      <c r="R230" s="2001">
        <f>R231</f>
        <v>7670.77</v>
      </c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spans="1:256" s="2" customFormat="1" ht="13" x14ac:dyDescent="0.3">
      <c r="A231" s="32"/>
      <c r="B231" s="744" t="s">
        <v>87</v>
      </c>
      <c r="C231" s="9"/>
      <c r="D231" s="9"/>
      <c r="E231" s="9"/>
      <c r="F231" s="9" t="s">
        <v>254</v>
      </c>
      <c r="G231" s="9" t="s">
        <v>255</v>
      </c>
      <c r="H231" s="9" t="s">
        <v>453</v>
      </c>
      <c r="I231" s="9" t="s">
        <v>456</v>
      </c>
      <c r="J231" s="1060">
        <v>4156.915</v>
      </c>
      <c r="K231" s="1078"/>
      <c r="L231" s="1060"/>
      <c r="M231" s="1557"/>
      <c r="N231" s="1998">
        <f>7092.058+391.636+310</f>
        <v>7793.6940000000004</v>
      </c>
      <c r="O231" s="1999">
        <v>4886.9669999999996</v>
      </c>
      <c r="P231" s="1937">
        <v>5375.0079999999998</v>
      </c>
      <c r="Q231" s="2000">
        <v>7375.74</v>
      </c>
      <c r="R231" s="2001">
        <v>7670.77</v>
      </c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spans="1:256" s="2" customFormat="1" ht="25.15" customHeight="1" x14ac:dyDescent="0.25">
      <c r="A232" s="32"/>
      <c r="B232" s="1993" t="s">
        <v>4</v>
      </c>
      <c r="C232" s="9"/>
      <c r="D232" s="9" t="s">
        <v>246</v>
      </c>
      <c r="E232" s="9" t="s">
        <v>85</v>
      </c>
      <c r="F232" s="9" t="s">
        <v>254</v>
      </c>
      <c r="G232" s="9" t="s">
        <v>1</v>
      </c>
      <c r="H232" s="9"/>
      <c r="I232" s="9"/>
      <c r="J232" s="1060">
        <f>J233</f>
        <v>2047.085</v>
      </c>
      <c r="K232" s="1060"/>
      <c r="L232" s="1060">
        <f>999.886-0.886</f>
        <v>999</v>
      </c>
      <c r="M232" s="1557">
        <v>328</v>
      </c>
      <c r="N232" s="1998">
        <f>N233</f>
        <v>2879.0010000000002</v>
      </c>
      <c r="O232" s="1999">
        <f>O233</f>
        <v>2074.1329999999998</v>
      </c>
      <c r="P232" s="1937">
        <f>P233</f>
        <v>1538.992</v>
      </c>
      <c r="Q232" s="2000">
        <f>Q233</f>
        <v>2122</v>
      </c>
      <c r="R232" s="2001">
        <f>R233</f>
        <v>2084.6</v>
      </c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 s="2" customFormat="1" ht="13" x14ac:dyDescent="0.3">
      <c r="A233" s="32"/>
      <c r="B233" s="744" t="s">
        <v>87</v>
      </c>
      <c r="C233" s="9"/>
      <c r="D233" s="9"/>
      <c r="E233" s="9"/>
      <c r="F233" s="9" t="s">
        <v>254</v>
      </c>
      <c r="G233" s="9" t="s">
        <v>1</v>
      </c>
      <c r="H233" s="9" t="s">
        <v>453</v>
      </c>
      <c r="I233" s="9" t="s">
        <v>456</v>
      </c>
      <c r="J233" s="1060">
        <v>2047.085</v>
      </c>
      <c r="K233" s="1060"/>
      <c r="L233" s="1060"/>
      <c r="M233" s="1557"/>
      <c r="N233" s="1998">
        <f>2809.001+70</f>
        <v>2879.0010000000002</v>
      </c>
      <c r="O233" s="1999">
        <v>2074.1329999999998</v>
      </c>
      <c r="P233" s="1937">
        <v>1538.992</v>
      </c>
      <c r="Q233" s="2000">
        <v>2122</v>
      </c>
      <c r="R233" s="2001">
        <v>2084.6</v>
      </c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 s="2" customFormat="1" ht="13" x14ac:dyDescent="0.3">
      <c r="A234" s="32"/>
      <c r="B234" s="744" t="s">
        <v>94</v>
      </c>
      <c r="C234" s="9"/>
      <c r="D234" s="9" t="s">
        <v>246</v>
      </c>
      <c r="E234" s="9" t="s">
        <v>85</v>
      </c>
      <c r="F234" s="9" t="s">
        <v>254</v>
      </c>
      <c r="G234" s="9" t="s">
        <v>91</v>
      </c>
      <c r="H234" s="9"/>
      <c r="I234" s="9"/>
      <c r="J234" s="1062">
        <f>J235</f>
        <v>1</v>
      </c>
      <c r="K234" s="1062"/>
      <c r="L234" s="1062">
        <v>0.88600000000000001</v>
      </c>
      <c r="M234" s="1556">
        <v>0.51800000000000002</v>
      </c>
      <c r="N234" s="1998">
        <f>N235</f>
        <v>10</v>
      </c>
      <c r="O234" s="1999">
        <f>O235</f>
        <v>1</v>
      </c>
      <c r="P234" s="1937">
        <f>P235</f>
        <v>1</v>
      </c>
      <c r="Q234" s="2000">
        <f>Q235</f>
        <v>10</v>
      </c>
      <c r="R234" s="2001">
        <f>R235</f>
        <v>10</v>
      </c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 s="2" customFormat="1" ht="13" x14ac:dyDescent="0.3">
      <c r="A235" s="32"/>
      <c r="B235" s="744" t="s">
        <v>87</v>
      </c>
      <c r="C235" s="9"/>
      <c r="D235" s="9"/>
      <c r="E235" s="9"/>
      <c r="F235" s="9" t="s">
        <v>254</v>
      </c>
      <c r="G235" s="9" t="s">
        <v>91</v>
      </c>
      <c r="H235" s="9" t="s">
        <v>453</v>
      </c>
      <c r="I235" s="9" t="s">
        <v>456</v>
      </c>
      <c r="J235" s="1062">
        <v>1</v>
      </c>
      <c r="K235" s="1062"/>
      <c r="L235" s="1062">
        <f>L230+L232+L234</f>
        <v>6305</v>
      </c>
      <c r="M235" s="1556">
        <f>M230+M232+M234</f>
        <v>6960</v>
      </c>
      <c r="N235" s="1998">
        <v>10</v>
      </c>
      <c r="O235" s="1999">
        <v>1</v>
      </c>
      <c r="P235" s="1937">
        <v>1</v>
      </c>
      <c r="Q235" s="2000">
        <v>10</v>
      </c>
      <c r="R235" s="2001">
        <v>10</v>
      </c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 s="2" customFormat="1" ht="39.65" hidden="1" customHeight="1" x14ac:dyDescent="0.25">
      <c r="A236" s="91"/>
      <c r="B236" s="52" t="s">
        <v>910</v>
      </c>
      <c r="C236" s="34"/>
      <c r="D236" s="34" t="s">
        <v>246</v>
      </c>
      <c r="E236" s="34" t="s">
        <v>242</v>
      </c>
      <c r="F236" s="9" t="s">
        <v>252</v>
      </c>
      <c r="G236" s="131"/>
      <c r="H236" s="131"/>
      <c r="I236" s="34"/>
      <c r="J236" s="51">
        <f>J240</f>
        <v>1278.5</v>
      </c>
      <c r="K236" s="51"/>
      <c r="L236" s="51">
        <f t="shared" ref="L236:R236" si="81">L240</f>
        <v>1278.5</v>
      </c>
      <c r="M236" s="1553">
        <f t="shared" si="81"/>
        <v>1238.5</v>
      </c>
      <c r="N236" s="1982">
        <f t="shared" si="81"/>
        <v>3613.7040000000002</v>
      </c>
      <c r="O236" s="1958">
        <f t="shared" si="81"/>
        <v>1250.5</v>
      </c>
      <c r="P236" s="1944">
        <f t="shared" si="81"/>
        <v>1348</v>
      </c>
      <c r="Q236" s="1996">
        <f t="shared" si="81"/>
        <v>3017.4</v>
      </c>
      <c r="R236" s="1997">
        <f t="shared" si="81"/>
        <v>3338</v>
      </c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 s="2" customFormat="1" ht="26.5" customHeight="1" x14ac:dyDescent="0.3">
      <c r="A237" s="91"/>
      <c r="B237" s="2009" t="s">
        <v>830</v>
      </c>
      <c r="C237" s="735"/>
      <c r="D237" s="77"/>
      <c r="E237" s="77"/>
      <c r="F237" s="9" t="s">
        <v>970</v>
      </c>
      <c r="G237" s="9"/>
      <c r="H237" s="9"/>
      <c r="I237" s="9"/>
      <c r="J237" s="1434"/>
      <c r="K237" s="29"/>
      <c r="L237" s="28"/>
      <c r="M237" s="1558"/>
      <c r="N237" s="1986">
        <f>N238</f>
        <v>2666.2</v>
      </c>
      <c r="O237" s="1947"/>
      <c r="P237" s="1947"/>
      <c r="Q237" s="2010">
        <f>Q238</f>
        <v>2666.2</v>
      </c>
      <c r="R237" s="1988">
        <f>R238</f>
        <v>2666.2</v>
      </c>
      <c r="S237" s="2">
        <v>712.6</v>
      </c>
      <c r="T237" s="2">
        <v>712.6</v>
      </c>
      <c r="U237" s="2">
        <v>712.6</v>
      </c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 s="2" customFormat="1" ht="17.149999999999999" customHeight="1" x14ac:dyDescent="0.3">
      <c r="A238" s="91"/>
      <c r="B238" s="737" t="s">
        <v>256</v>
      </c>
      <c r="C238" s="735"/>
      <c r="D238" s="77"/>
      <c r="E238" s="77"/>
      <c r="F238" s="9" t="s">
        <v>970</v>
      </c>
      <c r="G238" s="9" t="s">
        <v>255</v>
      </c>
      <c r="H238" s="9"/>
      <c r="I238" s="9"/>
      <c r="J238" s="1434"/>
      <c r="K238" s="29"/>
      <c r="L238" s="28"/>
      <c r="M238" s="1558"/>
      <c r="N238" s="1986">
        <f>N239</f>
        <v>2666.2</v>
      </c>
      <c r="O238" s="1947"/>
      <c r="P238" s="1947"/>
      <c r="Q238" s="2010">
        <f>Q239</f>
        <v>2666.2</v>
      </c>
      <c r="R238" s="1988">
        <f>R239</f>
        <v>2666.2</v>
      </c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</row>
    <row r="239" spans="1:256" s="2" customFormat="1" ht="18" customHeight="1" x14ac:dyDescent="0.3">
      <c r="A239" s="91"/>
      <c r="B239" s="744" t="s">
        <v>87</v>
      </c>
      <c r="C239" s="735"/>
      <c r="D239" s="77"/>
      <c r="E239" s="77"/>
      <c r="F239" s="9" t="s">
        <v>985</v>
      </c>
      <c r="G239" s="9" t="s">
        <v>255</v>
      </c>
      <c r="H239" s="9" t="s">
        <v>453</v>
      </c>
      <c r="I239" s="9" t="s">
        <v>456</v>
      </c>
      <c r="J239" s="1434"/>
      <c r="K239" s="29"/>
      <c r="L239" s="28"/>
      <c r="M239" s="1558"/>
      <c r="N239" s="1986">
        <v>2666.2</v>
      </c>
      <c r="O239" s="1947"/>
      <c r="P239" s="1947"/>
      <c r="Q239" s="2010">
        <v>2666.2</v>
      </c>
      <c r="R239" s="1988">
        <v>2666.2</v>
      </c>
      <c r="S239" s="2011">
        <v>2666.2</v>
      </c>
      <c r="T239" s="2011">
        <v>2666.2</v>
      </c>
      <c r="U239" s="2011">
        <v>2666.2</v>
      </c>
      <c r="V239" s="830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</row>
    <row r="240" spans="1:256" s="2" customFormat="1" ht="26" x14ac:dyDescent="0.25">
      <c r="A240" s="32"/>
      <c r="B240" s="157" t="s">
        <v>836</v>
      </c>
      <c r="C240" s="9"/>
      <c r="D240" s="9" t="s">
        <v>246</v>
      </c>
      <c r="E240" s="9" t="s">
        <v>242</v>
      </c>
      <c r="F240" s="9" t="s">
        <v>251</v>
      </c>
      <c r="G240" s="9"/>
      <c r="H240" s="9"/>
      <c r="I240" s="9"/>
      <c r="J240" s="1060">
        <f>J242</f>
        <v>1278.5</v>
      </c>
      <c r="K240" s="1060"/>
      <c r="L240" s="1060">
        <f t="shared" ref="L240:R240" si="82">L242</f>
        <v>1278.5</v>
      </c>
      <c r="M240" s="1557">
        <f t="shared" si="82"/>
        <v>1238.5</v>
      </c>
      <c r="N240" s="1998">
        <f t="shared" si="82"/>
        <v>3613.7040000000002</v>
      </c>
      <c r="O240" s="1999">
        <f t="shared" si="82"/>
        <v>1250.5</v>
      </c>
      <c r="P240" s="1937">
        <f t="shared" si="82"/>
        <v>1348</v>
      </c>
      <c r="Q240" s="2000">
        <f t="shared" si="82"/>
        <v>3017.4</v>
      </c>
      <c r="R240" s="2001">
        <f t="shared" si="82"/>
        <v>3338</v>
      </c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</row>
    <row r="241" spans="1:24" ht="13" x14ac:dyDescent="0.25">
      <c r="A241" s="32"/>
      <c r="B241" s="1093" t="s">
        <v>250</v>
      </c>
      <c r="C241" s="9"/>
      <c r="D241" s="9"/>
      <c r="E241" s="9"/>
      <c r="F241" s="9" t="s">
        <v>249</v>
      </c>
      <c r="G241" s="9"/>
      <c r="H241" s="9"/>
      <c r="I241" s="9"/>
      <c r="J241" s="1060">
        <f>J242</f>
        <v>1278.5</v>
      </c>
      <c r="K241" s="1060"/>
      <c r="L241" s="1060"/>
      <c r="M241" s="1557"/>
      <c r="N241" s="1998">
        <f t="shared" ref="N241:R242" si="83">N242</f>
        <v>3613.7040000000002</v>
      </c>
      <c r="O241" s="1999">
        <f t="shared" si="83"/>
        <v>1250.5</v>
      </c>
      <c r="P241" s="1937">
        <f t="shared" si="83"/>
        <v>1348</v>
      </c>
      <c r="Q241" s="2000">
        <f t="shared" si="83"/>
        <v>3017.4</v>
      </c>
      <c r="R241" s="2001">
        <f t="shared" si="83"/>
        <v>3338</v>
      </c>
    </row>
    <row r="242" spans="1:24" ht="13" x14ac:dyDescent="0.25">
      <c r="A242" s="32"/>
      <c r="B242" s="49" t="s">
        <v>248</v>
      </c>
      <c r="C242" s="9"/>
      <c r="D242" s="9" t="s">
        <v>246</v>
      </c>
      <c r="E242" s="9" t="s">
        <v>242</v>
      </c>
      <c r="F242" s="9" t="s">
        <v>243</v>
      </c>
      <c r="G242" s="9"/>
      <c r="H242" s="9"/>
      <c r="I242" s="9"/>
      <c r="J242" s="1060">
        <f>J243</f>
        <v>1278.5</v>
      </c>
      <c r="K242" s="1060"/>
      <c r="L242" s="1060">
        <f t="shared" ref="L242:M242" si="84">L243</f>
        <v>1278.5</v>
      </c>
      <c r="M242" s="1557">
        <f t="shared" si="84"/>
        <v>1238.5</v>
      </c>
      <c r="N242" s="1998">
        <f t="shared" si="83"/>
        <v>3613.7040000000002</v>
      </c>
      <c r="O242" s="1999">
        <f t="shared" si="83"/>
        <v>1250.5</v>
      </c>
      <c r="P242" s="1937">
        <f t="shared" si="83"/>
        <v>1348</v>
      </c>
      <c r="Q242" s="2000">
        <f t="shared" si="83"/>
        <v>3017.4</v>
      </c>
      <c r="R242" s="2001">
        <f t="shared" si="83"/>
        <v>3338</v>
      </c>
    </row>
    <row r="243" spans="1:24" ht="25.15" customHeight="1" x14ac:dyDescent="0.25">
      <c r="A243" s="32"/>
      <c r="B243" s="1993" t="s">
        <v>4</v>
      </c>
      <c r="C243" s="9"/>
      <c r="D243" s="9" t="s">
        <v>246</v>
      </c>
      <c r="E243" s="9" t="s">
        <v>242</v>
      </c>
      <c r="F243" s="9" t="s">
        <v>243</v>
      </c>
      <c r="G243" s="9" t="s">
        <v>1</v>
      </c>
      <c r="H243" s="9"/>
      <c r="I243" s="9"/>
      <c r="J243" s="1060">
        <f>J245</f>
        <v>1278.5</v>
      </c>
      <c r="K243" s="1060"/>
      <c r="L243" s="1060">
        <v>1278.5</v>
      </c>
      <c r="M243" s="1557">
        <v>1238.5</v>
      </c>
      <c r="N243" s="1998">
        <f>N245</f>
        <v>3613.7040000000002</v>
      </c>
      <c r="O243" s="1999">
        <f>O245</f>
        <v>1250.5</v>
      </c>
      <c r="P243" s="1937">
        <f>P245</f>
        <v>1348</v>
      </c>
      <c r="Q243" s="2000">
        <f>Q245</f>
        <v>3017.4</v>
      </c>
      <c r="R243" s="2001">
        <f>R245</f>
        <v>3338</v>
      </c>
    </row>
    <row r="244" spans="1:24" s="162" customFormat="1" ht="52" hidden="1" x14ac:dyDescent="0.3">
      <c r="A244" s="165"/>
      <c r="B244" s="164" t="s">
        <v>247</v>
      </c>
      <c r="C244" s="33"/>
      <c r="D244" s="33" t="s">
        <v>246</v>
      </c>
      <c r="E244" s="9" t="s">
        <v>242</v>
      </c>
      <c r="F244" s="33" t="s">
        <v>245</v>
      </c>
      <c r="G244" s="31"/>
      <c r="H244" s="31"/>
      <c r="I244" s="9"/>
      <c r="J244" s="1062"/>
      <c r="K244" s="1062"/>
      <c r="L244" s="1062"/>
      <c r="M244" s="1556"/>
      <c r="N244" s="1998"/>
      <c r="O244" s="1999"/>
      <c r="P244" s="1937"/>
      <c r="Q244" s="2000"/>
      <c r="R244" s="2001"/>
      <c r="S244" s="163"/>
      <c r="T244" s="163"/>
      <c r="U244" s="163"/>
      <c r="V244" s="163"/>
      <c r="W244" s="163"/>
      <c r="X244" s="163"/>
    </row>
    <row r="245" spans="1:24" s="162" customFormat="1" ht="15" x14ac:dyDescent="0.3">
      <c r="A245" s="165"/>
      <c r="B245" s="164" t="s">
        <v>244</v>
      </c>
      <c r="C245" s="33"/>
      <c r="D245" s="33"/>
      <c r="E245" s="9"/>
      <c r="F245" s="9" t="s">
        <v>243</v>
      </c>
      <c r="G245" s="9" t="s">
        <v>1</v>
      </c>
      <c r="H245" s="9" t="s">
        <v>453</v>
      </c>
      <c r="I245" s="9" t="s">
        <v>452</v>
      </c>
      <c r="J245" s="1060">
        <v>1278.5</v>
      </c>
      <c r="K245" s="1060"/>
      <c r="L245" s="1060">
        <v>1278.5</v>
      </c>
      <c r="M245" s="1557">
        <v>1238.5</v>
      </c>
      <c r="N245" s="1998">
        <f>3033.704+500+80</f>
        <v>3613.7040000000002</v>
      </c>
      <c r="O245" s="1999">
        <v>1250.5</v>
      </c>
      <c r="P245" s="1937">
        <v>1348</v>
      </c>
      <c r="Q245" s="2000">
        <v>3017.4</v>
      </c>
      <c r="R245" s="2001">
        <v>3338</v>
      </c>
      <c r="S245" s="163"/>
      <c r="T245" s="163"/>
      <c r="U245" s="163"/>
      <c r="V245" s="163"/>
      <c r="W245" s="163"/>
      <c r="X245" s="163"/>
    </row>
    <row r="246" spans="1:24" ht="39.65" customHeight="1" x14ac:dyDescent="0.25">
      <c r="A246" s="91">
        <v>4</v>
      </c>
      <c r="B246" s="52" t="s">
        <v>912</v>
      </c>
      <c r="C246" s="34"/>
      <c r="D246" s="34" t="s">
        <v>168</v>
      </c>
      <c r="E246" s="34" t="s">
        <v>166</v>
      </c>
      <c r="F246" s="34" t="s">
        <v>240</v>
      </c>
      <c r="G246" s="131"/>
      <c r="H246" s="131"/>
      <c r="I246" s="34"/>
      <c r="J246" s="51">
        <f>J247+J260</f>
        <v>1182</v>
      </c>
      <c r="K246" s="51"/>
      <c r="L246" s="51">
        <f t="shared" ref="L246:R246" si="85">L247+L260</f>
        <v>1182</v>
      </c>
      <c r="M246" s="1553">
        <f t="shared" si="85"/>
        <v>1022</v>
      </c>
      <c r="N246" s="1982">
        <f t="shared" si="85"/>
        <v>786</v>
      </c>
      <c r="O246" s="1958">
        <f t="shared" si="85"/>
        <v>1202</v>
      </c>
      <c r="P246" s="1944">
        <f t="shared" si="85"/>
        <v>676</v>
      </c>
      <c r="Q246" s="1996">
        <f t="shared" si="85"/>
        <v>1202</v>
      </c>
      <c r="R246" s="1997">
        <f t="shared" si="85"/>
        <v>1250.04</v>
      </c>
    </row>
    <row r="247" spans="1:24" ht="65" x14ac:dyDescent="0.25">
      <c r="A247" s="32"/>
      <c r="B247" s="157" t="s">
        <v>913</v>
      </c>
      <c r="C247" s="9"/>
      <c r="D247" s="9" t="s">
        <v>168</v>
      </c>
      <c r="E247" s="9" t="s">
        <v>166</v>
      </c>
      <c r="F247" s="9" t="s">
        <v>238</v>
      </c>
      <c r="G247" s="88"/>
      <c r="H247" s="88"/>
      <c r="I247" s="9"/>
      <c r="J247" s="1063">
        <f>J248</f>
        <v>496</v>
      </c>
      <c r="K247" s="1063"/>
      <c r="L247" s="1063">
        <f>L249+L257</f>
        <v>496</v>
      </c>
      <c r="M247" s="1125">
        <f>M249+M257</f>
        <v>336</v>
      </c>
      <c r="N247" s="1986">
        <f>N252+N256</f>
        <v>612</v>
      </c>
      <c r="O247" s="1947">
        <f>O248+O252</f>
        <v>506</v>
      </c>
      <c r="P247" s="1941">
        <f>P248+P252</f>
        <v>646</v>
      </c>
      <c r="Q247" s="1987">
        <f>Q252+Q256</f>
        <v>606</v>
      </c>
      <c r="R247" s="1988">
        <f>R252+R256</f>
        <v>630.20000000000005</v>
      </c>
    </row>
    <row r="248" spans="1:24" ht="39" hidden="1" x14ac:dyDescent="0.25">
      <c r="A248" s="32"/>
      <c r="B248" s="1093" t="s">
        <v>236</v>
      </c>
      <c r="C248" s="9"/>
      <c r="D248" s="9"/>
      <c r="E248" s="9"/>
      <c r="F248" s="9" t="s">
        <v>235</v>
      </c>
      <c r="G248" s="88"/>
      <c r="H248" s="88"/>
      <c r="I248" s="9"/>
      <c r="J248" s="1063">
        <f>J249+J257</f>
        <v>496</v>
      </c>
      <c r="K248" s="1063"/>
      <c r="L248" s="1063"/>
      <c r="M248" s="1125"/>
      <c r="N248" s="1986">
        <f t="shared" ref="N248:R250" si="86">N249</f>
        <v>0</v>
      </c>
      <c r="O248" s="1947">
        <f t="shared" si="86"/>
        <v>0</v>
      </c>
      <c r="P248" s="1941">
        <f t="shared" si="86"/>
        <v>0</v>
      </c>
      <c r="Q248" s="1987">
        <f t="shared" si="86"/>
        <v>0</v>
      </c>
      <c r="R248" s="1988">
        <f t="shared" si="86"/>
        <v>0</v>
      </c>
    </row>
    <row r="249" spans="1:24" ht="26" hidden="1" x14ac:dyDescent="0.25">
      <c r="A249" s="32"/>
      <c r="B249" s="49" t="s">
        <v>237</v>
      </c>
      <c r="C249" s="9"/>
      <c r="D249" s="9" t="s">
        <v>168</v>
      </c>
      <c r="E249" s="9" t="s">
        <v>166</v>
      </c>
      <c r="F249" s="9" t="s">
        <v>233</v>
      </c>
      <c r="G249" s="88"/>
      <c r="H249" s="88"/>
      <c r="I249" s="9"/>
      <c r="J249" s="1063">
        <f>J250</f>
        <v>296</v>
      </c>
      <c r="K249" s="1063"/>
      <c r="L249" s="1063">
        <f>L250</f>
        <v>296</v>
      </c>
      <c r="M249" s="1125">
        <f>M250</f>
        <v>136</v>
      </c>
      <c r="N249" s="1986">
        <f t="shared" si="86"/>
        <v>0</v>
      </c>
      <c r="O249" s="1947">
        <f t="shared" si="86"/>
        <v>0</v>
      </c>
      <c r="P249" s="1941">
        <f t="shared" si="86"/>
        <v>0</v>
      </c>
      <c r="Q249" s="1987">
        <f t="shared" si="86"/>
        <v>0</v>
      </c>
      <c r="R249" s="1988">
        <f t="shared" si="86"/>
        <v>0</v>
      </c>
    </row>
    <row r="250" spans="1:24" ht="25.15" hidden="1" customHeight="1" x14ac:dyDescent="0.25">
      <c r="A250" s="32"/>
      <c r="B250" s="1993" t="s">
        <v>4</v>
      </c>
      <c r="C250" s="9"/>
      <c r="D250" s="9" t="s">
        <v>168</v>
      </c>
      <c r="E250" s="9" t="s">
        <v>166</v>
      </c>
      <c r="F250" s="9" t="s">
        <v>233</v>
      </c>
      <c r="G250" s="88">
        <v>240</v>
      </c>
      <c r="H250" s="88"/>
      <c r="I250" s="9"/>
      <c r="J250" s="1063">
        <f>J251</f>
        <v>296</v>
      </c>
      <c r="K250" s="1063"/>
      <c r="L250" s="1063">
        <v>296</v>
      </c>
      <c r="M250" s="1125">
        <v>136</v>
      </c>
      <c r="N250" s="1986">
        <f t="shared" si="86"/>
        <v>0</v>
      </c>
      <c r="O250" s="1947">
        <f t="shared" si="86"/>
        <v>0</v>
      </c>
      <c r="P250" s="1941">
        <f t="shared" si="86"/>
        <v>0</v>
      </c>
      <c r="Q250" s="1987">
        <f t="shared" si="86"/>
        <v>0</v>
      </c>
      <c r="R250" s="1988">
        <f t="shared" si="86"/>
        <v>0</v>
      </c>
    </row>
    <row r="251" spans="1:24" ht="26" hidden="1" x14ac:dyDescent="0.3">
      <c r="A251" s="32"/>
      <c r="B251" s="2012" t="s">
        <v>221</v>
      </c>
      <c r="C251" s="9"/>
      <c r="D251" s="9"/>
      <c r="E251" s="9"/>
      <c r="F251" s="9" t="s">
        <v>233</v>
      </c>
      <c r="G251" s="88">
        <v>240</v>
      </c>
      <c r="H251" s="88">
        <v>3</v>
      </c>
      <c r="I251" s="9" t="s">
        <v>539</v>
      </c>
      <c r="J251" s="1063">
        <v>296</v>
      </c>
      <c r="K251" s="1063"/>
      <c r="L251" s="1063">
        <v>296</v>
      </c>
      <c r="M251" s="1125">
        <v>136</v>
      </c>
      <c r="N251" s="1986"/>
      <c r="O251" s="1947"/>
      <c r="P251" s="1941"/>
      <c r="Q251" s="1987"/>
      <c r="R251" s="1988"/>
    </row>
    <row r="252" spans="1:24" ht="39" x14ac:dyDescent="0.25">
      <c r="A252" s="32"/>
      <c r="B252" s="1093" t="s">
        <v>236</v>
      </c>
      <c r="C252" s="9"/>
      <c r="D252" s="9"/>
      <c r="E252" s="9"/>
      <c r="F252" s="9" t="s">
        <v>235</v>
      </c>
      <c r="G252" s="88"/>
      <c r="H252" s="88"/>
      <c r="I252" s="9"/>
      <c r="J252" s="1063">
        <f>J257</f>
        <v>200</v>
      </c>
      <c r="K252" s="1063"/>
      <c r="L252" s="1063"/>
      <c r="M252" s="1125"/>
      <c r="N252" s="1986">
        <f>N253</f>
        <v>82.037000000000006</v>
      </c>
      <c r="O252" s="1947">
        <f>O257+O253</f>
        <v>506</v>
      </c>
      <c r="P252" s="1941">
        <f>P257+P253</f>
        <v>646</v>
      </c>
      <c r="Q252" s="1987">
        <f>Q253</f>
        <v>376</v>
      </c>
      <c r="R252" s="1988">
        <f>R253</f>
        <v>391</v>
      </c>
    </row>
    <row r="253" spans="1:24" ht="26" x14ac:dyDescent="0.25">
      <c r="A253" s="32"/>
      <c r="B253" s="1098" t="s">
        <v>234</v>
      </c>
      <c r="C253" s="9"/>
      <c r="D253" s="9"/>
      <c r="E253" s="9"/>
      <c r="F253" s="9" t="s">
        <v>233</v>
      </c>
      <c r="G253" s="88"/>
      <c r="H253" s="88"/>
      <c r="I253" s="9"/>
      <c r="J253" s="1063"/>
      <c r="K253" s="1063"/>
      <c r="L253" s="1063"/>
      <c r="M253" s="1125"/>
      <c r="N253" s="1986">
        <f t="shared" ref="N253:R254" si="87">N254</f>
        <v>82.037000000000006</v>
      </c>
      <c r="O253" s="1947">
        <f t="shared" si="87"/>
        <v>320</v>
      </c>
      <c r="P253" s="1941">
        <f t="shared" si="87"/>
        <v>340</v>
      </c>
      <c r="Q253" s="1987">
        <f t="shared" si="87"/>
        <v>376</v>
      </c>
      <c r="R253" s="1988">
        <f t="shared" si="87"/>
        <v>391</v>
      </c>
    </row>
    <row r="254" spans="1:24" ht="26" x14ac:dyDescent="0.25">
      <c r="A254" s="32"/>
      <c r="B254" s="1993" t="s">
        <v>4</v>
      </c>
      <c r="C254" s="9"/>
      <c r="D254" s="9"/>
      <c r="E254" s="9"/>
      <c r="F254" s="9" t="s">
        <v>233</v>
      </c>
      <c r="G254" s="88">
        <v>240</v>
      </c>
      <c r="H254" s="88"/>
      <c r="I254" s="9"/>
      <c r="J254" s="1063"/>
      <c r="K254" s="1063"/>
      <c r="L254" s="1063"/>
      <c r="M254" s="1125"/>
      <c r="N254" s="1986">
        <f t="shared" si="87"/>
        <v>82.037000000000006</v>
      </c>
      <c r="O254" s="1947">
        <f t="shared" si="87"/>
        <v>320</v>
      </c>
      <c r="P254" s="1941">
        <f t="shared" si="87"/>
        <v>340</v>
      </c>
      <c r="Q254" s="1987">
        <f t="shared" si="87"/>
        <v>376</v>
      </c>
      <c r="R254" s="1988">
        <f t="shared" si="87"/>
        <v>391</v>
      </c>
    </row>
    <row r="255" spans="1:24" ht="26" x14ac:dyDescent="0.3">
      <c r="A255" s="32"/>
      <c r="B255" s="336" t="s">
        <v>221</v>
      </c>
      <c r="C255" s="9"/>
      <c r="D255" s="9"/>
      <c r="E255" s="9"/>
      <c r="F255" s="9" t="s">
        <v>233</v>
      </c>
      <c r="G255" s="88">
        <v>240</v>
      </c>
      <c r="H255" s="9" t="s">
        <v>495</v>
      </c>
      <c r="I255" s="9" t="s">
        <v>539</v>
      </c>
      <c r="J255" s="1063"/>
      <c r="K255" s="1063"/>
      <c r="L255" s="1063"/>
      <c r="M255" s="1125"/>
      <c r="N255" s="1986">
        <f>133.32-1.283-50</f>
        <v>82.037000000000006</v>
      </c>
      <c r="O255" s="1947">
        <v>320</v>
      </c>
      <c r="P255" s="1941">
        <v>340</v>
      </c>
      <c r="Q255" s="1987">
        <v>376</v>
      </c>
      <c r="R255" s="1988">
        <v>391</v>
      </c>
    </row>
    <row r="256" spans="1:24" ht="13" x14ac:dyDescent="0.25">
      <c r="A256" s="32"/>
      <c r="B256" s="1093" t="s">
        <v>232</v>
      </c>
      <c r="C256" s="9"/>
      <c r="D256" s="9"/>
      <c r="E256" s="9"/>
      <c r="F256" s="9" t="s">
        <v>231</v>
      </c>
      <c r="G256" s="88"/>
      <c r="H256" s="88"/>
      <c r="I256" s="9"/>
      <c r="J256" s="1063"/>
      <c r="K256" s="1063"/>
      <c r="L256" s="1063"/>
      <c r="M256" s="1125"/>
      <c r="N256" s="1986">
        <f t="shared" ref="N256:R258" si="88">N257</f>
        <v>529.96299999999997</v>
      </c>
      <c r="O256" s="1947">
        <f t="shared" si="88"/>
        <v>186</v>
      </c>
      <c r="P256" s="1941">
        <f t="shared" si="88"/>
        <v>306</v>
      </c>
      <c r="Q256" s="1987">
        <f t="shared" si="88"/>
        <v>230</v>
      </c>
      <c r="R256" s="1988">
        <f t="shared" si="88"/>
        <v>239.2</v>
      </c>
    </row>
    <row r="257" spans="1:24" ht="13" x14ac:dyDescent="0.25">
      <c r="A257" s="32"/>
      <c r="B257" s="1098" t="s">
        <v>230</v>
      </c>
      <c r="C257" s="9"/>
      <c r="D257" s="9" t="s">
        <v>168</v>
      </c>
      <c r="E257" s="9" t="s">
        <v>166</v>
      </c>
      <c r="F257" s="9" t="s">
        <v>229</v>
      </c>
      <c r="G257" s="88"/>
      <c r="H257" s="88"/>
      <c r="I257" s="9"/>
      <c r="J257" s="1063">
        <f>J258</f>
        <v>200</v>
      </c>
      <c r="K257" s="1063"/>
      <c r="L257" s="1063">
        <f>L258</f>
        <v>200</v>
      </c>
      <c r="M257" s="1125">
        <f>M258</f>
        <v>200</v>
      </c>
      <c r="N257" s="1986">
        <f t="shared" si="88"/>
        <v>529.96299999999997</v>
      </c>
      <c r="O257" s="1947">
        <f t="shared" si="88"/>
        <v>186</v>
      </c>
      <c r="P257" s="1941">
        <f t="shared" si="88"/>
        <v>306</v>
      </c>
      <c r="Q257" s="1987">
        <f t="shared" si="88"/>
        <v>230</v>
      </c>
      <c r="R257" s="1988">
        <f t="shared" si="88"/>
        <v>239.2</v>
      </c>
    </row>
    <row r="258" spans="1:24" ht="25.15" customHeight="1" x14ac:dyDescent="0.25">
      <c r="A258" s="32"/>
      <c r="B258" s="1993" t="s">
        <v>4</v>
      </c>
      <c r="C258" s="9"/>
      <c r="D258" s="9" t="s">
        <v>168</v>
      </c>
      <c r="E258" s="9" t="s">
        <v>166</v>
      </c>
      <c r="F258" s="9" t="s">
        <v>229</v>
      </c>
      <c r="G258" s="88">
        <v>240</v>
      </c>
      <c r="H258" s="88"/>
      <c r="I258" s="9"/>
      <c r="J258" s="1063">
        <f>J259</f>
        <v>200</v>
      </c>
      <c r="K258" s="1063"/>
      <c r="L258" s="1063">
        <v>200</v>
      </c>
      <c r="M258" s="1125">
        <v>200</v>
      </c>
      <c r="N258" s="1986">
        <f t="shared" si="88"/>
        <v>529.96299999999997</v>
      </c>
      <c r="O258" s="1947">
        <f t="shared" si="88"/>
        <v>186</v>
      </c>
      <c r="P258" s="1941">
        <f t="shared" si="88"/>
        <v>306</v>
      </c>
      <c r="Q258" s="1987">
        <f t="shared" si="88"/>
        <v>230</v>
      </c>
      <c r="R258" s="1988">
        <f t="shared" si="88"/>
        <v>239.2</v>
      </c>
    </row>
    <row r="259" spans="1:24" ht="26" x14ac:dyDescent="0.3">
      <c r="A259" s="32"/>
      <c r="B259" s="336" t="s">
        <v>221</v>
      </c>
      <c r="C259" s="9"/>
      <c r="D259" s="9"/>
      <c r="E259" s="9"/>
      <c r="F259" s="9" t="s">
        <v>229</v>
      </c>
      <c r="G259" s="88">
        <v>240</v>
      </c>
      <c r="H259" s="9" t="s">
        <v>495</v>
      </c>
      <c r="I259" s="9" t="s">
        <v>539</v>
      </c>
      <c r="J259" s="1063">
        <v>200</v>
      </c>
      <c r="K259" s="1063"/>
      <c r="L259" s="1063">
        <v>200</v>
      </c>
      <c r="M259" s="1125">
        <v>200</v>
      </c>
      <c r="N259" s="1986">
        <f>310+1.283+218.68</f>
        <v>529.96299999999997</v>
      </c>
      <c r="O259" s="1947">
        <v>186</v>
      </c>
      <c r="P259" s="1941">
        <v>306</v>
      </c>
      <c r="Q259" s="1987">
        <v>230</v>
      </c>
      <c r="R259" s="1988">
        <v>239.2</v>
      </c>
    </row>
    <row r="260" spans="1:24" ht="65" x14ac:dyDescent="0.25">
      <c r="A260" s="32"/>
      <c r="B260" s="157" t="s">
        <v>783</v>
      </c>
      <c r="C260" s="34"/>
      <c r="D260" s="9" t="s">
        <v>168</v>
      </c>
      <c r="E260" s="9" t="s">
        <v>166</v>
      </c>
      <c r="F260" s="9" t="s">
        <v>227</v>
      </c>
      <c r="G260" s="9"/>
      <c r="H260" s="9"/>
      <c r="I260" s="9"/>
      <c r="J260" s="1063">
        <f>J262</f>
        <v>686</v>
      </c>
      <c r="K260" s="1063"/>
      <c r="L260" s="1063">
        <f>L262</f>
        <v>686</v>
      </c>
      <c r="M260" s="1125">
        <f>M262</f>
        <v>686</v>
      </c>
      <c r="N260" s="1986">
        <f t="shared" ref="N260:R261" si="89">N261</f>
        <v>174</v>
      </c>
      <c r="O260" s="1947">
        <f t="shared" si="89"/>
        <v>696</v>
      </c>
      <c r="P260" s="1941">
        <f t="shared" si="89"/>
        <v>30</v>
      </c>
      <c r="Q260" s="1987">
        <f t="shared" si="89"/>
        <v>596</v>
      </c>
      <c r="R260" s="1988">
        <f t="shared" si="89"/>
        <v>619.84</v>
      </c>
    </row>
    <row r="261" spans="1:24" ht="52" x14ac:dyDescent="0.25">
      <c r="A261" s="32"/>
      <c r="B261" s="1093" t="s">
        <v>226</v>
      </c>
      <c r="C261" s="34"/>
      <c r="D261" s="9"/>
      <c r="E261" s="9"/>
      <c r="F261" s="9" t="s">
        <v>225</v>
      </c>
      <c r="G261" s="9"/>
      <c r="H261" s="9"/>
      <c r="I261" s="9"/>
      <c r="J261" s="1063">
        <f>J260</f>
        <v>686</v>
      </c>
      <c r="K261" s="1063"/>
      <c r="L261" s="1063"/>
      <c r="M261" s="1125"/>
      <c r="N261" s="1986">
        <f t="shared" si="89"/>
        <v>174</v>
      </c>
      <c r="O261" s="1947">
        <f t="shared" si="89"/>
        <v>696</v>
      </c>
      <c r="P261" s="1941">
        <f t="shared" si="89"/>
        <v>30</v>
      </c>
      <c r="Q261" s="1987">
        <f t="shared" si="89"/>
        <v>596</v>
      </c>
      <c r="R261" s="1988">
        <f t="shared" si="89"/>
        <v>619.84</v>
      </c>
    </row>
    <row r="262" spans="1:24" ht="13" x14ac:dyDescent="0.25">
      <c r="A262" s="32"/>
      <c r="B262" s="1098" t="s">
        <v>224</v>
      </c>
      <c r="C262" s="34"/>
      <c r="D262" s="9" t="s">
        <v>168</v>
      </c>
      <c r="E262" s="9" t="s">
        <v>166</v>
      </c>
      <c r="F262" s="9" t="s">
        <v>220</v>
      </c>
      <c r="G262" s="34"/>
      <c r="H262" s="34"/>
      <c r="I262" s="9"/>
      <c r="J262" s="1063">
        <f>J264</f>
        <v>686</v>
      </c>
      <c r="K262" s="1063"/>
      <c r="L262" s="1063">
        <f t="shared" ref="L262:R262" si="90">L264</f>
        <v>686</v>
      </c>
      <c r="M262" s="1125">
        <f t="shared" si="90"/>
        <v>686</v>
      </c>
      <c r="N262" s="1986">
        <f t="shared" si="90"/>
        <v>174</v>
      </c>
      <c r="O262" s="1947">
        <f t="shared" si="90"/>
        <v>696</v>
      </c>
      <c r="P262" s="1941">
        <f t="shared" si="90"/>
        <v>30</v>
      </c>
      <c r="Q262" s="1987">
        <f t="shared" si="90"/>
        <v>596</v>
      </c>
      <c r="R262" s="1988">
        <f t="shared" si="90"/>
        <v>619.84</v>
      </c>
    </row>
    <row r="263" spans="1:24" ht="40.5" hidden="1" customHeight="1" x14ac:dyDescent="0.25">
      <c r="A263" s="32"/>
      <c r="B263" s="42" t="s">
        <v>223</v>
      </c>
      <c r="C263" s="160"/>
      <c r="D263" s="31" t="s">
        <v>168</v>
      </c>
      <c r="E263" s="31" t="s">
        <v>166</v>
      </c>
      <c r="F263" s="31" t="s">
        <v>222</v>
      </c>
      <c r="G263" s="161"/>
      <c r="H263" s="161"/>
      <c r="I263" s="31" t="s">
        <v>166</v>
      </c>
      <c r="J263" s="1069"/>
      <c r="K263" s="1069"/>
      <c r="L263" s="1069"/>
      <c r="M263" s="1436"/>
      <c r="N263" s="1986"/>
      <c r="O263" s="1947"/>
      <c r="P263" s="1947"/>
      <c r="Q263" s="2010"/>
      <c r="R263" s="1988"/>
    </row>
    <row r="264" spans="1:24" ht="25.15" customHeight="1" x14ac:dyDescent="0.25">
      <c r="A264" s="32"/>
      <c r="B264" s="1993" t="s">
        <v>4</v>
      </c>
      <c r="C264" s="160"/>
      <c r="D264" s="9" t="s">
        <v>168</v>
      </c>
      <c r="E264" s="9" t="s">
        <v>166</v>
      </c>
      <c r="F264" s="9" t="s">
        <v>220</v>
      </c>
      <c r="G264" s="33" t="s">
        <v>1</v>
      </c>
      <c r="H264" s="33"/>
      <c r="I264" s="9"/>
      <c r="J264" s="1063">
        <v>686</v>
      </c>
      <c r="K264" s="1069"/>
      <c r="L264" s="1063">
        <v>686</v>
      </c>
      <c r="M264" s="1125">
        <v>686</v>
      </c>
      <c r="N264" s="1986">
        <f>N265</f>
        <v>174</v>
      </c>
      <c r="O264" s="1947">
        <f>O265</f>
        <v>696</v>
      </c>
      <c r="P264" s="1941">
        <f>P265</f>
        <v>30</v>
      </c>
      <c r="Q264" s="1987">
        <f>Q265</f>
        <v>596</v>
      </c>
      <c r="R264" s="1988">
        <f>R265</f>
        <v>619.84</v>
      </c>
    </row>
    <row r="265" spans="1:24" ht="27.65" customHeight="1" x14ac:dyDescent="0.3">
      <c r="A265" s="32"/>
      <c r="B265" s="336" t="s">
        <v>221</v>
      </c>
      <c r="C265" s="160"/>
      <c r="D265" s="9"/>
      <c r="E265" s="9"/>
      <c r="F265" s="9" t="s">
        <v>220</v>
      </c>
      <c r="G265" s="33" t="s">
        <v>1</v>
      </c>
      <c r="H265" s="9" t="s">
        <v>495</v>
      </c>
      <c r="I265" s="9" t="s">
        <v>539</v>
      </c>
      <c r="J265" s="1063">
        <v>686</v>
      </c>
      <c r="K265" s="1069"/>
      <c r="L265" s="1063">
        <v>686</v>
      </c>
      <c r="M265" s="1125">
        <v>686</v>
      </c>
      <c r="N265" s="1986">
        <f>392.68-218.68</f>
        <v>174</v>
      </c>
      <c r="O265" s="1947">
        <v>696</v>
      </c>
      <c r="P265" s="1941">
        <v>30</v>
      </c>
      <c r="Q265" s="1987">
        <v>596</v>
      </c>
      <c r="R265" s="1988">
        <v>619.84</v>
      </c>
    </row>
    <row r="266" spans="1:24" s="83" customFormat="1" ht="38.25" customHeight="1" x14ac:dyDescent="0.3">
      <c r="A266" s="91">
        <v>5</v>
      </c>
      <c r="B266" s="52" t="s">
        <v>914</v>
      </c>
      <c r="C266" s="89"/>
      <c r="D266" s="89" t="s">
        <v>52</v>
      </c>
      <c r="E266" s="89" t="s">
        <v>58</v>
      </c>
      <c r="F266" s="89" t="s">
        <v>218</v>
      </c>
      <c r="G266" s="131"/>
      <c r="H266" s="131"/>
      <c r="I266" s="89"/>
      <c r="J266" s="51">
        <f>J267+J282</f>
        <v>1600</v>
      </c>
      <c r="K266" s="158"/>
      <c r="L266" s="51">
        <f t="shared" ref="L266:R266" si="91">L267+L282</f>
        <v>11444.685000000001</v>
      </c>
      <c r="M266" s="1553">
        <f t="shared" si="91"/>
        <v>14038.547</v>
      </c>
      <c r="N266" s="1982">
        <f t="shared" si="91"/>
        <v>4330.8469999999998</v>
      </c>
      <c r="O266" s="1958">
        <f t="shared" si="91"/>
        <v>5740</v>
      </c>
      <c r="P266" s="1944">
        <f t="shared" si="91"/>
        <v>5980</v>
      </c>
      <c r="Q266" s="1996">
        <f t="shared" si="91"/>
        <v>3908.3220000000001</v>
      </c>
      <c r="R266" s="1997">
        <f t="shared" si="91"/>
        <v>3021.3209999999999</v>
      </c>
      <c r="S266" s="84"/>
      <c r="T266" s="84"/>
      <c r="U266" s="84"/>
      <c r="V266" s="84"/>
      <c r="W266" s="84"/>
      <c r="X266" s="84"/>
    </row>
    <row r="267" spans="1:24" s="83" customFormat="1" ht="26" x14ac:dyDescent="0.3">
      <c r="A267" s="85"/>
      <c r="B267" s="157" t="s">
        <v>217</v>
      </c>
      <c r="C267" s="33"/>
      <c r="D267" s="33" t="s">
        <v>52</v>
      </c>
      <c r="E267" s="33" t="s">
        <v>58</v>
      </c>
      <c r="F267" s="33" t="s">
        <v>216</v>
      </c>
      <c r="G267" s="33"/>
      <c r="H267" s="33"/>
      <c r="I267" s="33"/>
      <c r="J267" s="1061">
        <f>J268</f>
        <v>800</v>
      </c>
      <c r="K267" s="1063"/>
      <c r="L267" s="1063">
        <f>L269</f>
        <v>10777.685000000001</v>
      </c>
      <c r="M267" s="1550">
        <f>M269</f>
        <v>13305.547</v>
      </c>
      <c r="N267" s="1986">
        <f>N268</f>
        <v>3002.7749999999996</v>
      </c>
      <c r="O267" s="1947">
        <f>O268</f>
        <v>0</v>
      </c>
      <c r="P267" s="1941">
        <f>P268</f>
        <v>0</v>
      </c>
      <c r="Q267" s="1987">
        <f>Q268</f>
        <v>1726.1220000000001</v>
      </c>
      <c r="R267" s="1988">
        <f>R268</f>
        <v>1726.1220000000001</v>
      </c>
      <c r="S267" s="84"/>
      <c r="T267" s="84"/>
      <c r="U267" s="84"/>
      <c r="V267" s="84"/>
      <c r="W267" s="84"/>
      <c r="X267" s="84"/>
    </row>
    <row r="268" spans="1:24" s="83" customFormat="1" ht="59.15" customHeight="1" x14ac:dyDescent="0.3">
      <c r="A268" s="85"/>
      <c r="B268" s="1093" t="s">
        <v>1040</v>
      </c>
      <c r="C268" s="33"/>
      <c r="D268" s="33"/>
      <c r="E268" s="33"/>
      <c r="F268" s="33" t="s">
        <v>214</v>
      </c>
      <c r="G268" s="89"/>
      <c r="H268" s="89"/>
      <c r="I268" s="33"/>
      <c r="J268" s="1061">
        <f>J271+J275+J278+J281</f>
        <v>800</v>
      </c>
      <c r="K268" s="1063"/>
      <c r="L268" s="1063"/>
      <c r="M268" s="1550"/>
      <c r="N268" s="1986">
        <f>N271+N275+N281</f>
        <v>3002.7749999999996</v>
      </c>
      <c r="O268" s="1947">
        <f>O271+O275+O281</f>
        <v>0</v>
      </c>
      <c r="P268" s="1941">
        <f>P271+P275+P281</f>
        <v>0</v>
      </c>
      <c r="Q268" s="1987">
        <f>Q271+Q275+Q281</f>
        <v>1726.1220000000001</v>
      </c>
      <c r="R268" s="1988">
        <f>R271+R275+R281</f>
        <v>1726.1220000000001</v>
      </c>
      <c r="S268" s="84"/>
      <c r="T268" s="84"/>
      <c r="U268" s="84"/>
      <c r="V268" s="84"/>
      <c r="W268" s="84"/>
      <c r="X268" s="84"/>
    </row>
    <row r="269" spans="1:24" s="83" customFormat="1" ht="13" x14ac:dyDescent="0.3">
      <c r="A269" s="85"/>
      <c r="B269" s="1098" t="s">
        <v>201</v>
      </c>
      <c r="C269" s="33"/>
      <c r="D269" s="33" t="s">
        <v>52</v>
      </c>
      <c r="E269" s="33" t="s">
        <v>58</v>
      </c>
      <c r="F269" s="33" t="s">
        <v>213</v>
      </c>
      <c r="G269" s="33"/>
      <c r="H269" s="33"/>
      <c r="I269" s="33"/>
      <c r="J269" s="1061">
        <f>J270</f>
        <v>0</v>
      </c>
      <c r="K269" s="1063"/>
      <c r="L269" s="1061">
        <f>L273</f>
        <v>10777.685000000001</v>
      </c>
      <c r="M269" s="1550">
        <f>M273</f>
        <v>13305.547</v>
      </c>
      <c r="N269" s="1986">
        <f t="shared" ref="N269:R270" si="92">N270</f>
        <v>1207.0939999999998</v>
      </c>
      <c r="O269" s="1947">
        <f t="shared" si="92"/>
        <v>0</v>
      </c>
      <c r="P269" s="1941">
        <f t="shared" si="92"/>
        <v>0</v>
      </c>
      <c r="Q269" s="1987">
        <f t="shared" si="92"/>
        <v>0</v>
      </c>
      <c r="R269" s="1988">
        <f t="shared" si="92"/>
        <v>0</v>
      </c>
      <c r="S269" s="84"/>
      <c r="T269" s="84"/>
      <c r="U269" s="84"/>
      <c r="V269" s="84"/>
      <c r="W269" s="84"/>
      <c r="X269" s="84"/>
    </row>
    <row r="270" spans="1:24" s="83" customFormat="1" ht="26" x14ac:dyDescent="0.3">
      <c r="A270" s="85"/>
      <c r="B270" s="1993" t="s">
        <v>4</v>
      </c>
      <c r="C270" s="33"/>
      <c r="D270" s="33"/>
      <c r="E270" s="33"/>
      <c r="F270" s="33" t="s">
        <v>213</v>
      </c>
      <c r="G270" s="33" t="s">
        <v>1</v>
      </c>
      <c r="H270" s="33"/>
      <c r="I270" s="33"/>
      <c r="J270" s="1061">
        <f>J271</f>
        <v>0</v>
      </c>
      <c r="K270" s="1063"/>
      <c r="L270" s="1061"/>
      <c r="M270" s="1550"/>
      <c r="N270" s="1986">
        <f t="shared" si="92"/>
        <v>1207.0939999999998</v>
      </c>
      <c r="O270" s="1947">
        <f t="shared" si="92"/>
        <v>0</v>
      </c>
      <c r="P270" s="1941">
        <f t="shared" si="92"/>
        <v>0</v>
      </c>
      <c r="Q270" s="1987">
        <f t="shared" si="92"/>
        <v>0</v>
      </c>
      <c r="R270" s="1988">
        <f t="shared" si="92"/>
        <v>0</v>
      </c>
      <c r="S270" s="84"/>
      <c r="T270" s="84"/>
      <c r="U270" s="84"/>
      <c r="V270" s="84"/>
      <c r="W270" s="84"/>
      <c r="X270" s="84"/>
    </row>
    <row r="271" spans="1:24" s="83" customFormat="1" ht="13" x14ac:dyDescent="0.3">
      <c r="A271" s="85"/>
      <c r="B271" s="744" t="s">
        <v>60</v>
      </c>
      <c r="C271" s="33"/>
      <c r="D271" s="33"/>
      <c r="E271" s="33"/>
      <c r="F271" s="33" t="s">
        <v>213</v>
      </c>
      <c r="G271" s="33" t="s">
        <v>1</v>
      </c>
      <c r="H271" s="9" t="s">
        <v>452</v>
      </c>
      <c r="I271" s="9" t="s">
        <v>539</v>
      </c>
      <c r="J271" s="1061"/>
      <c r="K271" s="1063"/>
      <c r="L271" s="1061"/>
      <c r="M271" s="1550"/>
      <c r="N271" s="1986">
        <f>2404.95-797.856-400</f>
        <v>1207.0939999999998</v>
      </c>
      <c r="O271" s="1947"/>
      <c r="P271" s="1941"/>
      <c r="Q271" s="1987"/>
      <c r="R271" s="1988"/>
      <c r="S271" s="84"/>
      <c r="T271" s="84"/>
      <c r="U271" s="84"/>
      <c r="V271" s="84"/>
      <c r="W271" s="84"/>
      <c r="X271" s="84"/>
    </row>
    <row r="272" spans="1:24" s="83" customFormat="1" ht="26" x14ac:dyDescent="0.3">
      <c r="A272" s="85"/>
      <c r="B272" s="1098" t="s">
        <v>212</v>
      </c>
      <c r="C272" s="33"/>
      <c r="D272" s="33"/>
      <c r="E272" s="33"/>
      <c r="F272" s="33" t="s">
        <v>984</v>
      </c>
      <c r="G272" s="33"/>
      <c r="H272" s="33"/>
      <c r="I272" s="33"/>
      <c r="J272" s="1061">
        <f>J273</f>
        <v>800</v>
      </c>
      <c r="K272" s="1063"/>
      <c r="L272" s="1061"/>
      <c r="M272" s="1550"/>
      <c r="N272" s="1986">
        <f>N273</f>
        <v>1795.681</v>
      </c>
      <c r="O272" s="1947">
        <f>O273</f>
        <v>0</v>
      </c>
      <c r="P272" s="1941">
        <f>P273</f>
        <v>0</v>
      </c>
      <c r="Q272" s="1987">
        <f>Q273</f>
        <v>1726.1220000000001</v>
      </c>
      <c r="R272" s="1988">
        <f>R273</f>
        <v>1726.1220000000001</v>
      </c>
      <c r="S272" s="84"/>
      <c r="T272" s="84"/>
      <c r="U272" s="84"/>
      <c r="V272" s="84"/>
      <c r="W272" s="84"/>
      <c r="X272" s="84"/>
    </row>
    <row r="273" spans="1:24" s="83" customFormat="1" ht="25.15" customHeight="1" x14ac:dyDescent="0.3">
      <c r="A273" s="85"/>
      <c r="B273" s="1993" t="s">
        <v>4</v>
      </c>
      <c r="C273" s="33"/>
      <c r="D273" s="33" t="s">
        <v>52</v>
      </c>
      <c r="E273" s="33" t="s">
        <v>58</v>
      </c>
      <c r="F273" s="33" t="s">
        <v>984</v>
      </c>
      <c r="G273" s="33" t="s">
        <v>1</v>
      </c>
      <c r="H273" s="33"/>
      <c r="I273" s="33"/>
      <c r="J273" s="1061">
        <f>J275</f>
        <v>800</v>
      </c>
      <c r="K273" s="1063"/>
      <c r="L273" s="1061">
        <f>22480.2-11702.515</f>
        <v>10777.685000000001</v>
      </c>
      <c r="M273" s="1550">
        <v>13305.547</v>
      </c>
      <c r="N273" s="1986">
        <f>N275</f>
        <v>1795.681</v>
      </c>
      <c r="O273" s="1947">
        <f>O275</f>
        <v>0</v>
      </c>
      <c r="P273" s="1941">
        <f>P275</f>
        <v>0</v>
      </c>
      <c r="Q273" s="1987">
        <f>Q275</f>
        <v>1726.1220000000001</v>
      </c>
      <c r="R273" s="1988">
        <f>R275</f>
        <v>1726.1220000000001</v>
      </c>
      <c r="S273" s="84"/>
      <c r="T273" s="84"/>
      <c r="U273" s="84"/>
      <c r="V273" s="84"/>
      <c r="W273" s="84"/>
      <c r="X273" s="84"/>
    </row>
    <row r="274" spans="1:24" s="83" customFormat="1" ht="52" hidden="1" x14ac:dyDescent="0.3">
      <c r="A274" s="85"/>
      <c r="B274" s="90" t="s">
        <v>211</v>
      </c>
      <c r="C274" s="89"/>
      <c r="D274" s="33" t="s">
        <v>52</v>
      </c>
      <c r="E274" s="33" t="s">
        <v>58</v>
      </c>
      <c r="F274" s="33" t="s">
        <v>210</v>
      </c>
      <c r="G274" s="89"/>
      <c r="H274" s="89"/>
      <c r="I274" s="33" t="s">
        <v>58</v>
      </c>
      <c r="J274" s="1063"/>
      <c r="K274" s="1063"/>
      <c r="L274" s="1063"/>
      <c r="M274" s="1125"/>
      <c r="N274" s="1986"/>
      <c r="O274" s="1947"/>
      <c r="P274" s="1941"/>
      <c r="Q274" s="1987"/>
      <c r="R274" s="1988"/>
      <c r="S274" s="84"/>
      <c r="T274" s="84"/>
      <c r="U274" s="84"/>
      <c r="V274" s="84"/>
      <c r="W274" s="84"/>
      <c r="X274" s="84"/>
    </row>
    <row r="275" spans="1:24" s="83" customFormat="1" ht="13" x14ac:dyDescent="0.3">
      <c r="A275" s="85"/>
      <c r="B275" s="744" t="s">
        <v>60</v>
      </c>
      <c r="C275" s="89"/>
      <c r="D275" s="33"/>
      <c r="E275" s="33"/>
      <c r="F275" s="33" t="s">
        <v>984</v>
      </c>
      <c r="G275" s="33" t="s">
        <v>1</v>
      </c>
      <c r="H275" s="9" t="s">
        <v>452</v>
      </c>
      <c r="I275" s="9" t="s">
        <v>539</v>
      </c>
      <c r="J275" s="1061">
        <v>800</v>
      </c>
      <c r="K275" s="1063"/>
      <c r="L275" s="1061">
        <f>22480.2-11702.515</f>
        <v>10777.685000000001</v>
      </c>
      <c r="M275" s="1550">
        <v>13305.547</v>
      </c>
      <c r="N275" s="1986">
        <f>1695.014+489.567-388.9</f>
        <v>1795.681</v>
      </c>
      <c r="O275" s="1947"/>
      <c r="P275" s="1941"/>
      <c r="Q275" s="1987">
        <v>1726.1220000000001</v>
      </c>
      <c r="R275" s="1988">
        <v>1726.1220000000001</v>
      </c>
      <c r="S275" s="84"/>
      <c r="T275" s="84"/>
      <c r="U275" s="84"/>
      <c r="V275" s="84"/>
      <c r="W275" s="84"/>
      <c r="X275" s="84"/>
    </row>
    <row r="276" spans="1:24" s="83" customFormat="1" ht="39" hidden="1" x14ac:dyDescent="0.3">
      <c r="A276" s="85"/>
      <c r="B276" s="1098" t="s">
        <v>208</v>
      </c>
      <c r="C276" s="89"/>
      <c r="D276" s="33"/>
      <c r="E276" s="33"/>
      <c r="F276" s="33" t="s">
        <v>207</v>
      </c>
      <c r="G276" s="33"/>
      <c r="H276" s="33"/>
      <c r="I276" s="33"/>
      <c r="J276" s="1061">
        <f>J277</f>
        <v>0</v>
      </c>
      <c r="K276" s="1063"/>
      <c r="L276" s="1061"/>
      <c r="M276" s="1550"/>
      <c r="N276" s="1986">
        <f t="shared" ref="N276:R277" si="93">N277</f>
        <v>0</v>
      </c>
      <c r="O276" s="1947">
        <f t="shared" si="93"/>
        <v>0</v>
      </c>
      <c r="P276" s="1941">
        <f t="shared" si="93"/>
        <v>0</v>
      </c>
      <c r="Q276" s="1987">
        <f t="shared" si="93"/>
        <v>0</v>
      </c>
      <c r="R276" s="1988">
        <f t="shared" si="93"/>
        <v>0</v>
      </c>
      <c r="S276" s="84"/>
      <c r="T276" s="84"/>
      <c r="U276" s="84"/>
      <c r="V276" s="84"/>
      <c r="W276" s="84"/>
      <c r="X276" s="84"/>
    </row>
    <row r="277" spans="1:24" s="83" customFormat="1" ht="26" hidden="1" x14ac:dyDescent="0.3">
      <c r="A277" s="85"/>
      <c r="B277" s="1993" t="s">
        <v>4</v>
      </c>
      <c r="C277" s="89"/>
      <c r="D277" s="33"/>
      <c r="E277" s="33"/>
      <c r="F277" s="33" t="s">
        <v>207</v>
      </c>
      <c r="G277" s="33" t="s">
        <v>1</v>
      </c>
      <c r="H277" s="33"/>
      <c r="I277" s="33"/>
      <c r="J277" s="1061">
        <f>J278</f>
        <v>0</v>
      </c>
      <c r="K277" s="1063"/>
      <c r="L277" s="1061"/>
      <c r="M277" s="1550"/>
      <c r="N277" s="1986">
        <f t="shared" si="93"/>
        <v>0</v>
      </c>
      <c r="O277" s="1947">
        <f t="shared" si="93"/>
        <v>0</v>
      </c>
      <c r="P277" s="1941">
        <f t="shared" si="93"/>
        <v>0</v>
      </c>
      <c r="Q277" s="1987">
        <f t="shared" si="93"/>
        <v>0</v>
      </c>
      <c r="R277" s="1988">
        <f t="shared" si="93"/>
        <v>0</v>
      </c>
      <c r="S277" s="84"/>
      <c r="T277" s="84"/>
      <c r="U277" s="84"/>
      <c r="V277" s="84"/>
      <c r="W277" s="84"/>
      <c r="X277" s="84"/>
    </row>
    <row r="278" spans="1:24" s="83" customFormat="1" ht="13" hidden="1" x14ac:dyDescent="0.3">
      <c r="A278" s="85"/>
      <c r="B278" s="744" t="s">
        <v>60</v>
      </c>
      <c r="C278" s="89"/>
      <c r="D278" s="33"/>
      <c r="E278" s="33"/>
      <c r="F278" s="33" t="s">
        <v>207</v>
      </c>
      <c r="G278" s="33" t="s">
        <v>1</v>
      </c>
      <c r="H278" s="33" t="s">
        <v>452</v>
      </c>
      <c r="I278" s="33" t="s">
        <v>539</v>
      </c>
      <c r="J278" s="1061"/>
      <c r="K278" s="1063"/>
      <c r="L278" s="1061"/>
      <c r="M278" s="1550"/>
      <c r="N278" s="1986"/>
      <c r="O278" s="1947"/>
      <c r="P278" s="1941"/>
      <c r="Q278" s="1987"/>
      <c r="R278" s="1988"/>
      <c r="S278" s="84"/>
      <c r="T278" s="84"/>
      <c r="U278" s="84"/>
      <c r="V278" s="84"/>
      <c r="W278" s="84"/>
      <c r="X278" s="84"/>
    </row>
    <row r="279" spans="1:24" s="83" customFormat="1" ht="26" hidden="1" x14ac:dyDescent="0.3">
      <c r="A279" s="85" t="s">
        <v>106</v>
      </c>
      <c r="B279" s="336" t="s">
        <v>206</v>
      </c>
      <c r="C279" s="89"/>
      <c r="D279" s="33"/>
      <c r="E279" s="33"/>
      <c r="F279" s="33" t="s">
        <v>205</v>
      </c>
      <c r="G279" s="33"/>
      <c r="H279" s="33"/>
      <c r="I279" s="33"/>
      <c r="J279" s="1061">
        <f>J280</f>
        <v>0</v>
      </c>
      <c r="K279" s="1063"/>
      <c r="L279" s="1061"/>
      <c r="M279" s="1550"/>
      <c r="N279" s="1986">
        <f t="shared" ref="N279:R280" si="94">N280</f>
        <v>0</v>
      </c>
      <c r="O279" s="1947">
        <f t="shared" si="94"/>
        <v>0</v>
      </c>
      <c r="P279" s="1941">
        <f t="shared" si="94"/>
        <v>0</v>
      </c>
      <c r="Q279" s="1987">
        <f t="shared" si="94"/>
        <v>0</v>
      </c>
      <c r="R279" s="1988">
        <f t="shared" si="94"/>
        <v>0</v>
      </c>
      <c r="S279" s="84"/>
      <c r="T279" s="84"/>
      <c r="U279" s="84"/>
      <c r="V279" s="84"/>
      <c r="W279" s="84"/>
      <c r="X279" s="84"/>
    </row>
    <row r="280" spans="1:24" s="83" customFormat="1" ht="26" hidden="1" x14ac:dyDescent="0.3">
      <c r="A280" s="85"/>
      <c r="B280" s="1993" t="s">
        <v>4</v>
      </c>
      <c r="C280" s="89"/>
      <c r="D280" s="33"/>
      <c r="E280" s="33"/>
      <c r="F280" s="33" t="s">
        <v>205</v>
      </c>
      <c r="G280" s="33" t="s">
        <v>1</v>
      </c>
      <c r="H280" s="33"/>
      <c r="I280" s="33"/>
      <c r="J280" s="1061">
        <f>J281</f>
        <v>0</v>
      </c>
      <c r="K280" s="1063"/>
      <c r="L280" s="1061"/>
      <c r="M280" s="1550"/>
      <c r="N280" s="1986">
        <f t="shared" si="94"/>
        <v>0</v>
      </c>
      <c r="O280" s="1947">
        <f t="shared" si="94"/>
        <v>0</v>
      </c>
      <c r="P280" s="1941">
        <f t="shared" si="94"/>
        <v>0</v>
      </c>
      <c r="Q280" s="1987">
        <f t="shared" si="94"/>
        <v>0</v>
      </c>
      <c r="R280" s="1988">
        <f t="shared" si="94"/>
        <v>0</v>
      </c>
      <c r="S280" s="84"/>
      <c r="T280" s="84"/>
      <c r="U280" s="84"/>
      <c r="V280" s="84"/>
      <c r="W280" s="84"/>
      <c r="X280" s="84"/>
    </row>
    <row r="281" spans="1:24" s="83" customFormat="1" ht="13" hidden="1" x14ac:dyDescent="0.3">
      <c r="A281" s="85"/>
      <c r="B281" s="744" t="s">
        <v>60</v>
      </c>
      <c r="C281" s="89"/>
      <c r="D281" s="33"/>
      <c r="E281" s="33"/>
      <c r="F281" s="33" t="s">
        <v>205</v>
      </c>
      <c r="G281" s="33" t="s">
        <v>1</v>
      </c>
      <c r="H281" s="9" t="s">
        <v>452</v>
      </c>
      <c r="I281" s="9" t="s">
        <v>539</v>
      </c>
      <c r="J281" s="1061"/>
      <c r="K281" s="1063"/>
      <c r="L281" s="1061"/>
      <c r="M281" s="1550"/>
      <c r="N281" s="1986"/>
      <c r="O281" s="1947"/>
      <c r="P281" s="1941"/>
      <c r="Q281" s="1987"/>
      <c r="R281" s="1988"/>
      <c r="S281" s="84"/>
      <c r="T281" s="84"/>
      <c r="U281" s="84"/>
      <c r="V281" s="84"/>
      <c r="W281" s="84"/>
      <c r="X281" s="84"/>
    </row>
    <row r="282" spans="1:24" s="83" customFormat="1" ht="39" x14ac:dyDescent="0.3">
      <c r="A282" s="85"/>
      <c r="B282" s="157" t="s">
        <v>837</v>
      </c>
      <c r="C282" s="89"/>
      <c r="D282" s="33" t="s">
        <v>52</v>
      </c>
      <c r="E282" s="33" t="s">
        <v>58</v>
      </c>
      <c r="F282" s="33" t="s">
        <v>204</v>
      </c>
      <c r="G282" s="33"/>
      <c r="H282" s="33"/>
      <c r="I282" s="33"/>
      <c r="J282" s="1063">
        <f>J283</f>
        <v>800</v>
      </c>
      <c r="K282" s="1063"/>
      <c r="L282" s="1063">
        <f>L283</f>
        <v>667</v>
      </c>
      <c r="M282" s="1125">
        <f>M283</f>
        <v>733</v>
      </c>
      <c r="N282" s="1986">
        <f>N286+N289</f>
        <v>1328.0720000000001</v>
      </c>
      <c r="O282" s="1947">
        <f>O286+O289</f>
        <v>5740</v>
      </c>
      <c r="P282" s="1941">
        <f>P286+P289</f>
        <v>5980</v>
      </c>
      <c r="Q282" s="1987">
        <f>Q286+Q289</f>
        <v>2182.1999999999998</v>
      </c>
      <c r="R282" s="1988">
        <f>R286+R289</f>
        <v>1295.1990000000001</v>
      </c>
      <c r="S282" s="84"/>
      <c r="T282" s="84"/>
      <c r="U282" s="84"/>
      <c r="V282" s="84"/>
      <c r="W282" s="84"/>
      <c r="X282" s="84"/>
    </row>
    <row r="283" spans="1:24" s="83" customFormat="1" ht="26" x14ac:dyDescent="0.3">
      <c r="A283" s="85"/>
      <c r="B283" s="1093" t="s">
        <v>203</v>
      </c>
      <c r="C283" s="89"/>
      <c r="D283" s="33" t="s">
        <v>52</v>
      </c>
      <c r="E283" s="33" t="s">
        <v>58</v>
      </c>
      <c r="F283" s="33" t="s">
        <v>202</v>
      </c>
      <c r="G283" s="88"/>
      <c r="H283" s="88"/>
      <c r="I283" s="33"/>
      <c r="J283" s="1063">
        <f>J287</f>
        <v>800</v>
      </c>
      <c r="K283" s="1063"/>
      <c r="L283" s="1063">
        <f>L288</f>
        <v>667</v>
      </c>
      <c r="M283" s="1125">
        <f>M288</f>
        <v>733</v>
      </c>
      <c r="N283" s="1986">
        <f>N287+N286</f>
        <v>1328.0720000000001</v>
      </c>
      <c r="O283" s="1947">
        <f>O287</f>
        <v>500</v>
      </c>
      <c r="P283" s="1941">
        <f>P287</f>
        <v>600</v>
      </c>
      <c r="Q283" s="1987">
        <f>Q287+Q286</f>
        <v>2182.1999999999998</v>
      </c>
      <c r="R283" s="1988">
        <f>R287+R286</f>
        <v>1295.1990000000001</v>
      </c>
      <c r="S283" s="84"/>
      <c r="T283" s="84"/>
      <c r="U283" s="84"/>
      <c r="V283" s="84"/>
      <c r="W283" s="84"/>
      <c r="X283" s="84"/>
    </row>
    <row r="284" spans="1:24" s="83" customFormat="1" ht="13" x14ac:dyDescent="0.3">
      <c r="A284" s="85"/>
      <c r="B284" s="1098" t="s">
        <v>201</v>
      </c>
      <c r="C284" s="89"/>
      <c r="D284" s="33"/>
      <c r="E284" s="33"/>
      <c r="F284" s="33" t="s">
        <v>200</v>
      </c>
      <c r="G284" s="88"/>
      <c r="H284" s="88"/>
      <c r="I284" s="33"/>
      <c r="J284" s="1063"/>
      <c r="K284" s="1063"/>
      <c r="L284" s="1063"/>
      <c r="M284" s="1125"/>
      <c r="N284" s="1986">
        <f t="shared" ref="N284:R285" si="95">N285</f>
        <v>601.40300000000002</v>
      </c>
      <c r="O284" s="1947">
        <f t="shared" si="95"/>
        <v>5240</v>
      </c>
      <c r="P284" s="1941">
        <f t="shared" si="95"/>
        <v>5380</v>
      </c>
      <c r="Q284" s="1987">
        <f t="shared" si="95"/>
        <v>1722.2</v>
      </c>
      <c r="R284" s="1988">
        <f t="shared" si="95"/>
        <v>775.19899999999996</v>
      </c>
      <c r="S284" s="84"/>
      <c r="T284" s="84"/>
      <c r="U284" s="84"/>
      <c r="V284" s="84"/>
      <c r="W284" s="84"/>
      <c r="X284" s="84"/>
    </row>
    <row r="285" spans="1:24" s="83" customFormat="1" ht="26" x14ac:dyDescent="0.3">
      <c r="A285" s="85"/>
      <c r="B285" s="1993" t="s">
        <v>4</v>
      </c>
      <c r="C285" s="89"/>
      <c r="D285" s="33"/>
      <c r="E285" s="33"/>
      <c r="F285" s="33" t="s">
        <v>200</v>
      </c>
      <c r="G285" s="88">
        <v>240</v>
      </c>
      <c r="H285" s="88"/>
      <c r="I285" s="33"/>
      <c r="J285" s="1063"/>
      <c r="K285" s="1063"/>
      <c r="L285" s="1063"/>
      <c r="M285" s="1125"/>
      <c r="N285" s="1986">
        <f t="shared" si="95"/>
        <v>601.40300000000002</v>
      </c>
      <c r="O285" s="1947">
        <f t="shared" si="95"/>
        <v>5240</v>
      </c>
      <c r="P285" s="1941">
        <f t="shared" si="95"/>
        <v>5380</v>
      </c>
      <c r="Q285" s="1987">
        <f t="shared" si="95"/>
        <v>1722.2</v>
      </c>
      <c r="R285" s="1988">
        <f t="shared" si="95"/>
        <v>775.19899999999996</v>
      </c>
      <c r="S285" s="84"/>
      <c r="T285" s="84"/>
      <c r="U285" s="84"/>
      <c r="V285" s="84"/>
      <c r="W285" s="84"/>
      <c r="X285" s="84"/>
    </row>
    <row r="286" spans="1:24" s="83" customFormat="1" ht="13" x14ac:dyDescent="0.3">
      <c r="A286" s="85"/>
      <c r="B286" s="744" t="s">
        <v>60</v>
      </c>
      <c r="C286" s="89"/>
      <c r="D286" s="33"/>
      <c r="E286" s="33"/>
      <c r="F286" s="33" t="s">
        <v>200</v>
      </c>
      <c r="G286" s="88">
        <v>240</v>
      </c>
      <c r="H286" s="9" t="s">
        <v>452</v>
      </c>
      <c r="I286" s="9" t="s">
        <v>539</v>
      </c>
      <c r="J286" s="1063"/>
      <c r="K286" s="1063"/>
      <c r="L286" s="1063"/>
      <c r="M286" s="1125"/>
      <c r="N286" s="1986">
        <f>750-148.597</f>
        <v>601.40300000000002</v>
      </c>
      <c r="O286" s="1947">
        <v>5240</v>
      </c>
      <c r="P286" s="1941">
        <v>5380</v>
      </c>
      <c r="Q286" s="1987">
        <v>1722.2</v>
      </c>
      <c r="R286" s="1988">
        <v>775.19899999999996</v>
      </c>
      <c r="S286" s="84"/>
      <c r="T286" s="84"/>
      <c r="U286" s="84"/>
      <c r="V286" s="84"/>
      <c r="W286" s="84"/>
      <c r="X286" s="84"/>
    </row>
    <row r="287" spans="1:24" s="83" customFormat="1" ht="26" x14ac:dyDescent="0.3">
      <c r="A287" s="85"/>
      <c r="B287" s="1098" t="s">
        <v>199</v>
      </c>
      <c r="C287" s="89"/>
      <c r="D287" s="33"/>
      <c r="E287" s="33"/>
      <c r="F287" s="33" t="s">
        <v>198</v>
      </c>
      <c r="G287" s="88"/>
      <c r="H287" s="88"/>
      <c r="I287" s="33"/>
      <c r="J287" s="1063">
        <f>J288</f>
        <v>800</v>
      </c>
      <c r="K287" s="1063"/>
      <c r="L287" s="1063"/>
      <c r="M287" s="1125"/>
      <c r="N287" s="1986">
        <f t="shared" ref="N287:R288" si="96">N288</f>
        <v>726.66899999999998</v>
      </c>
      <c r="O287" s="1947">
        <f t="shared" si="96"/>
        <v>500</v>
      </c>
      <c r="P287" s="1941">
        <f t="shared" si="96"/>
        <v>600</v>
      </c>
      <c r="Q287" s="1987">
        <f t="shared" si="96"/>
        <v>460</v>
      </c>
      <c r="R287" s="1988">
        <f t="shared" si="96"/>
        <v>520</v>
      </c>
      <c r="S287" s="84"/>
      <c r="T287" s="84"/>
      <c r="U287" s="84"/>
      <c r="V287" s="84"/>
      <c r="W287" s="84"/>
      <c r="X287" s="84"/>
    </row>
    <row r="288" spans="1:24" s="83" customFormat="1" ht="25.15" customHeight="1" x14ac:dyDescent="0.3">
      <c r="A288" s="85"/>
      <c r="B288" s="1993" t="s">
        <v>4</v>
      </c>
      <c r="C288" s="89"/>
      <c r="D288" s="33" t="s">
        <v>52</v>
      </c>
      <c r="E288" s="33" t="s">
        <v>58</v>
      </c>
      <c r="F288" s="33" t="s">
        <v>198</v>
      </c>
      <c r="G288" s="88">
        <v>240</v>
      </c>
      <c r="H288" s="88"/>
      <c r="I288" s="33"/>
      <c r="J288" s="1063">
        <f>J289</f>
        <v>800</v>
      </c>
      <c r="K288" s="1063"/>
      <c r="L288" s="1063">
        <v>667</v>
      </c>
      <c r="M288" s="1125">
        <v>733</v>
      </c>
      <c r="N288" s="1986">
        <f t="shared" si="96"/>
        <v>726.66899999999998</v>
      </c>
      <c r="O288" s="1947">
        <f t="shared" si="96"/>
        <v>500</v>
      </c>
      <c r="P288" s="1941">
        <f t="shared" si="96"/>
        <v>600</v>
      </c>
      <c r="Q288" s="1987">
        <f t="shared" si="96"/>
        <v>460</v>
      </c>
      <c r="R288" s="1988">
        <f t="shared" si="96"/>
        <v>520</v>
      </c>
      <c r="S288" s="84"/>
      <c r="T288" s="84"/>
      <c r="U288" s="84"/>
      <c r="V288" s="84"/>
      <c r="W288" s="84"/>
      <c r="X288" s="84"/>
    </row>
    <row r="289" spans="1:256" s="83" customFormat="1" ht="13" x14ac:dyDescent="0.3">
      <c r="A289" s="85"/>
      <c r="B289" s="744" t="s">
        <v>60</v>
      </c>
      <c r="C289" s="89"/>
      <c r="D289" s="33"/>
      <c r="E289" s="33"/>
      <c r="F289" s="33" t="s">
        <v>198</v>
      </c>
      <c r="G289" s="88">
        <v>240</v>
      </c>
      <c r="H289" s="9" t="s">
        <v>452</v>
      </c>
      <c r="I289" s="9" t="s">
        <v>539</v>
      </c>
      <c r="J289" s="1063">
        <v>800</v>
      </c>
      <c r="K289" s="1063"/>
      <c r="L289" s="1063">
        <v>667</v>
      </c>
      <c r="M289" s="1125">
        <v>733</v>
      </c>
      <c r="N289" s="1986">
        <f>440+148.597+138.072</f>
        <v>726.66899999999998</v>
      </c>
      <c r="O289" s="1947">
        <v>500</v>
      </c>
      <c r="P289" s="1941">
        <v>600</v>
      </c>
      <c r="Q289" s="1987">
        <v>460</v>
      </c>
      <c r="R289" s="1988">
        <v>520</v>
      </c>
      <c r="S289" s="84"/>
      <c r="T289" s="84"/>
      <c r="U289" s="84"/>
      <c r="V289" s="84"/>
      <c r="W289" s="84"/>
      <c r="X289" s="84"/>
    </row>
    <row r="290" spans="1:256" ht="39" x14ac:dyDescent="0.25">
      <c r="A290" s="156">
        <v>6</v>
      </c>
      <c r="B290" s="155" t="s">
        <v>884</v>
      </c>
      <c r="C290" s="152"/>
      <c r="D290" s="154" t="s">
        <v>15</v>
      </c>
      <c r="E290" s="152" t="s">
        <v>13</v>
      </c>
      <c r="F290" s="152" t="s">
        <v>196</v>
      </c>
      <c r="G290" s="153"/>
      <c r="H290" s="153"/>
      <c r="I290" s="152"/>
      <c r="J290" s="150">
        <f>J291</f>
        <v>3497.6120000000001</v>
      </c>
      <c r="K290" s="151"/>
      <c r="L290" s="150">
        <f>L292</f>
        <v>4000</v>
      </c>
      <c r="M290" s="1559">
        <f>M292</f>
        <v>0</v>
      </c>
      <c r="N290" s="2013">
        <f t="shared" ref="N290:R292" si="97">N291</f>
        <v>1224.9099999999999</v>
      </c>
      <c r="O290" s="2014">
        <f t="shared" si="97"/>
        <v>48</v>
      </c>
      <c r="P290" s="2014">
        <f t="shared" si="97"/>
        <v>816.12</v>
      </c>
      <c r="Q290" s="2015">
        <f t="shared" si="97"/>
        <v>4981.808</v>
      </c>
      <c r="R290" s="2016">
        <f>R291+R298</f>
        <v>5143</v>
      </c>
    </row>
    <row r="291" spans="1:256" s="2" customFormat="1" ht="31.15" customHeight="1" x14ac:dyDescent="0.25">
      <c r="A291" s="1099"/>
      <c r="B291" s="1092" t="s">
        <v>195</v>
      </c>
      <c r="C291" s="1092"/>
      <c r="D291" s="1092"/>
      <c r="E291" s="1092"/>
      <c r="F291" s="9" t="s">
        <v>194</v>
      </c>
      <c r="G291" s="1092"/>
      <c r="H291" s="1092"/>
      <c r="I291" s="1092"/>
      <c r="J291" s="1100">
        <f>J292</f>
        <v>3497.6120000000001</v>
      </c>
      <c r="K291" s="1092"/>
      <c r="L291" s="1092"/>
      <c r="M291" s="1560"/>
      <c r="N291" s="1998">
        <f>N292+N298</f>
        <v>1224.9099999999999</v>
      </c>
      <c r="O291" s="2017">
        <f t="shared" si="97"/>
        <v>48</v>
      </c>
      <c r="P291" s="2018">
        <f t="shared" si="97"/>
        <v>816.12</v>
      </c>
      <c r="Q291" s="2019">
        <f t="shared" si="97"/>
        <v>4981.808</v>
      </c>
      <c r="R291" s="2020">
        <f t="shared" si="97"/>
        <v>3543</v>
      </c>
      <c r="S291" s="1102"/>
      <c r="T291" s="1102"/>
      <c r="U291" s="1102"/>
      <c r="V291" s="1102"/>
      <c r="W291" s="1102"/>
      <c r="X291" s="1102"/>
      <c r="Y291" s="1102"/>
      <c r="Z291" s="1102"/>
      <c r="AA291" s="1102"/>
      <c r="AB291" s="1102"/>
      <c r="AC291" s="1102"/>
      <c r="AD291" s="1102"/>
      <c r="AE291" s="1102"/>
      <c r="AF291" s="1102"/>
      <c r="AG291" s="1102"/>
      <c r="AH291" s="1102"/>
      <c r="AI291" s="1102"/>
      <c r="AJ291" s="1102"/>
      <c r="AK291" s="1102"/>
      <c r="AL291" s="1102"/>
      <c r="AM291" s="1102"/>
      <c r="AN291" s="1102"/>
      <c r="AO291" s="1102"/>
      <c r="AP291" s="1102"/>
      <c r="AQ291" s="1102"/>
      <c r="AR291" s="1102"/>
      <c r="AS291" s="1102"/>
      <c r="AT291" s="1102"/>
      <c r="AU291" s="1102"/>
      <c r="AV291" s="1102"/>
      <c r="AW291" s="1102"/>
      <c r="AX291" s="1102"/>
      <c r="AY291" s="1102"/>
      <c r="AZ291" s="1102"/>
      <c r="BA291" s="1102"/>
      <c r="BB291" s="1102"/>
      <c r="BC291" s="1102"/>
      <c r="BD291" s="1102"/>
      <c r="BE291" s="1102"/>
      <c r="BF291" s="1102"/>
      <c r="BG291" s="1102"/>
      <c r="BH291" s="1102"/>
      <c r="BI291" s="1102"/>
      <c r="BJ291" s="1102"/>
      <c r="BK291" s="1102"/>
      <c r="BL291" s="1102"/>
      <c r="BM291" s="1102"/>
      <c r="BN291" s="1102"/>
      <c r="BO291" s="1102"/>
      <c r="BP291" s="1102"/>
      <c r="BQ291" s="1102"/>
      <c r="BR291" s="1102"/>
      <c r="BS291" s="1102"/>
      <c r="BT291" s="1102"/>
      <c r="BU291" s="1102"/>
      <c r="BV291" s="1102"/>
      <c r="BW291" s="1102"/>
      <c r="BX291" s="1102"/>
      <c r="BY291" s="1102"/>
      <c r="BZ291" s="1102"/>
      <c r="CA291" s="1102"/>
      <c r="CB291" s="1102"/>
      <c r="CC291" s="1102"/>
      <c r="CD291" s="1102"/>
      <c r="CE291" s="1102"/>
      <c r="CF291" s="1102"/>
      <c r="CG291" s="1102"/>
      <c r="CH291" s="1102"/>
      <c r="CI291" s="1102"/>
      <c r="CJ291" s="1102"/>
      <c r="CK291" s="1102"/>
      <c r="CL291" s="1102"/>
      <c r="CM291" s="1102"/>
      <c r="CN291" s="1102"/>
      <c r="CO291" s="1102"/>
      <c r="CP291" s="1102"/>
      <c r="CQ291" s="1102"/>
      <c r="CR291" s="1102"/>
      <c r="CS291" s="1102"/>
      <c r="CT291" s="1102"/>
      <c r="CU291" s="1102"/>
      <c r="CV291" s="1102"/>
      <c r="CW291" s="1102"/>
      <c r="CX291" s="1102"/>
      <c r="CY291" s="1102"/>
      <c r="CZ291" s="1102"/>
      <c r="DA291" s="1102"/>
      <c r="DB291" s="1102"/>
      <c r="DC291" s="1102"/>
      <c r="DD291" s="1102"/>
      <c r="DE291" s="1102"/>
      <c r="DF291" s="1102"/>
      <c r="DG291" s="1102"/>
      <c r="DH291" s="1102"/>
      <c r="DI291" s="1102"/>
      <c r="DJ291" s="1102"/>
      <c r="DK291" s="1102"/>
      <c r="DL291" s="1102"/>
      <c r="DM291" s="1102"/>
      <c r="DN291" s="1102"/>
      <c r="DO291" s="1102"/>
      <c r="DP291" s="1102"/>
      <c r="DQ291" s="1102"/>
      <c r="DR291" s="1102"/>
      <c r="DS291" s="1102"/>
      <c r="DT291" s="1102"/>
      <c r="DU291" s="1102"/>
      <c r="DV291" s="1102"/>
      <c r="DW291" s="1102"/>
      <c r="DX291" s="1102"/>
      <c r="DY291" s="1102"/>
      <c r="DZ291" s="1102"/>
      <c r="EA291" s="1102"/>
      <c r="EB291" s="1102"/>
      <c r="EC291" s="1102"/>
      <c r="ED291" s="1102"/>
      <c r="EE291" s="1102"/>
      <c r="EF291" s="1102"/>
      <c r="EG291" s="1102"/>
      <c r="EH291" s="1102"/>
      <c r="EI291" s="1102"/>
      <c r="EJ291" s="1102"/>
      <c r="EK291" s="1102"/>
      <c r="EL291" s="1102"/>
      <c r="EM291" s="1102"/>
      <c r="EN291" s="1102"/>
      <c r="EO291" s="1102"/>
      <c r="EP291" s="1102"/>
      <c r="EQ291" s="1102"/>
      <c r="ER291" s="1102"/>
      <c r="ES291" s="1102"/>
      <c r="ET291" s="1102"/>
      <c r="EU291" s="1102"/>
      <c r="EV291" s="1102"/>
      <c r="EW291" s="1102"/>
      <c r="EX291" s="1102"/>
      <c r="EY291" s="1102"/>
      <c r="EZ291" s="1102"/>
      <c r="FA291" s="1102"/>
      <c r="FB291" s="1102"/>
      <c r="FC291" s="1102"/>
      <c r="FD291" s="1102"/>
      <c r="FE291" s="1102"/>
      <c r="FF291" s="1102"/>
      <c r="FG291" s="1102"/>
      <c r="FH291" s="1102"/>
      <c r="FI291" s="1102"/>
      <c r="FJ291" s="1102"/>
      <c r="FK291" s="1102"/>
      <c r="FL291" s="1102"/>
      <c r="FM291" s="1102"/>
      <c r="FN291" s="1102"/>
      <c r="FO291" s="1102"/>
      <c r="FP291" s="1102"/>
      <c r="FQ291" s="1102"/>
      <c r="FR291" s="1102"/>
      <c r="FS291" s="1102"/>
      <c r="FT291" s="1102"/>
      <c r="FU291" s="1102"/>
      <c r="FV291" s="1102"/>
      <c r="FW291" s="1102"/>
      <c r="FX291" s="1102"/>
      <c r="FY291" s="1102"/>
      <c r="FZ291" s="1102"/>
      <c r="GA291" s="1102"/>
      <c r="GB291" s="1102"/>
      <c r="GC291" s="1102"/>
      <c r="GD291" s="1102"/>
      <c r="GE291" s="1102"/>
      <c r="GF291" s="1102"/>
      <c r="GG291" s="1102"/>
      <c r="GH291" s="1102"/>
      <c r="GI291" s="1102"/>
      <c r="GJ291" s="1102"/>
      <c r="GK291" s="1102"/>
      <c r="GL291" s="1102"/>
      <c r="GM291" s="1102"/>
      <c r="GN291" s="1102"/>
      <c r="GO291" s="1102"/>
      <c r="GP291" s="1102"/>
      <c r="GQ291" s="1102"/>
      <c r="GR291" s="1102"/>
      <c r="GS291" s="1102"/>
      <c r="GT291" s="1102"/>
      <c r="GU291" s="1102"/>
      <c r="GV291" s="1102"/>
      <c r="GW291" s="1102"/>
      <c r="GX291" s="1102"/>
      <c r="GY291" s="1102"/>
      <c r="GZ291" s="1102"/>
      <c r="HA291" s="1102"/>
      <c r="HB291" s="1102"/>
      <c r="HC291" s="1102"/>
      <c r="HD291" s="1102"/>
      <c r="HE291" s="1102"/>
      <c r="HF291" s="1102"/>
      <c r="HG291" s="1102"/>
      <c r="HH291" s="1102"/>
      <c r="HI291" s="1102"/>
      <c r="HJ291" s="1102"/>
      <c r="HK291" s="1102"/>
      <c r="HL291" s="1102"/>
      <c r="HM291" s="1102"/>
      <c r="HN291" s="1102"/>
      <c r="HO291" s="1102"/>
      <c r="HP291" s="1102"/>
      <c r="HQ291" s="1102"/>
      <c r="HR291" s="1102"/>
      <c r="HS291" s="1102"/>
      <c r="HT291" s="1102"/>
      <c r="HU291" s="1102"/>
      <c r="HV291" s="1102"/>
      <c r="HW291" s="1102"/>
      <c r="HX291" s="1102"/>
      <c r="HY291" s="1102"/>
      <c r="HZ291" s="1102"/>
      <c r="IA291" s="1102"/>
      <c r="IB291" s="1102"/>
      <c r="IC291" s="1102"/>
      <c r="ID291" s="1102"/>
      <c r="IE291" s="1102"/>
      <c r="IF291" s="1102"/>
      <c r="IG291" s="1102"/>
      <c r="IH291" s="1102"/>
      <c r="II291" s="1102"/>
      <c r="IJ291" s="1102"/>
      <c r="IK291" s="1102"/>
      <c r="IL291" s="1102"/>
      <c r="IM291" s="1102"/>
      <c r="IN291" s="1102"/>
      <c r="IO291" s="1102"/>
      <c r="IP291" s="1102"/>
      <c r="IQ291" s="1102"/>
      <c r="IR291" s="1102"/>
      <c r="IS291" s="1102"/>
      <c r="IT291" s="1102"/>
      <c r="IU291" s="1102"/>
      <c r="IV291" s="1102"/>
    </row>
    <row r="292" spans="1:256" ht="26" x14ac:dyDescent="0.25">
      <c r="A292" s="145"/>
      <c r="B292" s="144" t="s">
        <v>193</v>
      </c>
      <c r="C292" s="142"/>
      <c r="D292" s="143" t="s">
        <v>15</v>
      </c>
      <c r="E292" s="142" t="s">
        <v>13</v>
      </c>
      <c r="F292" s="142" t="s">
        <v>191</v>
      </c>
      <c r="G292" s="142"/>
      <c r="H292" s="142"/>
      <c r="I292" s="142"/>
      <c r="J292" s="1103">
        <f>J293</f>
        <v>3497.6120000000001</v>
      </c>
      <c r="K292" s="1104"/>
      <c r="L292" s="1104">
        <f>L293</f>
        <v>4000</v>
      </c>
      <c r="M292" s="1561">
        <f>M293</f>
        <v>0</v>
      </c>
      <c r="N292" s="2021">
        <f t="shared" si="97"/>
        <v>1224.9099999999999</v>
      </c>
      <c r="O292" s="2022">
        <f t="shared" si="97"/>
        <v>48</v>
      </c>
      <c r="P292" s="2023">
        <f t="shared" si="97"/>
        <v>816.12</v>
      </c>
      <c r="Q292" s="2024">
        <f t="shared" si="97"/>
        <v>4981.808</v>
      </c>
      <c r="R292" s="2025">
        <f t="shared" si="97"/>
        <v>3543</v>
      </c>
    </row>
    <row r="293" spans="1:256" ht="13" x14ac:dyDescent="0.25">
      <c r="A293" s="32"/>
      <c r="B293" s="58" t="s">
        <v>28</v>
      </c>
      <c r="C293" s="9"/>
      <c r="D293" s="88" t="s">
        <v>15</v>
      </c>
      <c r="E293" s="9" t="s">
        <v>13</v>
      </c>
      <c r="F293" s="9" t="s">
        <v>191</v>
      </c>
      <c r="G293" s="9" t="s">
        <v>26</v>
      </c>
      <c r="H293" s="9"/>
      <c r="I293" s="9"/>
      <c r="J293" s="1061">
        <f>J295</f>
        <v>3497.6120000000001</v>
      </c>
      <c r="K293" s="1075"/>
      <c r="L293" s="1066">
        <v>4000</v>
      </c>
      <c r="M293" s="1552"/>
      <c r="N293" s="1986">
        <f>N295</f>
        <v>1224.9099999999999</v>
      </c>
      <c r="O293" s="1947">
        <f>O295</f>
        <v>48</v>
      </c>
      <c r="P293" s="1941">
        <f>P295</f>
        <v>816.12</v>
      </c>
      <c r="Q293" s="1987">
        <f>Q295</f>
        <v>4981.808</v>
      </c>
      <c r="R293" s="1988">
        <f>R295</f>
        <v>3543</v>
      </c>
    </row>
    <row r="294" spans="1:256" ht="52" hidden="1" x14ac:dyDescent="0.25">
      <c r="A294" s="32"/>
      <c r="B294" s="58" t="s">
        <v>192</v>
      </c>
      <c r="C294" s="9"/>
      <c r="D294" s="88" t="s">
        <v>15</v>
      </c>
      <c r="E294" s="9" t="s">
        <v>13</v>
      </c>
      <c r="F294" s="9" t="s">
        <v>191</v>
      </c>
      <c r="G294" s="9"/>
      <c r="H294" s="9"/>
      <c r="I294" s="9" t="s">
        <v>13</v>
      </c>
      <c r="J294" s="1065"/>
      <c r="K294" s="1065"/>
      <c r="L294" s="1065"/>
      <c r="M294" s="1552"/>
      <c r="N294" s="1982"/>
      <c r="O294" s="1994"/>
      <c r="P294" s="1939"/>
      <c r="Q294" s="1995"/>
      <c r="R294" s="1985"/>
    </row>
    <row r="295" spans="1:256" ht="13" x14ac:dyDescent="0.25">
      <c r="A295" s="32"/>
      <c r="B295" s="58" t="s">
        <v>39</v>
      </c>
      <c r="C295" s="9"/>
      <c r="D295" s="88"/>
      <c r="E295" s="9"/>
      <c r="F295" s="9" t="s">
        <v>191</v>
      </c>
      <c r="G295" s="9" t="s">
        <v>26</v>
      </c>
      <c r="H295" s="9" t="s">
        <v>463</v>
      </c>
      <c r="I295" s="9" t="s">
        <v>488</v>
      </c>
      <c r="J295" s="1061">
        <v>3497.6120000000001</v>
      </c>
      <c r="K295" s="1065"/>
      <c r="L295" s="1065"/>
      <c r="M295" s="1552"/>
      <c r="N295" s="1986">
        <f>3500.703-1300-5-218.134-500-252.659</f>
        <v>1224.9099999999999</v>
      </c>
      <c r="O295" s="1947">
        <v>48</v>
      </c>
      <c r="P295" s="1941">
        <v>816.12</v>
      </c>
      <c r="Q295" s="1987">
        <v>4981.808</v>
      </c>
      <c r="R295" s="1988">
        <f>3700-157</f>
        <v>3543</v>
      </c>
    </row>
    <row r="296" spans="1:256" ht="26" x14ac:dyDescent="0.25">
      <c r="A296" s="32"/>
      <c r="B296" s="144" t="s">
        <v>193</v>
      </c>
      <c r="C296" s="9"/>
      <c r="D296" s="88"/>
      <c r="E296" s="9"/>
      <c r="F296" s="2026" t="s">
        <v>1008</v>
      </c>
      <c r="G296" s="9"/>
      <c r="H296" s="9"/>
      <c r="I296" s="9"/>
      <c r="J296" s="1061"/>
      <c r="K296" s="1065"/>
      <c r="L296" s="1065"/>
      <c r="M296" s="1552"/>
      <c r="N296" s="1986">
        <f>N297</f>
        <v>0</v>
      </c>
      <c r="O296" s="1947"/>
      <c r="P296" s="1941"/>
      <c r="Q296" s="1987"/>
      <c r="R296" s="1988">
        <f>R297</f>
        <v>1600</v>
      </c>
    </row>
    <row r="297" spans="1:256" ht="13" x14ac:dyDescent="0.25">
      <c r="A297" s="32"/>
      <c r="B297" s="58" t="s">
        <v>28</v>
      </c>
      <c r="C297" s="9"/>
      <c r="D297" s="88"/>
      <c r="E297" s="9"/>
      <c r="F297" s="2026" t="s">
        <v>1008</v>
      </c>
      <c r="G297" s="9" t="s">
        <v>26</v>
      </c>
      <c r="H297" s="9"/>
      <c r="I297" s="9"/>
      <c r="J297" s="1061"/>
      <c r="K297" s="1065"/>
      <c r="L297" s="1065"/>
      <c r="M297" s="1552"/>
      <c r="N297" s="1986">
        <f>N298</f>
        <v>0</v>
      </c>
      <c r="O297" s="1947"/>
      <c r="P297" s="1941"/>
      <c r="Q297" s="1987"/>
      <c r="R297" s="1988">
        <f>R298</f>
        <v>1600</v>
      </c>
    </row>
    <row r="298" spans="1:256" ht="13" x14ac:dyDescent="0.25">
      <c r="A298" s="32"/>
      <c r="B298" s="58" t="s">
        <v>39</v>
      </c>
      <c r="C298" s="9"/>
      <c r="D298" s="88"/>
      <c r="E298" s="9"/>
      <c r="F298" s="2026" t="s">
        <v>1008</v>
      </c>
      <c r="G298" s="9" t="s">
        <v>26</v>
      </c>
      <c r="H298" s="9" t="s">
        <v>463</v>
      </c>
      <c r="I298" s="9" t="s">
        <v>488</v>
      </c>
      <c r="J298" s="1061"/>
      <c r="K298" s="1065"/>
      <c r="L298" s="1065"/>
      <c r="M298" s="1552"/>
      <c r="N298" s="1986">
        <f>95+5-95-5</f>
        <v>0</v>
      </c>
      <c r="O298" s="1947"/>
      <c r="P298" s="1941"/>
      <c r="Q298" s="1987"/>
      <c r="R298" s="1988">
        <f>1443+157</f>
        <v>1600</v>
      </c>
    </row>
    <row r="299" spans="1:256" ht="42" customHeight="1" x14ac:dyDescent="0.25">
      <c r="A299" s="91">
        <v>7</v>
      </c>
      <c r="B299" s="132" t="s">
        <v>915</v>
      </c>
      <c r="C299" s="9"/>
      <c r="D299" s="34" t="s">
        <v>15</v>
      </c>
      <c r="E299" s="34" t="s">
        <v>32</v>
      </c>
      <c r="F299" s="34" t="s">
        <v>189</v>
      </c>
      <c r="G299" s="131"/>
      <c r="H299" s="131"/>
      <c r="I299" s="34"/>
      <c r="J299" s="51">
        <f>J300</f>
        <v>7617.2000000000007</v>
      </c>
      <c r="K299" s="131"/>
      <c r="L299" s="51">
        <f>L301+L304</f>
        <v>7617.2</v>
      </c>
      <c r="M299" s="1562">
        <f>M301+M304</f>
        <v>7463.8</v>
      </c>
      <c r="N299" s="1982">
        <f>N300</f>
        <v>35697.735000000001</v>
      </c>
      <c r="O299" s="1958">
        <f>O300</f>
        <v>32518.875</v>
      </c>
      <c r="P299" s="1944">
        <f>P300</f>
        <v>31004.17</v>
      </c>
      <c r="Q299" s="1996">
        <f>Q300</f>
        <v>33058.639999999999</v>
      </c>
      <c r="R299" s="1997">
        <f>R300</f>
        <v>34696.880000000005</v>
      </c>
    </row>
    <row r="300" spans="1:256" ht="56.5" customHeight="1" x14ac:dyDescent="0.25">
      <c r="A300" s="91"/>
      <c r="B300" s="1098" t="s">
        <v>188</v>
      </c>
      <c r="C300" s="9"/>
      <c r="D300" s="34"/>
      <c r="E300" s="34"/>
      <c r="F300" s="9" t="s">
        <v>187</v>
      </c>
      <c r="G300" s="131"/>
      <c r="H300" s="131"/>
      <c r="I300" s="34"/>
      <c r="J300" s="47">
        <f>J301+J304</f>
        <v>7617.2000000000007</v>
      </c>
      <c r="K300" s="131"/>
      <c r="L300" s="51"/>
      <c r="M300" s="1562"/>
      <c r="N300" s="1986">
        <f>N301+N304</f>
        <v>35697.735000000001</v>
      </c>
      <c r="O300" s="2027">
        <f>O301+O304</f>
        <v>32518.875</v>
      </c>
      <c r="P300" s="1950">
        <f>P301+P304</f>
        <v>31004.17</v>
      </c>
      <c r="Q300" s="2028">
        <f>Q301+Q304</f>
        <v>33058.639999999999</v>
      </c>
      <c r="R300" s="2029">
        <f>R301+R304</f>
        <v>34696.880000000005</v>
      </c>
    </row>
    <row r="301" spans="1:256" ht="39" x14ac:dyDescent="0.25">
      <c r="A301" s="32"/>
      <c r="B301" s="49" t="s">
        <v>186</v>
      </c>
      <c r="C301" s="9"/>
      <c r="D301" s="34" t="s">
        <v>15</v>
      </c>
      <c r="E301" s="34" t="s">
        <v>32</v>
      </c>
      <c r="F301" s="9" t="s">
        <v>185</v>
      </c>
      <c r="G301" s="9"/>
      <c r="H301" s="9"/>
      <c r="I301" s="34"/>
      <c r="J301" s="1061">
        <f>J302</f>
        <v>5253.4660000000003</v>
      </c>
      <c r="K301" s="1065"/>
      <c r="L301" s="1065">
        <f t="shared" ref="L301:R301" si="98">L302</f>
        <v>5406.2</v>
      </c>
      <c r="M301" s="1552">
        <f t="shared" si="98"/>
        <v>5230.3</v>
      </c>
      <c r="N301" s="1986">
        <f t="shared" si="98"/>
        <v>3944.683</v>
      </c>
      <c r="O301" s="1947">
        <f t="shared" si="98"/>
        <v>10043.379999999999</v>
      </c>
      <c r="P301" s="1941">
        <f t="shared" si="98"/>
        <v>6288.7259999999997</v>
      </c>
      <c r="Q301" s="1987">
        <f t="shared" si="98"/>
        <v>2500</v>
      </c>
      <c r="R301" s="1988">
        <f t="shared" si="98"/>
        <v>2800</v>
      </c>
    </row>
    <row r="302" spans="1:256" ht="25.15" customHeight="1" x14ac:dyDescent="0.25">
      <c r="A302" s="32"/>
      <c r="B302" s="1993" t="s">
        <v>4</v>
      </c>
      <c r="C302" s="9"/>
      <c r="D302" s="9" t="s">
        <v>15</v>
      </c>
      <c r="E302" s="9" t="s">
        <v>32</v>
      </c>
      <c r="F302" s="9" t="s">
        <v>185</v>
      </c>
      <c r="G302" s="9" t="s">
        <v>1</v>
      </c>
      <c r="H302" s="9"/>
      <c r="I302" s="9"/>
      <c r="J302" s="1061">
        <f>J303</f>
        <v>5253.4660000000003</v>
      </c>
      <c r="K302" s="1065"/>
      <c r="L302" s="1061">
        <v>5406.2</v>
      </c>
      <c r="M302" s="1550">
        <v>5230.3</v>
      </c>
      <c r="N302" s="1986">
        <f>N303</f>
        <v>3944.683</v>
      </c>
      <c r="O302" s="1947">
        <f>O303</f>
        <v>10043.379999999999</v>
      </c>
      <c r="P302" s="1941">
        <f>P303</f>
        <v>6288.7259999999997</v>
      </c>
      <c r="Q302" s="1987">
        <f>Q303</f>
        <v>2500</v>
      </c>
      <c r="R302" s="1988">
        <f>R303</f>
        <v>2800</v>
      </c>
    </row>
    <row r="303" spans="1:256" ht="13" x14ac:dyDescent="0.3">
      <c r="A303" s="32"/>
      <c r="B303" s="744" t="s">
        <v>34</v>
      </c>
      <c r="C303" s="9"/>
      <c r="D303" s="9"/>
      <c r="E303" s="9"/>
      <c r="F303" s="9" t="s">
        <v>185</v>
      </c>
      <c r="G303" s="9" t="s">
        <v>1</v>
      </c>
      <c r="H303" s="9" t="s">
        <v>463</v>
      </c>
      <c r="I303" s="9" t="s">
        <v>495</v>
      </c>
      <c r="J303" s="1061">
        <v>5253.4660000000003</v>
      </c>
      <c r="K303" s="1065"/>
      <c r="L303" s="1061"/>
      <c r="M303" s="1550"/>
      <c r="N303" s="1986">
        <f>2300+750+600+14.767+252.659+5+22.257</f>
        <v>3944.683</v>
      </c>
      <c r="O303" s="1947">
        <v>10043.379999999999</v>
      </c>
      <c r="P303" s="1941">
        <v>6288.7259999999997</v>
      </c>
      <c r="Q303" s="2030">
        <v>2500</v>
      </c>
      <c r="R303" s="2031">
        <v>2800</v>
      </c>
    </row>
    <row r="304" spans="1:256" ht="39" x14ac:dyDescent="0.25">
      <c r="A304" s="32"/>
      <c r="B304" s="49" t="s">
        <v>184</v>
      </c>
      <c r="C304" s="9"/>
      <c r="D304" s="34" t="s">
        <v>15</v>
      </c>
      <c r="E304" s="34" t="s">
        <v>32</v>
      </c>
      <c r="F304" s="9" t="s">
        <v>183</v>
      </c>
      <c r="G304" s="9"/>
      <c r="H304" s="9"/>
      <c r="I304" s="34"/>
      <c r="J304" s="1061">
        <f>J305</f>
        <v>2363.7339999999999</v>
      </c>
      <c r="K304" s="1064"/>
      <c r="L304" s="1064">
        <f>L305</f>
        <v>2211</v>
      </c>
      <c r="M304" s="1563">
        <f>M305</f>
        <v>2233.5</v>
      </c>
      <c r="N304" s="1986">
        <f>N305+N308</f>
        <v>31753.052</v>
      </c>
      <c r="O304" s="1947">
        <f>O305</f>
        <v>22475.494999999999</v>
      </c>
      <c r="P304" s="1941">
        <f>P305</f>
        <v>24715.444</v>
      </c>
      <c r="Q304" s="1987">
        <f>Q305+Q308</f>
        <v>30558.639999999999</v>
      </c>
      <c r="R304" s="1988">
        <f>R305+R308</f>
        <v>31896.880000000001</v>
      </c>
    </row>
    <row r="305" spans="1:256" ht="25.15" customHeight="1" x14ac:dyDescent="0.25">
      <c r="A305" s="32"/>
      <c r="B305" s="1993" t="s">
        <v>4</v>
      </c>
      <c r="C305" s="9"/>
      <c r="D305" s="9" t="s">
        <v>15</v>
      </c>
      <c r="E305" s="9" t="s">
        <v>32</v>
      </c>
      <c r="F305" s="9" t="s">
        <v>183</v>
      </c>
      <c r="G305" s="9" t="s">
        <v>1</v>
      </c>
      <c r="H305" s="9"/>
      <c r="I305" s="9"/>
      <c r="J305" s="1061">
        <f>J307</f>
        <v>2363.7339999999999</v>
      </c>
      <c r="K305" s="1064"/>
      <c r="L305" s="1064">
        <v>2211</v>
      </c>
      <c r="M305" s="1563">
        <v>2233.5</v>
      </c>
      <c r="N305" s="1986">
        <f>N307</f>
        <v>31753.052</v>
      </c>
      <c r="O305" s="1947">
        <f>O307</f>
        <v>22475.494999999999</v>
      </c>
      <c r="P305" s="1941">
        <f>P307</f>
        <v>24715.444</v>
      </c>
      <c r="Q305" s="1987">
        <f>Q307</f>
        <v>30558.639999999999</v>
      </c>
      <c r="R305" s="1988">
        <f>R307</f>
        <v>31896.880000000001</v>
      </c>
    </row>
    <row r="306" spans="1:256" ht="18.649999999999999" hidden="1" customHeight="1" x14ac:dyDescent="0.3">
      <c r="A306" s="32"/>
      <c r="B306" s="2003"/>
      <c r="C306" s="9"/>
      <c r="D306" s="9"/>
      <c r="E306" s="9"/>
      <c r="F306" s="9"/>
      <c r="G306" s="9"/>
      <c r="H306" s="9"/>
      <c r="I306" s="9"/>
      <c r="J306" s="1061"/>
      <c r="K306" s="1064"/>
      <c r="L306" s="1064"/>
      <c r="M306" s="1563"/>
      <c r="N306" s="1986"/>
      <c r="O306" s="1947"/>
      <c r="P306" s="1941"/>
      <c r="Q306" s="1987"/>
      <c r="R306" s="1988"/>
    </row>
    <row r="307" spans="1:256" ht="13" x14ac:dyDescent="0.3">
      <c r="A307" s="32"/>
      <c r="B307" s="744" t="s">
        <v>34</v>
      </c>
      <c r="C307" s="9"/>
      <c r="D307" s="9"/>
      <c r="E307" s="9"/>
      <c r="F307" s="9" t="s">
        <v>183</v>
      </c>
      <c r="G307" s="9" t="s">
        <v>1</v>
      </c>
      <c r="H307" s="9" t="s">
        <v>463</v>
      </c>
      <c r="I307" s="9" t="s">
        <v>495</v>
      </c>
      <c r="J307" s="1061">
        <v>2363.7339999999999</v>
      </c>
      <c r="K307" s="1064"/>
      <c r="L307" s="1064"/>
      <c r="M307" s="1563"/>
      <c r="N307" s="1986">
        <f>29128.5+999.1+74.074+506.674+1044.704</f>
        <v>31753.052</v>
      </c>
      <c r="O307" s="1947">
        <v>22475.494999999999</v>
      </c>
      <c r="P307" s="1941">
        <v>24715.444</v>
      </c>
      <c r="Q307" s="1987">
        <v>30558.639999999999</v>
      </c>
      <c r="R307" s="1988">
        <v>31896.880000000001</v>
      </c>
    </row>
    <row r="308" spans="1:256" s="2" customFormat="1" ht="39" hidden="1" x14ac:dyDescent="0.25">
      <c r="A308" s="32"/>
      <c r="B308" s="2032" t="s">
        <v>916</v>
      </c>
      <c r="C308" s="9"/>
      <c r="D308" s="9"/>
      <c r="E308" s="9"/>
      <c r="F308" s="9" t="s">
        <v>183</v>
      </c>
      <c r="G308" s="9" t="s">
        <v>521</v>
      </c>
      <c r="H308" s="9"/>
      <c r="I308" s="9"/>
      <c r="J308" s="1061"/>
      <c r="K308" s="1064"/>
      <c r="L308" s="1064"/>
      <c r="M308" s="1563"/>
      <c r="N308" s="1986">
        <f>N309</f>
        <v>0</v>
      </c>
      <c r="O308" s="1947"/>
      <c r="P308" s="1941"/>
      <c r="Q308" s="1987">
        <f>Q309</f>
        <v>0</v>
      </c>
      <c r="R308" s="1988">
        <f>R309</f>
        <v>0</v>
      </c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</row>
    <row r="309" spans="1:256" s="2" customFormat="1" ht="13" hidden="1" x14ac:dyDescent="0.3">
      <c r="A309" s="32"/>
      <c r="B309" s="744" t="s">
        <v>34</v>
      </c>
      <c r="C309" s="9"/>
      <c r="D309" s="9"/>
      <c r="E309" s="9"/>
      <c r="F309" s="9" t="s">
        <v>183</v>
      </c>
      <c r="G309" s="9" t="s">
        <v>521</v>
      </c>
      <c r="H309" s="9" t="s">
        <v>463</v>
      </c>
      <c r="I309" s="9" t="s">
        <v>495</v>
      </c>
      <c r="J309" s="1061"/>
      <c r="K309" s="1064"/>
      <c r="L309" s="1064"/>
      <c r="M309" s="1563"/>
      <c r="N309" s="1986">
        <v>0</v>
      </c>
      <c r="O309" s="1947"/>
      <c r="P309" s="1941"/>
      <c r="Q309" s="1987">
        <v>0</v>
      </c>
      <c r="R309" s="1988">
        <v>0</v>
      </c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</row>
    <row r="310" spans="1:256" s="2" customFormat="1" ht="13" hidden="1" x14ac:dyDescent="0.3">
      <c r="A310" s="32"/>
      <c r="B310" s="744"/>
      <c r="C310" s="9"/>
      <c r="D310" s="9"/>
      <c r="E310" s="9"/>
      <c r="F310" s="9"/>
      <c r="G310" s="9"/>
      <c r="H310" s="9"/>
      <c r="I310" s="9"/>
      <c r="J310" s="1061"/>
      <c r="K310" s="1064"/>
      <c r="L310" s="1064"/>
      <c r="M310" s="1563"/>
      <c r="N310" s="1986"/>
      <c r="O310" s="1947"/>
      <c r="P310" s="1941"/>
      <c r="Q310" s="1987"/>
      <c r="R310" s="1988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</row>
    <row r="311" spans="1:256" s="2" customFormat="1" ht="65" x14ac:dyDescent="0.25">
      <c r="A311" s="91">
        <v>8</v>
      </c>
      <c r="B311" s="2033" t="s">
        <v>917</v>
      </c>
      <c r="C311" s="9"/>
      <c r="D311" s="9"/>
      <c r="E311" s="9"/>
      <c r="F311" s="34" t="s">
        <v>181</v>
      </c>
      <c r="G311" s="9"/>
      <c r="H311" s="9"/>
      <c r="I311" s="9"/>
      <c r="J311" s="1061"/>
      <c r="K311" s="1064"/>
      <c r="L311" s="1064"/>
      <c r="M311" s="1563"/>
      <c r="N311" s="1982">
        <f>N317+N321+N315</f>
        <v>8362.3170000000009</v>
      </c>
      <c r="O311" s="1994">
        <f>O312</f>
        <v>3670.8</v>
      </c>
      <c r="P311" s="1939">
        <f>P312</f>
        <v>4037.88</v>
      </c>
      <c r="Q311" s="1995">
        <f>Q312</f>
        <v>3608.5</v>
      </c>
      <c r="R311" s="1985">
        <f>R312</f>
        <v>3275.5</v>
      </c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</row>
    <row r="312" spans="1:256" s="2" customFormat="1" ht="39" x14ac:dyDescent="0.25">
      <c r="A312" s="32"/>
      <c r="B312" s="1093" t="s">
        <v>180</v>
      </c>
      <c r="C312" s="9"/>
      <c r="D312" s="9"/>
      <c r="E312" s="9"/>
      <c r="F312" s="9" t="s">
        <v>179</v>
      </c>
      <c r="G312" s="9"/>
      <c r="H312" s="9"/>
      <c r="I312" s="9"/>
      <c r="J312" s="1061"/>
      <c r="K312" s="1064"/>
      <c r="L312" s="1064"/>
      <c r="M312" s="1563"/>
      <c r="N312" s="1986">
        <f>N313</f>
        <v>75.7</v>
      </c>
      <c r="O312" s="1947">
        <f>O319+O313</f>
        <v>3670.8</v>
      </c>
      <c r="P312" s="1941">
        <f>P319+P313</f>
        <v>4037.88</v>
      </c>
      <c r="Q312" s="1987">
        <f>Q319+Q313</f>
        <v>3608.5</v>
      </c>
      <c r="R312" s="1988">
        <f>R319+R313</f>
        <v>3275.5</v>
      </c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</row>
    <row r="313" spans="1:256" s="2" customFormat="1" ht="39" x14ac:dyDescent="0.25">
      <c r="A313" s="32"/>
      <c r="B313" s="1098" t="s">
        <v>23</v>
      </c>
      <c r="C313" s="9"/>
      <c r="D313" s="9"/>
      <c r="E313" s="9"/>
      <c r="F313" s="9" t="s">
        <v>178</v>
      </c>
      <c r="G313" s="9"/>
      <c r="H313" s="9"/>
      <c r="I313" s="9"/>
      <c r="J313" s="1061"/>
      <c r="K313" s="1064"/>
      <c r="L313" s="1064"/>
      <c r="M313" s="1563"/>
      <c r="N313" s="1986">
        <f>N316+N314</f>
        <v>75.7</v>
      </c>
      <c r="O313" s="1947">
        <f t="shared" ref="O313:R313" si="99">O316</f>
        <v>3268.201</v>
      </c>
      <c r="P313" s="1941">
        <f t="shared" si="99"/>
        <v>3595.0210000000002</v>
      </c>
      <c r="Q313" s="1987">
        <f t="shared" si="99"/>
        <v>3608.5</v>
      </c>
      <c r="R313" s="1988">
        <f t="shared" si="99"/>
        <v>3275.5</v>
      </c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</row>
    <row r="314" spans="1:256" s="2" customFormat="1" ht="26" x14ac:dyDescent="0.25">
      <c r="A314" s="32"/>
      <c r="B314" s="1544" t="s">
        <v>454</v>
      </c>
      <c r="C314" s="9"/>
      <c r="D314" s="9"/>
      <c r="E314" s="9"/>
      <c r="F314" s="9" t="s">
        <v>178</v>
      </c>
      <c r="G314" s="9" t="s">
        <v>1</v>
      </c>
      <c r="H314" s="9"/>
      <c r="I314" s="9"/>
      <c r="J314" s="1061"/>
      <c r="K314" s="1064"/>
      <c r="L314" s="1064"/>
      <c r="M314" s="1563"/>
      <c r="N314" s="1986">
        <f>N315</f>
        <v>75.7</v>
      </c>
      <c r="O314" s="1947"/>
      <c r="P314" s="1941"/>
      <c r="Q314" s="1987"/>
      <c r="R314" s="1988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</row>
    <row r="315" spans="1:256" s="2" customFormat="1" ht="13" x14ac:dyDescent="0.3">
      <c r="A315" s="32"/>
      <c r="B315" s="744" t="s">
        <v>39</v>
      </c>
      <c r="C315" s="9"/>
      <c r="D315" s="9"/>
      <c r="E315" s="9"/>
      <c r="F315" s="9" t="s">
        <v>178</v>
      </c>
      <c r="G315" s="9" t="s">
        <v>1</v>
      </c>
      <c r="H315" s="9" t="s">
        <v>463</v>
      </c>
      <c r="I315" s="9" t="s">
        <v>488</v>
      </c>
      <c r="J315" s="1061"/>
      <c r="K315" s="1064"/>
      <c r="L315" s="1064"/>
      <c r="M315" s="1563"/>
      <c r="N315" s="1986">
        <v>75.7</v>
      </c>
      <c r="O315" s="1947"/>
      <c r="P315" s="1941"/>
      <c r="Q315" s="1987"/>
      <c r="R315" s="1988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</row>
    <row r="316" spans="1:256" s="2" customFormat="1" ht="13" x14ac:dyDescent="0.25">
      <c r="A316" s="32"/>
      <c r="B316" s="1544" t="s">
        <v>481</v>
      </c>
      <c r="C316" s="9"/>
      <c r="D316" s="9"/>
      <c r="E316" s="9"/>
      <c r="F316" s="9" t="s">
        <v>178</v>
      </c>
      <c r="G316" s="9" t="s">
        <v>26</v>
      </c>
      <c r="H316" s="9"/>
      <c r="I316" s="9"/>
      <c r="J316" s="1061"/>
      <c r="K316" s="1064"/>
      <c r="L316" s="1064"/>
      <c r="M316" s="1563"/>
      <c r="N316" s="2034">
        <f>N317</f>
        <v>0</v>
      </c>
      <c r="O316" s="1947">
        <f>O317</f>
        <v>3268.201</v>
      </c>
      <c r="P316" s="1941">
        <f>P317</f>
        <v>3595.0210000000002</v>
      </c>
      <c r="Q316" s="1987">
        <f>Q317</f>
        <v>3608.5</v>
      </c>
      <c r="R316" s="1988">
        <f>R317</f>
        <v>3275.5</v>
      </c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</row>
    <row r="317" spans="1:256" s="2" customFormat="1" ht="13" x14ac:dyDescent="0.3">
      <c r="A317" s="32"/>
      <c r="B317" s="744" t="s">
        <v>39</v>
      </c>
      <c r="C317" s="9"/>
      <c r="D317" s="9"/>
      <c r="E317" s="9"/>
      <c r="F317" s="9" t="s">
        <v>178</v>
      </c>
      <c r="G317" s="9" t="s">
        <v>26</v>
      </c>
      <c r="H317" s="9" t="s">
        <v>463</v>
      </c>
      <c r="I317" s="9" t="s">
        <v>488</v>
      </c>
      <c r="J317" s="1061"/>
      <c r="K317" s="1064"/>
      <c r="L317" s="1064"/>
      <c r="M317" s="1563"/>
      <c r="N317" s="2034">
        <f>200.001-75.7-124.301</f>
        <v>0</v>
      </c>
      <c r="O317" s="1947">
        <v>3268.201</v>
      </c>
      <c r="P317" s="1941">
        <v>3595.0210000000002</v>
      </c>
      <c r="Q317" s="1987">
        <v>3608.5</v>
      </c>
      <c r="R317" s="1988">
        <v>3275.5</v>
      </c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</row>
    <row r="318" spans="1:256" s="2" customFormat="1" ht="25" customHeight="1" x14ac:dyDescent="0.25">
      <c r="A318" s="32"/>
      <c r="B318" s="347" t="s">
        <v>1009</v>
      </c>
      <c r="C318" s="9"/>
      <c r="D318" s="9"/>
      <c r="E318" s="9"/>
      <c r="F318" s="9" t="s">
        <v>1010</v>
      </c>
      <c r="G318" s="9"/>
      <c r="H318" s="9"/>
      <c r="I318" s="9"/>
      <c r="J318" s="1061"/>
      <c r="K318" s="1064"/>
      <c r="L318" s="1064"/>
      <c r="M318" s="1563"/>
      <c r="N318" s="1986">
        <f>N319</f>
        <v>8286.6170000000002</v>
      </c>
      <c r="O318" s="1947"/>
      <c r="P318" s="1941"/>
      <c r="Q318" s="1987"/>
      <c r="R318" s="1988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</row>
    <row r="319" spans="1:256" s="2" customFormat="1" ht="26" x14ac:dyDescent="0.25">
      <c r="A319" s="32"/>
      <c r="B319" s="1108" t="s">
        <v>1011</v>
      </c>
      <c r="C319" s="9"/>
      <c r="D319" s="9"/>
      <c r="E319" s="9"/>
      <c r="F319" s="9" t="s">
        <v>1012</v>
      </c>
      <c r="G319" s="9"/>
      <c r="H319" s="9"/>
      <c r="I319" s="9"/>
      <c r="J319" s="1061"/>
      <c r="K319" s="1064"/>
      <c r="L319" s="1064"/>
      <c r="M319" s="1563"/>
      <c r="N319" s="1986">
        <f t="shared" ref="N319:R320" si="100">N320</f>
        <v>8286.6170000000002</v>
      </c>
      <c r="O319" s="1947">
        <f t="shared" si="100"/>
        <v>402.59899999999999</v>
      </c>
      <c r="P319" s="1941">
        <f t="shared" si="100"/>
        <v>442.85899999999998</v>
      </c>
      <c r="Q319" s="1987">
        <f t="shared" si="100"/>
        <v>0</v>
      </c>
      <c r="R319" s="1988">
        <f t="shared" si="100"/>
        <v>0</v>
      </c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</row>
    <row r="320" spans="1:256" s="2" customFormat="1" ht="26" x14ac:dyDescent="0.25">
      <c r="A320" s="32"/>
      <c r="B320" s="1544" t="s">
        <v>523</v>
      </c>
      <c r="C320" s="9"/>
      <c r="D320" s="9"/>
      <c r="E320" s="9"/>
      <c r="F320" s="9" t="s">
        <v>1012</v>
      </c>
      <c r="G320" s="9" t="s">
        <v>521</v>
      </c>
      <c r="H320" s="9"/>
      <c r="I320" s="9"/>
      <c r="J320" s="1061"/>
      <c r="K320" s="1064"/>
      <c r="L320" s="1064"/>
      <c r="M320" s="1563"/>
      <c r="N320" s="1986">
        <f>N321</f>
        <v>8286.6170000000002</v>
      </c>
      <c r="O320" s="1947">
        <f t="shared" si="100"/>
        <v>402.59899999999999</v>
      </c>
      <c r="P320" s="1941">
        <f t="shared" si="100"/>
        <v>442.85899999999998</v>
      </c>
      <c r="Q320" s="1987">
        <f t="shared" si="100"/>
        <v>0</v>
      </c>
      <c r="R320" s="1988">
        <f t="shared" si="100"/>
        <v>0</v>
      </c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</row>
    <row r="321" spans="1:256" s="2" customFormat="1" ht="13" x14ac:dyDescent="0.3">
      <c r="A321" s="32"/>
      <c r="B321" s="744" t="s">
        <v>39</v>
      </c>
      <c r="C321" s="9"/>
      <c r="D321" s="9"/>
      <c r="E321" s="9"/>
      <c r="F321" s="9" t="s">
        <v>1012</v>
      </c>
      <c r="G321" s="9" t="s">
        <v>521</v>
      </c>
      <c r="H321" s="9" t="s">
        <v>463</v>
      </c>
      <c r="I321" s="9" t="s">
        <v>488</v>
      </c>
      <c r="J321" s="1061"/>
      <c r="K321" s="1064"/>
      <c r="L321" s="1064"/>
      <c r="M321" s="1563"/>
      <c r="N321" s="1986">
        <f>431.58+7872.286-17.249</f>
        <v>8286.6170000000002</v>
      </c>
      <c r="O321" s="1947">
        <v>402.59899999999999</v>
      </c>
      <c r="P321" s="1941">
        <v>442.85899999999998</v>
      </c>
      <c r="Q321" s="1987">
        <v>0</v>
      </c>
      <c r="R321" s="1988">
        <v>0</v>
      </c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</row>
    <row r="322" spans="1:256" s="2" customFormat="1" ht="39" hidden="1" x14ac:dyDescent="0.25">
      <c r="A322" s="91">
        <v>9</v>
      </c>
      <c r="B322" s="2033" t="s">
        <v>861</v>
      </c>
      <c r="C322" s="9"/>
      <c r="D322" s="9"/>
      <c r="E322" s="9"/>
      <c r="F322" s="2035" t="s">
        <v>468</v>
      </c>
      <c r="G322" s="2035" t="s">
        <v>106</v>
      </c>
      <c r="H322" s="2035"/>
      <c r="I322" s="9"/>
      <c r="J322" s="1061"/>
      <c r="K322" s="1064"/>
      <c r="L322" s="1064"/>
      <c r="M322" s="1563"/>
      <c r="N322" s="1982">
        <f>N328+N334</f>
        <v>0</v>
      </c>
      <c r="O322" s="1947"/>
      <c r="P322" s="1941"/>
      <c r="Q322" s="2036"/>
      <c r="R322" s="2037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</row>
    <row r="323" spans="1:256" s="2" customFormat="1" ht="13.5" hidden="1" x14ac:dyDescent="0.25">
      <c r="A323" s="32"/>
      <c r="B323" s="1109" t="s">
        <v>849</v>
      </c>
      <c r="C323" s="9"/>
      <c r="D323" s="9"/>
      <c r="E323" s="9"/>
      <c r="F323" s="2038" t="s">
        <v>854</v>
      </c>
      <c r="G323" s="2039"/>
      <c r="H323" s="2039"/>
      <c r="I323" s="9"/>
      <c r="J323" s="1061"/>
      <c r="K323" s="1064"/>
      <c r="L323" s="1064"/>
      <c r="M323" s="1563"/>
      <c r="N323" s="1986">
        <f t="shared" ref="N323:N350" si="101">N324</f>
        <v>0</v>
      </c>
      <c r="O323" s="1947"/>
      <c r="P323" s="1941"/>
      <c r="Q323" s="2040"/>
      <c r="R323" s="204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</row>
    <row r="324" spans="1:256" s="2" customFormat="1" ht="26" hidden="1" x14ac:dyDescent="0.25">
      <c r="A324" s="32"/>
      <c r="B324" s="1092" t="s">
        <v>850</v>
      </c>
      <c r="C324" s="9"/>
      <c r="D324" s="9"/>
      <c r="E324" s="9"/>
      <c r="F324" s="2038" t="s">
        <v>855</v>
      </c>
      <c r="G324" s="2042"/>
      <c r="H324" s="2042"/>
      <c r="I324" s="9"/>
      <c r="J324" s="1061"/>
      <c r="K324" s="1064"/>
      <c r="L324" s="1064"/>
      <c r="M324" s="1563"/>
      <c r="N324" s="1986">
        <f t="shared" si="101"/>
        <v>0</v>
      </c>
      <c r="O324" s="1947"/>
      <c r="P324" s="1941"/>
      <c r="Q324" s="2040"/>
      <c r="R324" s="204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</row>
    <row r="325" spans="1:256" s="2" customFormat="1" ht="41.5" hidden="1" customHeight="1" x14ac:dyDescent="0.25">
      <c r="A325" s="32"/>
      <c r="B325" s="1110" t="s">
        <v>851</v>
      </c>
      <c r="C325" s="9"/>
      <c r="D325" s="9"/>
      <c r="E325" s="9"/>
      <c r="F325" s="2038" t="s">
        <v>856</v>
      </c>
      <c r="G325" s="2043"/>
      <c r="H325" s="2043"/>
      <c r="I325" s="9"/>
      <c r="J325" s="1061"/>
      <c r="K325" s="1064"/>
      <c r="L325" s="1064"/>
      <c r="M325" s="1563"/>
      <c r="N325" s="1986">
        <f t="shared" si="101"/>
        <v>0</v>
      </c>
      <c r="O325" s="1947"/>
      <c r="P325" s="1941"/>
      <c r="Q325" s="2040"/>
      <c r="R325" s="204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</row>
    <row r="326" spans="1:256" s="2" customFormat="1" ht="13" hidden="1" x14ac:dyDescent="0.25">
      <c r="A326" s="32"/>
      <c r="B326" s="1203" t="s">
        <v>852</v>
      </c>
      <c r="C326" s="9"/>
      <c r="D326" s="9"/>
      <c r="E326" s="9"/>
      <c r="F326" s="2043" t="s">
        <v>856</v>
      </c>
      <c r="G326" s="2044" t="s">
        <v>860</v>
      </c>
      <c r="H326" s="2044"/>
      <c r="I326" s="9"/>
      <c r="J326" s="1061"/>
      <c r="K326" s="1064"/>
      <c r="L326" s="1064"/>
      <c r="M326" s="1563"/>
      <c r="N326" s="1986">
        <f t="shared" si="101"/>
        <v>0</v>
      </c>
      <c r="O326" s="1947"/>
      <c r="P326" s="1941"/>
      <c r="Q326" s="2040"/>
      <c r="R326" s="204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</row>
    <row r="327" spans="1:256" s="2" customFormat="1" ht="13" hidden="1" x14ac:dyDescent="0.25">
      <c r="A327" s="32"/>
      <c r="B327" s="1203" t="s">
        <v>80</v>
      </c>
      <c r="C327" s="9"/>
      <c r="D327" s="9"/>
      <c r="E327" s="9"/>
      <c r="F327" s="2043" t="s">
        <v>856</v>
      </c>
      <c r="G327" s="2044" t="s">
        <v>77</v>
      </c>
      <c r="H327" s="2044"/>
      <c r="I327" s="9"/>
      <c r="J327" s="1061"/>
      <c r="K327" s="1064"/>
      <c r="L327" s="1064"/>
      <c r="M327" s="1563"/>
      <c r="N327" s="1986">
        <f t="shared" si="101"/>
        <v>0</v>
      </c>
      <c r="O327" s="1947"/>
      <c r="P327" s="1941"/>
      <c r="Q327" s="2040"/>
      <c r="R327" s="204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</row>
    <row r="328" spans="1:256" s="2" customFormat="1" ht="13" hidden="1" x14ac:dyDescent="0.25">
      <c r="A328" s="32"/>
      <c r="B328" s="1184" t="s">
        <v>45</v>
      </c>
      <c r="C328" s="9"/>
      <c r="D328" s="9"/>
      <c r="E328" s="9"/>
      <c r="F328" s="2043" t="s">
        <v>856</v>
      </c>
      <c r="G328" s="2044" t="s">
        <v>77</v>
      </c>
      <c r="H328" s="2044" t="s">
        <v>496</v>
      </c>
      <c r="I328" s="9" t="s">
        <v>495</v>
      </c>
      <c r="J328" s="1061"/>
      <c r="K328" s="1064"/>
      <c r="L328" s="1064"/>
      <c r="M328" s="1563"/>
      <c r="N328" s="1986"/>
      <c r="O328" s="1947"/>
      <c r="P328" s="1941"/>
      <c r="Q328" s="2040"/>
      <c r="R328" s="204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</row>
    <row r="329" spans="1:256" s="2" customFormat="1" ht="40.5" hidden="1" x14ac:dyDescent="0.25">
      <c r="A329" s="32"/>
      <c r="B329" s="1109" t="s">
        <v>853</v>
      </c>
      <c r="C329" s="9"/>
      <c r="D329" s="9"/>
      <c r="E329" s="9"/>
      <c r="F329" s="2038" t="s">
        <v>857</v>
      </c>
      <c r="G329" s="2039"/>
      <c r="H329" s="2039"/>
      <c r="I329" s="9"/>
      <c r="J329" s="1061"/>
      <c r="K329" s="1064"/>
      <c r="L329" s="1064"/>
      <c r="M329" s="1563"/>
      <c r="N329" s="1986">
        <f t="shared" si="101"/>
        <v>0</v>
      </c>
      <c r="O329" s="1947"/>
      <c r="P329" s="1941"/>
      <c r="Q329" s="2040"/>
      <c r="R329" s="204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</row>
    <row r="330" spans="1:256" s="2" customFormat="1" ht="26" hidden="1" x14ac:dyDescent="0.25">
      <c r="A330" s="32"/>
      <c r="B330" s="1092" t="s">
        <v>850</v>
      </c>
      <c r="C330" s="9"/>
      <c r="D330" s="9"/>
      <c r="E330" s="9"/>
      <c r="F330" s="2038" t="s">
        <v>858</v>
      </c>
      <c r="G330" s="2042"/>
      <c r="H330" s="2042"/>
      <c r="I330" s="9"/>
      <c r="J330" s="1061"/>
      <c r="K330" s="1064"/>
      <c r="L330" s="1064"/>
      <c r="M330" s="1563"/>
      <c r="N330" s="1986">
        <f t="shared" si="101"/>
        <v>0</v>
      </c>
      <c r="O330" s="1947"/>
      <c r="P330" s="1941"/>
      <c r="Q330" s="2040"/>
      <c r="R330" s="204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</row>
    <row r="331" spans="1:256" s="2" customFormat="1" ht="39" hidden="1" x14ac:dyDescent="0.25">
      <c r="A331" s="32"/>
      <c r="B331" s="1110" t="s">
        <v>851</v>
      </c>
      <c r="C331" s="9"/>
      <c r="D331" s="9"/>
      <c r="E331" s="9"/>
      <c r="F331" s="2038" t="s">
        <v>859</v>
      </c>
      <c r="G331" s="2043"/>
      <c r="H331" s="2043"/>
      <c r="I331" s="9"/>
      <c r="J331" s="1061"/>
      <c r="K331" s="1064"/>
      <c r="L331" s="1064"/>
      <c r="M331" s="1563"/>
      <c r="N331" s="1986">
        <f t="shared" si="101"/>
        <v>0</v>
      </c>
      <c r="O331" s="1947"/>
      <c r="P331" s="1941"/>
      <c r="Q331" s="2040"/>
      <c r="R331" s="204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</row>
    <row r="332" spans="1:256" s="2" customFormat="1" ht="13" hidden="1" x14ac:dyDescent="0.25">
      <c r="A332" s="32"/>
      <c r="B332" s="1203" t="s">
        <v>852</v>
      </c>
      <c r="C332" s="9"/>
      <c r="D332" s="9"/>
      <c r="E332" s="9"/>
      <c r="F332" s="2038" t="s">
        <v>859</v>
      </c>
      <c r="G332" s="2044" t="s">
        <v>860</v>
      </c>
      <c r="H332" s="2044"/>
      <c r="I332" s="9"/>
      <c r="J332" s="1061"/>
      <c r="K332" s="1064"/>
      <c r="L332" s="1064"/>
      <c r="M332" s="1563"/>
      <c r="N332" s="1986">
        <f t="shared" si="101"/>
        <v>0</v>
      </c>
      <c r="O332" s="1947"/>
      <c r="P332" s="1941"/>
      <c r="Q332" s="2040"/>
      <c r="R332" s="204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</row>
    <row r="333" spans="1:256" s="2" customFormat="1" ht="13" hidden="1" x14ac:dyDescent="0.25">
      <c r="A333" s="32"/>
      <c r="B333" s="1203" t="s">
        <v>80</v>
      </c>
      <c r="C333" s="9"/>
      <c r="D333" s="9"/>
      <c r="E333" s="9"/>
      <c r="F333" s="2043" t="s">
        <v>859</v>
      </c>
      <c r="G333" s="2044" t="s">
        <v>77</v>
      </c>
      <c r="H333" s="2044"/>
      <c r="I333" s="9"/>
      <c r="J333" s="1061"/>
      <c r="K333" s="1064"/>
      <c r="L333" s="1064"/>
      <c r="M333" s="1563"/>
      <c r="N333" s="1986">
        <f>N334</f>
        <v>0</v>
      </c>
      <c r="O333" s="1947"/>
      <c r="P333" s="1941"/>
      <c r="Q333" s="2040"/>
      <c r="R333" s="204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</row>
    <row r="334" spans="1:256" s="2" customFormat="1" ht="13" hidden="1" x14ac:dyDescent="0.25">
      <c r="A334" s="32"/>
      <c r="B334" s="1184" t="s">
        <v>45</v>
      </c>
      <c r="C334" s="1508"/>
      <c r="D334" s="1508"/>
      <c r="E334" s="1508"/>
      <c r="F334" s="2045" t="s">
        <v>859</v>
      </c>
      <c r="G334" s="2046" t="s">
        <v>77</v>
      </c>
      <c r="H334" s="2046" t="s">
        <v>496</v>
      </c>
      <c r="I334" s="1508" t="s">
        <v>495</v>
      </c>
      <c r="J334" s="1061"/>
      <c r="K334" s="1064"/>
      <c r="L334" s="1064"/>
      <c r="M334" s="1563"/>
      <c r="N334" s="1986"/>
      <c r="O334" s="1947"/>
      <c r="P334" s="1941"/>
      <c r="Q334" s="2040"/>
      <c r="R334" s="204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</row>
    <row r="335" spans="1:256" s="2" customFormat="1" ht="65" hidden="1" x14ac:dyDescent="0.25">
      <c r="A335" s="1504">
        <v>10</v>
      </c>
      <c r="B335" s="2047" t="s">
        <v>1013</v>
      </c>
      <c r="C335" s="1508"/>
      <c r="D335" s="1508"/>
      <c r="E335" s="1508"/>
      <c r="F335" s="2048" t="s">
        <v>1014</v>
      </c>
      <c r="G335" s="2046"/>
      <c r="H335" s="2046"/>
      <c r="I335" s="1508"/>
      <c r="J335" s="1087"/>
      <c r="K335" s="1064"/>
      <c r="L335" s="1064"/>
      <c r="M335" s="1563"/>
      <c r="N335" s="1982">
        <f>N336</f>
        <v>0</v>
      </c>
      <c r="O335" s="1947"/>
      <c r="P335" s="1941"/>
      <c r="Q335" s="2040"/>
      <c r="R335" s="204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</row>
    <row r="336" spans="1:256" s="2" customFormat="1" ht="39" hidden="1" x14ac:dyDescent="0.25">
      <c r="A336" s="1505"/>
      <c r="B336" s="2049" t="s">
        <v>1015</v>
      </c>
      <c r="C336" s="1508"/>
      <c r="D336" s="1508"/>
      <c r="E336" s="1508"/>
      <c r="F336" s="2045" t="s">
        <v>1016</v>
      </c>
      <c r="G336" s="2046"/>
      <c r="H336" s="2046"/>
      <c r="I336" s="1508"/>
      <c r="J336" s="1087"/>
      <c r="K336" s="1064"/>
      <c r="L336" s="1064"/>
      <c r="M336" s="1563"/>
      <c r="N336" s="1986">
        <f>N337</f>
        <v>0</v>
      </c>
      <c r="O336" s="1947"/>
      <c r="P336" s="1941"/>
      <c r="Q336" s="2040"/>
      <c r="R336" s="204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</row>
    <row r="337" spans="1:256" s="2" customFormat="1" ht="34.5" hidden="1" x14ac:dyDescent="0.25">
      <c r="A337" s="1505"/>
      <c r="B337" s="2050" t="s">
        <v>1017</v>
      </c>
      <c r="C337" s="1508"/>
      <c r="D337" s="1508"/>
      <c r="E337" s="1508"/>
      <c r="F337" s="2045" t="s">
        <v>1041</v>
      </c>
      <c r="G337" s="2046"/>
      <c r="H337" s="2046"/>
      <c r="I337" s="1508"/>
      <c r="J337" s="1087"/>
      <c r="K337" s="1064"/>
      <c r="L337" s="1064"/>
      <c r="M337" s="1563"/>
      <c r="N337" s="1986">
        <f>N338</f>
        <v>0</v>
      </c>
      <c r="O337" s="1947"/>
      <c r="P337" s="1941"/>
      <c r="Q337" s="2040"/>
      <c r="R337" s="204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</row>
    <row r="338" spans="1:256" s="2" customFormat="1" ht="23" hidden="1" x14ac:dyDescent="0.25">
      <c r="A338" s="1505"/>
      <c r="B338" s="1515" t="s">
        <v>948</v>
      </c>
      <c r="C338" s="1508"/>
      <c r="D338" s="1508"/>
      <c r="E338" s="1508"/>
      <c r="F338" s="2045" t="s">
        <v>1041</v>
      </c>
      <c r="G338" s="2046" t="s">
        <v>955</v>
      </c>
      <c r="H338" s="2046"/>
      <c r="I338" s="1508"/>
      <c r="J338" s="1087"/>
      <c r="K338" s="1064"/>
      <c r="L338" s="1064"/>
      <c r="M338" s="1563"/>
      <c r="N338" s="1986">
        <f>N339</f>
        <v>0</v>
      </c>
      <c r="O338" s="1947"/>
      <c r="P338" s="1941"/>
      <c r="Q338" s="2040"/>
      <c r="R338" s="204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</row>
    <row r="339" spans="1:256" s="2" customFormat="1" ht="23" hidden="1" x14ac:dyDescent="0.25">
      <c r="A339" s="1505"/>
      <c r="B339" s="1516" t="s">
        <v>454</v>
      </c>
      <c r="C339" s="1508"/>
      <c r="D339" s="1508"/>
      <c r="E339" s="1508"/>
      <c r="F339" s="2045" t="s">
        <v>1041</v>
      </c>
      <c r="G339" s="2046" t="s">
        <v>1</v>
      </c>
      <c r="H339" s="2046"/>
      <c r="I339" s="1508"/>
      <c r="J339" s="1087"/>
      <c r="K339" s="1064"/>
      <c r="L339" s="1064"/>
      <c r="M339" s="1563"/>
      <c r="N339" s="1986">
        <f>N340</f>
        <v>0</v>
      </c>
      <c r="O339" s="1947"/>
      <c r="P339" s="1941"/>
      <c r="Q339" s="2040"/>
      <c r="R339" s="204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</row>
    <row r="340" spans="1:256" s="2" customFormat="1" ht="13" hidden="1" x14ac:dyDescent="0.3">
      <c r="A340" s="1505"/>
      <c r="B340" s="2051" t="s">
        <v>34</v>
      </c>
      <c r="C340" s="1508"/>
      <c r="D340" s="1508"/>
      <c r="E340" s="1508"/>
      <c r="F340" s="2045" t="s">
        <v>1041</v>
      </c>
      <c r="G340" s="2046" t="s">
        <v>1</v>
      </c>
      <c r="H340" s="2046" t="s">
        <v>463</v>
      </c>
      <c r="I340" s="1508" t="s">
        <v>495</v>
      </c>
      <c r="J340" s="1087"/>
      <c r="K340" s="1064"/>
      <c r="L340" s="1064"/>
      <c r="M340" s="1563"/>
      <c r="N340" s="1986"/>
      <c r="O340" s="1947"/>
      <c r="P340" s="1941"/>
      <c r="Q340" s="2040"/>
      <c r="R340" s="204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</row>
    <row r="341" spans="1:256" s="2" customFormat="1" ht="52" x14ac:dyDescent="0.25">
      <c r="A341" s="1504">
        <v>10</v>
      </c>
      <c r="B341" s="2047" t="s">
        <v>949</v>
      </c>
      <c r="C341" s="9"/>
      <c r="D341" s="9"/>
      <c r="E341" s="9"/>
      <c r="F341" s="1511" t="s">
        <v>952</v>
      </c>
      <c r="G341" s="1511"/>
      <c r="H341" s="1511"/>
      <c r="I341" s="1511"/>
      <c r="J341" s="1087"/>
      <c r="K341" s="1064"/>
      <c r="L341" s="1064"/>
      <c r="M341" s="1563"/>
      <c r="N341" s="1982">
        <f>N342+N347</f>
        <v>7850</v>
      </c>
      <c r="O341" s="1994"/>
      <c r="P341" s="1939"/>
      <c r="Q341" s="2036">
        <f>Q342+Q347</f>
        <v>1265</v>
      </c>
      <c r="R341" s="2037">
        <f>R342+R347</f>
        <v>1391.5</v>
      </c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</row>
    <row r="342" spans="1:256" s="2" customFormat="1" ht="39" hidden="1" x14ac:dyDescent="0.25">
      <c r="A342" s="1505"/>
      <c r="B342" s="2052" t="s">
        <v>947</v>
      </c>
      <c r="C342" s="9"/>
      <c r="D342" s="9"/>
      <c r="E342" s="9"/>
      <c r="F342" s="1513" t="s">
        <v>953</v>
      </c>
      <c r="G342" s="1513"/>
      <c r="H342" s="1513"/>
      <c r="I342" s="1513"/>
      <c r="J342" s="1087"/>
      <c r="K342" s="1064"/>
      <c r="L342" s="1064"/>
      <c r="M342" s="1563"/>
      <c r="N342" s="1986"/>
      <c r="O342" s="1947"/>
      <c r="P342" s="1941"/>
      <c r="Q342" s="2040">
        <f t="shared" ref="Q342:R345" si="102">Q343</f>
        <v>0</v>
      </c>
      <c r="R342" s="2041">
        <f t="shared" si="102"/>
        <v>0</v>
      </c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</row>
    <row r="343" spans="1:256" s="2" customFormat="1" ht="34.5" hidden="1" x14ac:dyDescent="0.25">
      <c r="A343" s="1505"/>
      <c r="B343" s="2053" t="s">
        <v>950</v>
      </c>
      <c r="C343" s="9"/>
      <c r="D343" s="9"/>
      <c r="E343" s="9"/>
      <c r="F343" s="2054" t="s">
        <v>954</v>
      </c>
      <c r="G343" s="2054"/>
      <c r="H343" s="2054"/>
      <c r="I343" s="2054"/>
      <c r="J343" s="1087"/>
      <c r="K343" s="1064"/>
      <c r="L343" s="1064"/>
      <c r="M343" s="1563"/>
      <c r="N343" s="1986"/>
      <c r="O343" s="1947"/>
      <c r="P343" s="1941"/>
      <c r="Q343" s="2040">
        <f t="shared" si="102"/>
        <v>0</v>
      </c>
      <c r="R343" s="2041">
        <f t="shared" si="102"/>
        <v>0</v>
      </c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</row>
    <row r="344" spans="1:256" s="2" customFormat="1" ht="23" hidden="1" x14ac:dyDescent="0.25">
      <c r="A344" s="1505"/>
      <c r="B344" s="1515" t="s">
        <v>948</v>
      </c>
      <c r="C344" s="9"/>
      <c r="D344" s="9"/>
      <c r="E344" s="9"/>
      <c r="F344" s="2054" t="s">
        <v>954</v>
      </c>
      <c r="G344" s="2054" t="s">
        <v>955</v>
      </c>
      <c r="H344" s="2054"/>
      <c r="I344" s="2054"/>
      <c r="J344" s="1087"/>
      <c r="K344" s="1064"/>
      <c r="L344" s="1064"/>
      <c r="M344" s="1563"/>
      <c r="N344" s="1986"/>
      <c r="O344" s="1947"/>
      <c r="P344" s="1941"/>
      <c r="Q344" s="2040">
        <f t="shared" si="102"/>
        <v>0</v>
      </c>
      <c r="R344" s="2041">
        <f t="shared" si="102"/>
        <v>0</v>
      </c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spans="1:256" s="2" customFormat="1" ht="23" hidden="1" x14ac:dyDescent="0.25">
      <c r="A345" s="1505"/>
      <c r="B345" s="1516" t="s">
        <v>454</v>
      </c>
      <c r="C345" s="9"/>
      <c r="D345" s="9"/>
      <c r="E345" s="9"/>
      <c r="F345" s="2054" t="s">
        <v>954</v>
      </c>
      <c r="G345" s="1517" t="s">
        <v>1</v>
      </c>
      <c r="H345" s="2054"/>
      <c r="I345" s="2054"/>
      <c r="J345" s="1087"/>
      <c r="K345" s="1064"/>
      <c r="L345" s="1064"/>
      <c r="M345" s="1563"/>
      <c r="N345" s="1986"/>
      <c r="O345" s="1947"/>
      <c r="P345" s="1941"/>
      <c r="Q345" s="2040">
        <f t="shared" si="102"/>
        <v>0</v>
      </c>
      <c r="R345" s="2041">
        <f t="shared" si="102"/>
        <v>0</v>
      </c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</row>
    <row r="346" spans="1:256" s="2" customFormat="1" ht="13" hidden="1" x14ac:dyDescent="0.25">
      <c r="A346" s="1505"/>
      <c r="B346" s="1516" t="s">
        <v>34</v>
      </c>
      <c r="C346" s="9"/>
      <c r="D346" s="9"/>
      <c r="E346" s="9"/>
      <c r="F346" s="2054" t="s">
        <v>954</v>
      </c>
      <c r="G346" s="1517" t="s">
        <v>1</v>
      </c>
      <c r="H346" s="2054" t="s">
        <v>463</v>
      </c>
      <c r="I346" s="2054" t="s">
        <v>495</v>
      </c>
      <c r="J346" s="1087"/>
      <c r="K346" s="1064"/>
      <c r="L346" s="1064"/>
      <c r="M346" s="1563"/>
      <c r="N346" s="1986"/>
      <c r="O346" s="1947"/>
      <c r="P346" s="1941"/>
      <c r="Q346" s="2040"/>
      <c r="R346" s="204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</row>
    <row r="347" spans="1:256" s="2" customFormat="1" ht="26" x14ac:dyDescent="0.25">
      <c r="A347" s="1505"/>
      <c r="B347" s="2052" t="s">
        <v>1019</v>
      </c>
      <c r="C347" s="9"/>
      <c r="D347" s="9"/>
      <c r="E347" s="9"/>
      <c r="F347" s="1513" t="s">
        <v>1020</v>
      </c>
      <c r="G347" s="1513"/>
      <c r="H347" s="1513"/>
      <c r="I347" s="1513"/>
      <c r="J347" s="1087"/>
      <c r="K347" s="1064"/>
      <c r="L347" s="1064"/>
      <c r="M347" s="1563"/>
      <c r="N347" s="1986">
        <f>N348</f>
        <v>7850</v>
      </c>
      <c r="O347" s="1947"/>
      <c r="P347" s="1941"/>
      <c r="Q347" s="2040">
        <f>Q348</f>
        <v>1265</v>
      </c>
      <c r="R347" s="2041">
        <f>R348</f>
        <v>1391.5</v>
      </c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</row>
    <row r="348" spans="1:256" s="2" customFormat="1" ht="13" x14ac:dyDescent="0.25">
      <c r="A348" s="1505"/>
      <c r="B348" s="1515" t="s">
        <v>1021</v>
      </c>
      <c r="C348" s="9"/>
      <c r="D348" s="9"/>
      <c r="E348" s="9"/>
      <c r="F348" s="2054" t="s">
        <v>1022</v>
      </c>
      <c r="G348" s="2054"/>
      <c r="H348" s="2054"/>
      <c r="I348" s="2054"/>
      <c r="J348" s="1087"/>
      <c r="K348" s="1064"/>
      <c r="L348" s="1064"/>
      <c r="M348" s="1563"/>
      <c r="N348" s="1986">
        <f t="shared" si="101"/>
        <v>7850</v>
      </c>
      <c r="O348" s="1947"/>
      <c r="P348" s="1941"/>
      <c r="Q348" s="2040">
        <f t="shared" ref="Q348:R350" si="103">Q349</f>
        <v>1265</v>
      </c>
      <c r="R348" s="2041">
        <f t="shared" si="103"/>
        <v>1391.5</v>
      </c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</row>
    <row r="349" spans="1:256" s="2" customFormat="1" ht="23" x14ac:dyDescent="0.25">
      <c r="A349" s="1505"/>
      <c r="B349" s="1515" t="s">
        <v>948</v>
      </c>
      <c r="C349" s="9"/>
      <c r="D349" s="9"/>
      <c r="E349" s="9"/>
      <c r="F349" s="2054" t="s">
        <v>1022</v>
      </c>
      <c r="G349" s="2054" t="s">
        <v>955</v>
      </c>
      <c r="H349" s="2054"/>
      <c r="I349" s="2054"/>
      <c r="J349" s="1087"/>
      <c r="K349" s="1064"/>
      <c r="L349" s="1064"/>
      <c r="M349" s="1563"/>
      <c r="N349" s="1986">
        <f t="shared" si="101"/>
        <v>7850</v>
      </c>
      <c r="O349" s="1947"/>
      <c r="P349" s="1941"/>
      <c r="Q349" s="2040">
        <f t="shared" si="103"/>
        <v>1265</v>
      </c>
      <c r="R349" s="2041">
        <f t="shared" si="103"/>
        <v>1391.5</v>
      </c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</row>
    <row r="350" spans="1:256" s="2" customFormat="1" ht="23" x14ac:dyDescent="0.25">
      <c r="A350" s="1505"/>
      <c r="B350" s="1516" t="s">
        <v>454</v>
      </c>
      <c r="C350" s="9"/>
      <c r="D350" s="9"/>
      <c r="E350" s="9"/>
      <c r="F350" s="2054" t="s">
        <v>1022</v>
      </c>
      <c r="G350" s="1517" t="s">
        <v>1</v>
      </c>
      <c r="H350" s="2054"/>
      <c r="I350" s="2054"/>
      <c r="J350" s="1087"/>
      <c r="K350" s="1064"/>
      <c r="L350" s="1064"/>
      <c r="M350" s="1563"/>
      <c r="N350" s="1986">
        <f t="shared" si="101"/>
        <v>7850</v>
      </c>
      <c r="O350" s="1947"/>
      <c r="P350" s="1941"/>
      <c r="Q350" s="2040">
        <f t="shared" si="103"/>
        <v>1265</v>
      </c>
      <c r="R350" s="2041">
        <f t="shared" si="103"/>
        <v>1391.5</v>
      </c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</row>
    <row r="351" spans="1:256" s="2" customFormat="1" ht="13" x14ac:dyDescent="0.25">
      <c r="A351" s="1505"/>
      <c r="B351" s="1516" t="s">
        <v>34</v>
      </c>
      <c r="C351" s="9"/>
      <c r="D351" s="9"/>
      <c r="E351" s="9"/>
      <c r="F351" s="2054" t="s">
        <v>1022</v>
      </c>
      <c r="G351" s="1517" t="s">
        <v>1</v>
      </c>
      <c r="H351" s="2054" t="s">
        <v>463</v>
      </c>
      <c r="I351" s="2054" t="s">
        <v>495</v>
      </c>
      <c r="J351" s="1087"/>
      <c r="K351" s="1064"/>
      <c r="L351" s="1064"/>
      <c r="M351" s="1563"/>
      <c r="N351" s="1986">
        <f>350+7500</f>
        <v>7850</v>
      </c>
      <c r="O351" s="1947"/>
      <c r="P351" s="1941"/>
      <c r="Q351" s="2040">
        <f>385+880</f>
        <v>1265</v>
      </c>
      <c r="R351" s="2041">
        <f>423.5+968</f>
        <v>1391.5</v>
      </c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</row>
    <row r="352" spans="1:256" s="2" customFormat="1" ht="13" hidden="1" x14ac:dyDescent="0.3">
      <c r="A352" s="32"/>
      <c r="B352" s="2055"/>
      <c r="C352" s="142"/>
      <c r="D352" s="142"/>
      <c r="E352" s="142"/>
      <c r="F352" s="142"/>
      <c r="G352" s="142"/>
      <c r="H352" s="142"/>
      <c r="I352" s="142"/>
      <c r="J352" s="1061"/>
      <c r="K352" s="1064"/>
      <c r="L352" s="1064"/>
      <c r="M352" s="1563"/>
      <c r="N352" s="1986"/>
      <c r="O352" s="1947"/>
      <c r="P352" s="1941"/>
      <c r="Q352" s="1987"/>
      <c r="R352" s="1988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</row>
    <row r="353" spans="1:256" s="2" customFormat="1" ht="13" hidden="1" x14ac:dyDescent="0.3">
      <c r="A353" s="32"/>
      <c r="B353" s="2056"/>
      <c r="C353" s="9"/>
      <c r="D353" s="9"/>
      <c r="E353" s="9"/>
      <c r="F353" s="9"/>
      <c r="G353" s="9"/>
      <c r="H353" s="9"/>
      <c r="I353" s="9"/>
      <c r="J353" s="1061"/>
      <c r="K353" s="1064"/>
      <c r="L353" s="1064"/>
      <c r="M353" s="1563"/>
      <c r="N353" s="1986"/>
      <c r="O353" s="1947"/>
      <c r="P353" s="1941"/>
      <c r="Q353" s="1987"/>
      <c r="R353" s="1988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</row>
    <row r="354" spans="1:256" s="2" customFormat="1" ht="13" hidden="1" x14ac:dyDescent="0.3">
      <c r="A354" s="32"/>
      <c r="B354" s="2056"/>
      <c r="C354" s="9"/>
      <c r="D354" s="9"/>
      <c r="E354" s="9"/>
      <c r="F354" s="9"/>
      <c r="G354" s="9"/>
      <c r="H354" s="9"/>
      <c r="I354" s="9"/>
      <c r="J354" s="1061"/>
      <c r="K354" s="1064"/>
      <c r="L354" s="1064"/>
      <c r="M354" s="1563"/>
      <c r="N354" s="1986"/>
      <c r="O354" s="1947"/>
      <c r="P354" s="1941"/>
      <c r="Q354" s="1987"/>
      <c r="R354" s="1988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</row>
    <row r="355" spans="1:256" s="2" customFormat="1" ht="55.15" hidden="1" customHeight="1" x14ac:dyDescent="0.25">
      <c r="A355" s="91">
        <v>9</v>
      </c>
      <c r="B355" s="134" t="s">
        <v>176</v>
      </c>
      <c r="C355" s="34"/>
      <c r="D355" s="94" t="s">
        <v>15</v>
      </c>
      <c r="E355" s="34" t="s">
        <v>32</v>
      </c>
      <c r="F355" s="34" t="s">
        <v>175</v>
      </c>
      <c r="G355" s="131"/>
      <c r="H355" s="131"/>
      <c r="I355" s="34"/>
      <c r="J355" s="51">
        <f>J356</f>
        <v>3000</v>
      </c>
      <c r="K355" s="51"/>
      <c r="L355" s="51">
        <f>L357</f>
        <v>6008.35</v>
      </c>
      <c r="M355" s="1553">
        <f>M357</f>
        <v>8515.7049999999999</v>
      </c>
      <c r="N355" s="1982">
        <f t="shared" ref="N355:R357" si="104">N356</f>
        <v>0</v>
      </c>
      <c r="O355" s="1958">
        <f t="shared" si="104"/>
        <v>3500</v>
      </c>
      <c r="P355" s="1944">
        <f t="shared" si="104"/>
        <v>3500</v>
      </c>
      <c r="Q355" s="1996">
        <f t="shared" si="104"/>
        <v>0</v>
      </c>
      <c r="R355" s="1997">
        <f t="shared" si="104"/>
        <v>0</v>
      </c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</row>
    <row r="356" spans="1:256" s="2" customFormat="1" ht="39" hidden="1" x14ac:dyDescent="0.25">
      <c r="A356" s="91"/>
      <c r="B356" s="1098" t="s">
        <v>174</v>
      </c>
      <c r="C356" s="34"/>
      <c r="D356" s="94"/>
      <c r="E356" s="34"/>
      <c r="F356" s="9" t="s">
        <v>173</v>
      </c>
      <c r="G356" s="48"/>
      <c r="H356" s="48"/>
      <c r="I356" s="9"/>
      <c r="J356" s="47">
        <f>J357</f>
        <v>3000</v>
      </c>
      <c r="K356" s="51"/>
      <c r="L356" s="51"/>
      <c r="M356" s="1553"/>
      <c r="N356" s="1986">
        <f t="shared" si="104"/>
        <v>0</v>
      </c>
      <c r="O356" s="2027">
        <f t="shared" si="104"/>
        <v>3500</v>
      </c>
      <c r="P356" s="1950">
        <f t="shared" si="104"/>
        <v>3500</v>
      </c>
      <c r="Q356" s="2028">
        <f t="shared" si="104"/>
        <v>0</v>
      </c>
      <c r="R356" s="2029">
        <f t="shared" si="104"/>
        <v>0</v>
      </c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</row>
    <row r="357" spans="1:256" s="2" customFormat="1" ht="26" hidden="1" x14ac:dyDescent="0.25">
      <c r="A357" s="32"/>
      <c r="B357" s="133" t="s">
        <v>172</v>
      </c>
      <c r="C357" s="9"/>
      <c r="D357" s="88" t="s">
        <v>15</v>
      </c>
      <c r="E357" s="9" t="s">
        <v>32</v>
      </c>
      <c r="F357" s="9" t="s">
        <v>159</v>
      </c>
      <c r="G357" s="9"/>
      <c r="H357" s="9"/>
      <c r="I357" s="9"/>
      <c r="J357" s="1061">
        <f>J358</f>
        <v>3000</v>
      </c>
      <c r="K357" s="1065"/>
      <c r="L357" s="1064">
        <f>L358</f>
        <v>6008.35</v>
      </c>
      <c r="M357" s="1563">
        <f>M358</f>
        <v>8515.7049999999999</v>
      </c>
      <c r="N357" s="1986">
        <f t="shared" si="104"/>
        <v>0</v>
      </c>
      <c r="O357" s="1947">
        <f t="shared" si="104"/>
        <v>3500</v>
      </c>
      <c r="P357" s="1941">
        <f t="shared" si="104"/>
        <v>3500</v>
      </c>
      <c r="Q357" s="1987">
        <f t="shared" si="104"/>
        <v>0</v>
      </c>
      <c r="R357" s="1988">
        <f t="shared" si="104"/>
        <v>0</v>
      </c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</row>
    <row r="358" spans="1:256" s="2" customFormat="1" ht="12.65" hidden="1" customHeight="1" x14ac:dyDescent="0.3">
      <c r="A358" s="32"/>
      <c r="B358" s="2003" t="s">
        <v>16</v>
      </c>
      <c r="C358" s="9"/>
      <c r="D358" s="88" t="s">
        <v>15</v>
      </c>
      <c r="E358" s="9" t="s">
        <v>32</v>
      </c>
      <c r="F358" s="9" t="s">
        <v>159</v>
      </c>
      <c r="G358" s="9" t="s">
        <v>1</v>
      </c>
      <c r="H358" s="9"/>
      <c r="I358" s="9"/>
      <c r="J358" s="1061">
        <f>J364</f>
        <v>3000</v>
      </c>
      <c r="K358" s="1065"/>
      <c r="L358" s="1064">
        <v>6008.35</v>
      </c>
      <c r="M358" s="1563">
        <v>8515.7049999999999</v>
      </c>
      <c r="N358" s="1986">
        <f>N364</f>
        <v>0</v>
      </c>
      <c r="O358" s="1947">
        <f>O364</f>
        <v>3500</v>
      </c>
      <c r="P358" s="1941">
        <f>P364</f>
        <v>3500</v>
      </c>
      <c r="Q358" s="1987">
        <f>Q364</f>
        <v>0</v>
      </c>
      <c r="R358" s="1988">
        <f>R364</f>
        <v>0</v>
      </c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</row>
    <row r="359" spans="1:256" s="2" customFormat="1" ht="44.25" hidden="1" customHeight="1" x14ac:dyDescent="0.25">
      <c r="A359" s="32"/>
      <c r="B359" s="52" t="s">
        <v>171</v>
      </c>
      <c r="C359" s="9"/>
      <c r="D359" s="34" t="s">
        <v>168</v>
      </c>
      <c r="E359" s="34" t="s">
        <v>166</v>
      </c>
      <c r="F359" s="34" t="s">
        <v>170</v>
      </c>
      <c r="G359" s="131"/>
      <c r="H359" s="131"/>
      <c r="I359" s="34" t="s">
        <v>166</v>
      </c>
      <c r="J359" s="48"/>
      <c r="K359" s="131"/>
      <c r="M359" s="1564"/>
      <c r="N359" s="1986"/>
      <c r="O359" s="2027"/>
      <c r="P359" s="1950"/>
      <c r="Q359" s="2028"/>
      <c r="R359" s="2029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</row>
    <row r="360" spans="1:256" ht="39" hidden="1" x14ac:dyDescent="0.25">
      <c r="A360" s="32"/>
      <c r="B360" s="49" t="s">
        <v>169</v>
      </c>
      <c r="C360" s="9"/>
      <c r="D360" s="9" t="s">
        <v>168</v>
      </c>
      <c r="E360" s="9" t="s">
        <v>166</v>
      </c>
      <c r="F360" s="9" t="s">
        <v>167</v>
      </c>
      <c r="G360" s="88"/>
      <c r="H360" s="88"/>
      <c r="I360" s="9" t="s">
        <v>166</v>
      </c>
      <c r="J360" s="1063"/>
      <c r="K360" s="1063"/>
      <c r="L360" s="1063"/>
      <c r="M360" s="1125"/>
      <c r="N360" s="1986"/>
      <c r="O360" s="1947"/>
      <c r="P360" s="1941"/>
      <c r="Q360" s="1987"/>
      <c r="R360" s="1988"/>
    </row>
    <row r="361" spans="1:256" ht="42.75" hidden="1" customHeight="1" x14ac:dyDescent="0.25">
      <c r="A361" s="32"/>
      <c r="B361" s="132" t="s">
        <v>165</v>
      </c>
      <c r="C361" s="34"/>
      <c r="D361" s="94" t="s">
        <v>15</v>
      </c>
      <c r="E361" s="34" t="s">
        <v>13</v>
      </c>
      <c r="F361" s="34" t="s">
        <v>164</v>
      </c>
      <c r="G361" s="131"/>
      <c r="H361" s="131"/>
      <c r="I361" s="34" t="s">
        <v>13</v>
      </c>
      <c r="J361" s="48"/>
      <c r="K361" s="130"/>
      <c r="L361" s="2"/>
      <c r="M361" s="1554"/>
      <c r="N361" s="1986"/>
      <c r="O361" s="2027"/>
      <c r="P361" s="1950"/>
      <c r="Q361" s="2028"/>
      <c r="R361" s="2029"/>
    </row>
    <row r="362" spans="1:256" ht="72.75" hidden="1" customHeight="1" x14ac:dyDescent="0.25">
      <c r="A362" s="32"/>
      <c r="B362" s="49" t="s">
        <v>163</v>
      </c>
      <c r="C362" s="9"/>
      <c r="D362" s="88" t="s">
        <v>15</v>
      </c>
      <c r="E362" s="9" t="s">
        <v>13</v>
      </c>
      <c r="F362" s="9" t="s">
        <v>162</v>
      </c>
      <c r="G362" s="9"/>
      <c r="H362" s="9"/>
      <c r="I362" s="9" t="s">
        <v>13</v>
      </c>
      <c r="J362" s="1063"/>
      <c r="K362" s="1065"/>
      <c r="L362" s="1065"/>
      <c r="M362" s="1552"/>
      <c r="N362" s="1986"/>
      <c r="O362" s="1947"/>
      <c r="P362" s="1941"/>
      <c r="Q362" s="1987"/>
      <c r="R362" s="1988"/>
    </row>
    <row r="363" spans="1:256" s="2" customFormat="1" ht="57" hidden="1" customHeight="1" x14ac:dyDescent="0.25">
      <c r="A363" s="32"/>
      <c r="B363" s="58" t="s">
        <v>161</v>
      </c>
      <c r="C363" s="34"/>
      <c r="D363" s="88" t="s">
        <v>15</v>
      </c>
      <c r="E363" s="9" t="s">
        <v>13</v>
      </c>
      <c r="F363" s="9" t="s">
        <v>160</v>
      </c>
      <c r="G363" s="9"/>
      <c r="H363" s="9"/>
      <c r="I363" s="9" t="s">
        <v>13</v>
      </c>
      <c r="J363" s="1063"/>
      <c r="K363" s="1065"/>
      <c r="L363" s="1065"/>
      <c r="M363" s="1552"/>
      <c r="N363" s="1986"/>
      <c r="O363" s="1947"/>
      <c r="P363" s="1941"/>
      <c r="Q363" s="1987"/>
      <c r="R363" s="1988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</row>
    <row r="364" spans="1:256" s="2" customFormat="1" ht="13" hidden="1" x14ac:dyDescent="0.3">
      <c r="A364" s="32"/>
      <c r="B364" s="744" t="s">
        <v>34</v>
      </c>
      <c r="C364" s="9"/>
      <c r="D364" s="88" t="s">
        <v>15</v>
      </c>
      <c r="E364" s="9" t="s">
        <v>32</v>
      </c>
      <c r="F364" s="9" t="s">
        <v>159</v>
      </c>
      <c r="G364" s="9" t="s">
        <v>1</v>
      </c>
      <c r="H364" s="9" t="s">
        <v>463</v>
      </c>
      <c r="I364" s="9" t="s">
        <v>495</v>
      </c>
      <c r="J364" s="1061">
        <v>3000</v>
      </c>
      <c r="K364" s="1065"/>
      <c r="L364" s="1064">
        <v>6008.35</v>
      </c>
      <c r="M364" s="1563">
        <v>8515.7049999999999</v>
      </c>
      <c r="N364" s="1986"/>
      <c r="O364" s="1947">
        <v>3500</v>
      </c>
      <c r="P364" s="1941">
        <v>3500</v>
      </c>
      <c r="Q364" s="1987"/>
      <c r="R364" s="1988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</row>
    <row r="365" spans="1:256" s="2" customFormat="1" ht="65" x14ac:dyDescent="0.25">
      <c r="A365" s="1504">
        <v>11</v>
      </c>
      <c r="B365" s="2047" t="s">
        <v>1013</v>
      </c>
      <c r="C365" s="1508"/>
      <c r="D365" s="1508"/>
      <c r="E365" s="1508"/>
      <c r="F365" s="2048" t="s">
        <v>1014</v>
      </c>
      <c r="G365" s="2046"/>
      <c r="H365" s="2046"/>
      <c r="I365" s="1508"/>
      <c r="J365" s="1087"/>
      <c r="K365" s="1064"/>
      <c r="L365" s="1064"/>
      <c r="M365" s="1563"/>
      <c r="N365" s="1982">
        <f>N366</f>
        <v>654.13699999999994</v>
      </c>
      <c r="O365" s="1947"/>
      <c r="P365" s="1941"/>
      <c r="Q365" s="2057"/>
      <c r="R365" s="1988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</row>
    <row r="366" spans="1:256" s="2" customFormat="1" ht="26" x14ac:dyDescent="0.25">
      <c r="A366" s="1505"/>
      <c r="B366" s="2049" t="s">
        <v>1023</v>
      </c>
      <c r="C366" s="1508"/>
      <c r="D366" s="1508"/>
      <c r="E366" s="1508"/>
      <c r="F366" s="2045" t="s">
        <v>1016</v>
      </c>
      <c r="G366" s="2046"/>
      <c r="H366" s="2046"/>
      <c r="I366" s="1508"/>
      <c r="J366" s="1087"/>
      <c r="K366" s="1064"/>
      <c r="L366" s="1064"/>
      <c r="M366" s="1563"/>
      <c r="N366" s="1986">
        <f>N367</f>
        <v>654.13699999999994</v>
      </c>
      <c r="O366" s="1947"/>
      <c r="P366" s="1941"/>
      <c r="Q366" s="2057"/>
      <c r="R366" s="1988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</row>
    <row r="367" spans="1:256" s="2" customFormat="1" ht="34.5" x14ac:dyDescent="0.25">
      <c r="A367" s="1505"/>
      <c r="B367" s="2050" t="s">
        <v>1024</v>
      </c>
      <c r="C367" s="1508"/>
      <c r="D367" s="1508"/>
      <c r="E367" s="1508"/>
      <c r="F367" s="2045" t="s">
        <v>1018</v>
      </c>
      <c r="G367" s="2046"/>
      <c r="H367" s="2046"/>
      <c r="I367" s="1508"/>
      <c r="J367" s="1087"/>
      <c r="K367" s="1064"/>
      <c r="L367" s="1064"/>
      <c r="M367" s="1563"/>
      <c r="N367" s="1986">
        <f>N368</f>
        <v>654.13699999999994</v>
      </c>
      <c r="O367" s="1947"/>
      <c r="P367" s="1941"/>
      <c r="Q367" s="2057"/>
      <c r="R367" s="1988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</row>
    <row r="368" spans="1:256" s="2" customFormat="1" ht="23" x14ac:dyDescent="0.25">
      <c r="A368" s="1505"/>
      <c r="B368" s="1515" t="s">
        <v>948</v>
      </c>
      <c r="C368" s="1508"/>
      <c r="D368" s="1508"/>
      <c r="E368" s="1508"/>
      <c r="F368" s="2045" t="s">
        <v>1018</v>
      </c>
      <c r="G368" s="2046" t="s">
        <v>955</v>
      </c>
      <c r="H368" s="2046"/>
      <c r="I368" s="1508"/>
      <c r="J368" s="1087"/>
      <c r="K368" s="1064"/>
      <c r="L368" s="1064"/>
      <c r="M368" s="1563"/>
      <c r="N368" s="1986">
        <f>N369</f>
        <v>654.13699999999994</v>
      </c>
      <c r="O368" s="1947"/>
      <c r="P368" s="1941"/>
      <c r="Q368" s="2057"/>
      <c r="R368" s="1988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</row>
    <row r="369" spans="1:256" s="2" customFormat="1" ht="23" x14ac:dyDescent="0.25">
      <c r="A369" s="1505"/>
      <c r="B369" s="1516" t="s">
        <v>454</v>
      </c>
      <c r="C369" s="1508"/>
      <c r="D369" s="1508"/>
      <c r="E369" s="1508"/>
      <c r="F369" s="2045" t="s">
        <v>1018</v>
      </c>
      <c r="G369" s="2046" t="s">
        <v>1</v>
      </c>
      <c r="H369" s="2046"/>
      <c r="I369" s="1508"/>
      <c r="J369" s="1087"/>
      <c r="K369" s="1064"/>
      <c r="L369" s="1064"/>
      <c r="M369" s="1563"/>
      <c r="N369" s="1986">
        <f>N370</f>
        <v>654.13699999999994</v>
      </c>
      <c r="O369" s="1947"/>
      <c r="P369" s="1941"/>
      <c r="Q369" s="2057"/>
      <c r="R369" s="1988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</row>
    <row r="370" spans="1:256" s="2" customFormat="1" ht="13" x14ac:dyDescent="0.25">
      <c r="A370" s="1505"/>
      <c r="B370" s="1516" t="s">
        <v>34</v>
      </c>
      <c r="C370" s="1508"/>
      <c r="D370" s="1508"/>
      <c r="E370" s="1508"/>
      <c r="F370" s="2045" t="s">
        <v>1018</v>
      </c>
      <c r="G370" s="2046" t="s">
        <v>1</v>
      </c>
      <c r="H370" s="2046" t="s">
        <v>463</v>
      </c>
      <c r="I370" s="1508" t="s">
        <v>495</v>
      </c>
      <c r="J370" s="1087"/>
      <c r="K370" s="1064"/>
      <c r="L370" s="1064"/>
      <c r="M370" s="1563"/>
      <c r="N370" s="1986">
        <f>32.707+621.43</f>
        <v>654.13699999999994</v>
      </c>
      <c r="O370" s="1947"/>
      <c r="P370" s="1941"/>
      <c r="Q370" s="2057"/>
      <c r="R370" s="1988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</row>
    <row r="371" spans="1:256" s="2" customFormat="1" ht="39" x14ac:dyDescent="0.25">
      <c r="A371" s="1504">
        <v>12</v>
      </c>
      <c r="B371" s="2047" t="s">
        <v>1025</v>
      </c>
      <c r="C371" s="1508"/>
      <c r="D371" s="1508"/>
      <c r="E371" s="1508"/>
      <c r="F371" s="2048" t="s">
        <v>1026</v>
      </c>
      <c r="G371" s="2046"/>
      <c r="H371" s="2046"/>
      <c r="I371" s="1508"/>
      <c r="J371" s="1087"/>
      <c r="K371" s="1064"/>
      <c r="L371" s="1064"/>
      <c r="M371" s="1563"/>
      <c r="N371" s="1982">
        <f>N373</f>
        <v>2992.7565999999997</v>
      </c>
      <c r="O371" s="1947"/>
      <c r="P371" s="1941"/>
      <c r="Q371" s="2057"/>
      <c r="R371" s="1988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</row>
    <row r="372" spans="1:256" s="2" customFormat="1" ht="39" x14ac:dyDescent="0.25">
      <c r="A372" s="1504"/>
      <c r="B372" s="2058" t="s">
        <v>1027</v>
      </c>
      <c r="C372" s="1508"/>
      <c r="D372" s="1508"/>
      <c r="E372" s="1508"/>
      <c r="F372" s="2045" t="s">
        <v>1028</v>
      </c>
      <c r="G372" s="2046"/>
      <c r="H372" s="2046"/>
      <c r="I372" s="1508"/>
      <c r="J372" s="1087"/>
      <c r="K372" s="1064"/>
      <c r="L372" s="1064"/>
      <c r="M372" s="1563"/>
      <c r="N372" s="1986">
        <f>N373</f>
        <v>2992.7565999999997</v>
      </c>
      <c r="O372" s="1947"/>
      <c r="P372" s="1941"/>
      <c r="Q372" s="2057"/>
      <c r="R372" s="1988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</row>
    <row r="373" spans="1:256" s="2" customFormat="1" ht="52" x14ac:dyDescent="0.25">
      <c r="A373" s="1505"/>
      <c r="B373" s="2049" t="s">
        <v>1029</v>
      </c>
      <c r="C373" s="1508"/>
      <c r="D373" s="1508"/>
      <c r="E373" s="1508"/>
      <c r="F373" s="2045" t="s">
        <v>1030</v>
      </c>
      <c r="G373" s="2046"/>
      <c r="H373" s="2046"/>
      <c r="I373" s="1508"/>
      <c r="J373" s="1087"/>
      <c r="K373" s="1064"/>
      <c r="L373" s="1064"/>
      <c r="M373" s="1563"/>
      <c r="N373" s="1986">
        <f>N374</f>
        <v>2992.7565999999997</v>
      </c>
      <c r="O373" s="1947"/>
      <c r="P373" s="1941"/>
      <c r="Q373" s="2057"/>
      <c r="R373" s="1988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</row>
    <row r="374" spans="1:256" s="2" customFormat="1" ht="34.5" x14ac:dyDescent="0.25">
      <c r="A374" s="1505"/>
      <c r="B374" s="2050" t="s">
        <v>1031</v>
      </c>
      <c r="C374" s="1508"/>
      <c r="D374" s="1508"/>
      <c r="E374" s="1508"/>
      <c r="F374" s="532" t="s">
        <v>1032</v>
      </c>
      <c r="G374" s="2046"/>
      <c r="H374" s="2046"/>
      <c r="I374" s="1508"/>
      <c r="J374" s="1087"/>
      <c r="K374" s="1064"/>
      <c r="L374" s="1064"/>
      <c r="M374" s="1563"/>
      <c r="N374" s="1986">
        <f>N375</f>
        <v>2992.7565999999997</v>
      </c>
      <c r="O374" s="1947"/>
      <c r="P374" s="1941"/>
      <c r="Q374" s="2057"/>
      <c r="R374" s="1988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</row>
    <row r="375" spans="1:256" s="2" customFormat="1" ht="23" x14ac:dyDescent="0.25">
      <c r="A375" s="1505"/>
      <c r="B375" s="1515" t="s">
        <v>948</v>
      </c>
      <c r="C375" s="1508"/>
      <c r="D375" s="1508"/>
      <c r="E375" s="1508"/>
      <c r="F375" s="532" t="s">
        <v>1032</v>
      </c>
      <c r="G375" s="2046" t="s">
        <v>955</v>
      </c>
      <c r="H375" s="2046"/>
      <c r="I375" s="1508"/>
      <c r="J375" s="1087"/>
      <c r="K375" s="1064"/>
      <c r="L375" s="1064"/>
      <c r="M375" s="1563"/>
      <c r="N375" s="1986">
        <f>N376</f>
        <v>2992.7565999999997</v>
      </c>
      <c r="O375" s="1947"/>
      <c r="P375" s="1941"/>
      <c r="Q375" s="2057"/>
      <c r="R375" s="1988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</row>
    <row r="376" spans="1:256" s="2" customFormat="1" ht="23" x14ac:dyDescent="0.25">
      <c r="A376" s="1505"/>
      <c r="B376" s="1516" t="s">
        <v>454</v>
      </c>
      <c r="C376" s="1508"/>
      <c r="D376" s="1508"/>
      <c r="E376" s="1508"/>
      <c r="F376" s="532" t="s">
        <v>1032</v>
      </c>
      <c r="G376" s="2046" t="s">
        <v>1</v>
      </c>
      <c r="H376" s="2046"/>
      <c r="I376" s="1508"/>
      <c r="J376" s="1087"/>
      <c r="K376" s="1064"/>
      <c r="L376" s="1064"/>
      <c r="M376" s="1563"/>
      <c r="N376" s="1986">
        <f>N377</f>
        <v>2992.7565999999997</v>
      </c>
      <c r="O376" s="1947"/>
      <c r="P376" s="1941"/>
      <c r="Q376" s="2057"/>
      <c r="R376" s="1988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</row>
    <row r="377" spans="1:256" s="2" customFormat="1" ht="13" x14ac:dyDescent="0.3">
      <c r="A377" s="1505"/>
      <c r="B377" s="744" t="s">
        <v>34</v>
      </c>
      <c r="C377" s="1508"/>
      <c r="D377" s="1508"/>
      <c r="E377" s="1508"/>
      <c r="F377" s="532" t="s">
        <v>1032</v>
      </c>
      <c r="G377" s="2046" t="s">
        <v>1</v>
      </c>
      <c r="H377" s="2046" t="s">
        <v>463</v>
      </c>
      <c r="I377" s="1508" t="s">
        <v>495</v>
      </c>
      <c r="J377" s="1087"/>
      <c r="K377" s="1064"/>
      <c r="L377" s="1064"/>
      <c r="M377" s="1563"/>
      <c r="N377" s="1986">
        <f>1300+1692.7566</f>
        <v>2992.7565999999997</v>
      </c>
      <c r="O377" s="1947"/>
      <c r="P377" s="1941"/>
      <c r="Q377" s="2057"/>
      <c r="R377" s="1988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</row>
    <row r="378" spans="1:256" s="2" customFormat="1" ht="25.9" customHeight="1" x14ac:dyDescent="0.25">
      <c r="A378" s="32"/>
      <c r="B378" s="1979" t="s">
        <v>158</v>
      </c>
      <c r="C378" s="34"/>
      <c r="D378" s="88"/>
      <c r="E378" s="9"/>
      <c r="F378" s="9"/>
      <c r="G378" s="9"/>
      <c r="H378" s="9"/>
      <c r="I378" s="9"/>
      <c r="J378" s="1111">
        <f>J379+J457+J469</f>
        <v>47038.588000000003</v>
      </c>
      <c r="K378" s="1065"/>
      <c r="L378" s="1064">
        <f t="shared" ref="L378:R378" si="105">L379+L457+L469</f>
        <v>28148.264999999999</v>
      </c>
      <c r="M378" s="1563">
        <f t="shared" si="105"/>
        <v>29104.548000000003</v>
      </c>
      <c r="N378" s="2059">
        <f>36573.761+501.759</f>
        <v>37075.519999999997</v>
      </c>
      <c r="O378" s="2060">
        <f t="shared" si="105"/>
        <v>22421.825000000004</v>
      </c>
      <c r="P378" s="2061">
        <f t="shared" si="105"/>
        <v>23877.43</v>
      </c>
      <c r="Q378" s="2062">
        <f t="shared" si="105"/>
        <v>30018.576999999997</v>
      </c>
      <c r="R378" s="2063">
        <f t="shared" si="105"/>
        <v>30189.748999999996</v>
      </c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</row>
    <row r="379" spans="1:256" s="83" customFormat="1" ht="39" x14ac:dyDescent="0.3">
      <c r="A379" s="91">
        <v>13</v>
      </c>
      <c r="B379" s="126" t="s">
        <v>126</v>
      </c>
      <c r="C379" s="118"/>
      <c r="D379" s="89" t="s">
        <v>69</v>
      </c>
      <c r="E379" s="89" t="s">
        <v>112</v>
      </c>
      <c r="F379" s="113" t="s">
        <v>157</v>
      </c>
      <c r="G379" s="118"/>
      <c r="H379" s="118"/>
      <c r="I379" s="89"/>
      <c r="J379" s="1113">
        <f>J386+J452+J423+J426+J430+J437+J434</f>
        <v>14363.046000000004</v>
      </c>
      <c r="K379" s="1059"/>
      <c r="L379" s="1059">
        <f>L386+L420+L423+L426+L430+L437+L444</f>
        <v>14872.082</v>
      </c>
      <c r="M379" s="1551">
        <f>M386+M420+M423+M426+M430+M437+M444</f>
        <v>15828.365000000002</v>
      </c>
      <c r="N379" s="1989">
        <f>N380+N385+N452</f>
        <v>22061.339</v>
      </c>
      <c r="O379" s="1990">
        <f>O389+O391+O394+O398+O409+O412+O417+O436+O439+O441+O456+O447</f>
        <v>17791.410000000003</v>
      </c>
      <c r="P379" s="1934">
        <f>P389+P391+P394+P398+P409+P412+P417+P436+P439+P441+P456+P447</f>
        <v>18871.780000000002</v>
      </c>
      <c r="Q379" s="1991">
        <f>Q380+Q385+Q452</f>
        <v>21581.35</v>
      </c>
      <c r="R379" s="1992">
        <f>R380+R385+R452</f>
        <v>22370.437999999998</v>
      </c>
      <c r="S379" s="84"/>
      <c r="T379" s="84"/>
      <c r="U379" s="84"/>
      <c r="V379" s="84"/>
      <c r="W379" s="84"/>
      <c r="X379" s="84"/>
    </row>
    <row r="380" spans="1:256" s="83" customFormat="1" ht="30" x14ac:dyDescent="0.3">
      <c r="A380" s="91"/>
      <c r="B380" s="285" t="s">
        <v>866</v>
      </c>
      <c r="C380" s="118"/>
      <c r="D380" s="89"/>
      <c r="E380" s="89"/>
      <c r="F380" s="112" t="s">
        <v>598</v>
      </c>
      <c r="G380" s="119"/>
      <c r="H380" s="119"/>
      <c r="I380" s="33"/>
      <c r="J380" s="1113"/>
      <c r="K380" s="1059"/>
      <c r="L380" s="1059"/>
      <c r="M380" s="1551"/>
      <c r="N380" s="1998">
        <f>N381</f>
        <v>1694.001</v>
      </c>
      <c r="O380" s="1990"/>
      <c r="P380" s="1934"/>
      <c r="Q380" s="2000">
        <f t="shared" ref="Q380:R383" si="106">Q381</f>
        <v>1764.761</v>
      </c>
      <c r="R380" s="2001">
        <f t="shared" si="106"/>
        <v>1832.232</v>
      </c>
      <c r="S380" s="84"/>
      <c r="T380" s="84"/>
      <c r="U380" s="84"/>
      <c r="V380" s="84"/>
      <c r="W380" s="84"/>
      <c r="X380" s="84"/>
    </row>
    <row r="381" spans="1:256" s="83" customFormat="1" ht="13" x14ac:dyDescent="0.3">
      <c r="A381" s="91"/>
      <c r="B381" s="285" t="s">
        <v>582</v>
      </c>
      <c r="C381" s="118"/>
      <c r="D381" s="89"/>
      <c r="E381" s="89"/>
      <c r="F381" s="112" t="s">
        <v>597</v>
      </c>
      <c r="G381" s="119"/>
      <c r="H381" s="119"/>
      <c r="I381" s="33"/>
      <c r="J381" s="1113"/>
      <c r="K381" s="1059"/>
      <c r="L381" s="1059"/>
      <c r="M381" s="1551"/>
      <c r="N381" s="1998">
        <f>N382</f>
        <v>1694.001</v>
      </c>
      <c r="O381" s="1990"/>
      <c r="P381" s="1934"/>
      <c r="Q381" s="2000">
        <f t="shared" si="106"/>
        <v>1764.761</v>
      </c>
      <c r="R381" s="2001">
        <f t="shared" si="106"/>
        <v>1832.232</v>
      </c>
      <c r="S381" s="84"/>
      <c r="T381" s="84"/>
      <c r="U381" s="84"/>
      <c r="V381" s="84"/>
      <c r="W381" s="84"/>
      <c r="X381" s="84"/>
    </row>
    <row r="382" spans="1:256" s="83" customFormat="1" ht="20" x14ac:dyDescent="0.3">
      <c r="A382" s="91"/>
      <c r="B382" s="285" t="s">
        <v>867</v>
      </c>
      <c r="C382" s="118"/>
      <c r="D382" s="89"/>
      <c r="E382" s="89"/>
      <c r="F382" s="113" t="s">
        <v>593</v>
      </c>
      <c r="G382" s="119"/>
      <c r="H382" s="119"/>
      <c r="I382" s="33"/>
      <c r="J382" s="1113"/>
      <c r="K382" s="1059"/>
      <c r="L382" s="1059"/>
      <c r="M382" s="1551"/>
      <c r="N382" s="1989">
        <f>N383</f>
        <v>1694.001</v>
      </c>
      <c r="O382" s="1990"/>
      <c r="P382" s="1934"/>
      <c r="Q382" s="1991">
        <f t="shared" si="106"/>
        <v>1764.761</v>
      </c>
      <c r="R382" s="1992">
        <f t="shared" si="106"/>
        <v>1832.232</v>
      </c>
      <c r="S382" s="84"/>
      <c r="T382" s="84"/>
      <c r="U382" s="84"/>
      <c r="V382" s="84"/>
      <c r="W382" s="84"/>
      <c r="X382" s="84"/>
    </row>
    <row r="383" spans="1:256" s="83" customFormat="1" ht="13" x14ac:dyDescent="0.3">
      <c r="A383" s="91"/>
      <c r="B383" s="284" t="s">
        <v>571</v>
      </c>
      <c r="C383" s="118"/>
      <c r="D383" s="89"/>
      <c r="E383" s="89"/>
      <c r="F383" s="112" t="s">
        <v>593</v>
      </c>
      <c r="G383" s="119">
        <v>120</v>
      </c>
      <c r="H383" s="119"/>
      <c r="I383" s="33"/>
      <c r="J383" s="1113"/>
      <c r="K383" s="1059"/>
      <c r="L383" s="1059"/>
      <c r="M383" s="1551"/>
      <c r="N383" s="1998">
        <f>N384</f>
        <v>1694.001</v>
      </c>
      <c r="O383" s="1990"/>
      <c r="P383" s="1934"/>
      <c r="Q383" s="2000">
        <f t="shared" si="106"/>
        <v>1764.761</v>
      </c>
      <c r="R383" s="2001">
        <f t="shared" si="106"/>
        <v>1832.232</v>
      </c>
      <c r="S383" s="84"/>
      <c r="T383" s="84"/>
      <c r="U383" s="84"/>
      <c r="V383" s="84"/>
      <c r="W383" s="84"/>
      <c r="X383" s="84"/>
    </row>
    <row r="384" spans="1:256" s="83" customFormat="1" ht="20" x14ac:dyDescent="0.3">
      <c r="A384" s="91"/>
      <c r="B384" s="285" t="s">
        <v>600</v>
      </c>
      <c r="C384" s="118"/>
      <c r="D384" s="89"/>
      <c r="E384" s="89"/>
      <c r="F384" s="112" t="s">
        <v>593</v>
      </c>
      <c r="G384" s="119">
        <v>120</v>
      </c>
      <c r="H384" s="9" t="s">
        <v>456</v>
      </c>
      <c r="I384" s="33" t="s">
        <v>488</v>
      </c>
      <c r="J384" s="1113"/>
      <c r="K384" s="1059"/>
      <c r="L384" s="1059"/>
      <c r="M384" s="1551"/>
      <c r="N384" s="1998">
        <v>1694.001</v>
      </c>
      <c r="O384" s="1990"/>
      <c r="P384" s="1934"/>
      <c r="Q384" s="2064">
        <v>1764.761</v>
      </c>
      <c r="R384" s="2065">
        <v>1832.232</v>
      </c>
      <c r="S384" s="84"/>
      <c r="T384" s="84"/>
      <c r="U384" s="84"/>
      <c r="V384" s="84"/>
      <c r="W384" s="84"/>
      <c r="X384" s="84"/>
    </row>
    <row r="385" spans="1:24" s="83" customFormat="1" ht="39" x14ac:dyDescent="0.3">
      <c r="A385" s="91"/>
      <c r="B385" s="1093" t="s">
        <v>156</v>
      </c>
      <c r="C385" s="118"/>
      <c r="D385" s="89"/>
      <c r="E385" s="89"/>
      <c r="F385" s="112" t="s">
        <v>155</v>
      </c>
      <c r="G385" s="118"/>
      <c r="H385" s="118"/>
      <c r="I385" s="89"/>
      <c r="J385" s="1115">
        <f>J379</f>
        <v>14363.046000000004</v>
      </c>
      <c r="K385" s="1059"/>
      <c r="L385" s="1059"/>
      <c r="M385" s="1551"/>
      <c r="N385" s="1998">
        <f>N386</f>
        <v>18854.738000000001</v>
      </c>
      <c r="O385" s="1999">
        <f>O379</f>
        <v>17791.410000000003</v>
      </c>
      <c r="P385" s="1937">
        <f>P379</f>
        <v>18871.780000000002</v>
      </c>
      <c r="Q385" s="2007">
        <f>Q389+Q391+Q394+Q398+Q439+Q441</f>
        <v>18243.485000000001</v>
      </c>
      <c r="R385" s="2008">
        <f>R389+R391+R394+R398+R439+R441</f>
        <v>18902.178</v>
      </c>
      <c r="S385" s="84"/>
      <c r="T385" s="84"/>
      <c r="U385" s="84"/>
      <c r="V385" s="84"/>
      <c r="W385" s="84"/>
      <c r="X385" s="84"/>
    </row>
    <row r="386" spans="1:24" s="83" customFormat="1" ht="13" x14ac:dyDescent="0.3">
      <c r="A386" s="85"/>
      <c r="B386" s="1093" t="s">
        <v>109</v>
      </c>
      <c r="C386" s="118"/>
      <c r="D386" s="33" t="s">
        <v>69</v>
      </c>
      <c r="E386" s="33" t="s">
        <v>112</v>
      </c>
      <c r="F386" s="112" t="s">
        <v>154</v>
      </c>
      <c r="G386" s="118"/>
      <c r="H386" s="118"/>
      <c r="I386" s="33"/>
      <c r="J386" s="1060">
        <f>J388+J392+J408+J411+J416</f>
        <v>12462.203000000003</v>
      </c>
      <c r="K386" s="1058"/>
      <c r="L386" s="1059">
        <f>L388+L392</f>
        <v>12437.288999999999</v>
      </c>
      <c r="M386" s="1551">
        <f>M388+M392</f>
        <v>13307.900000000001</v>
      </c>
      <c r="N386" s="1989">
        <f>N389+N391+N394+N398+N402+N403+N409+N412+N436+N441+N399</f>
        <v>18854.738000000001</v>
      </c>
      <c r="O386" s="1999">
        <f>O388+O392+O408+O411+O416</f>
        <v>15466.985000000001</v>
      </c>
      <c r="P386" s="1937">
        <f>P388+P392+P408+P411+P416</f>
        <v>16326.328000000001</v>
      </c>
      <c r="Q386" s="1991">
        <f>Q389+Q391+Q394+Q398+Q439+Q441</f>
        <v>18243.485000000001</v>
      </c>
      <c r="R386" s="1992">
        <f>R389+R391+R394+R398+R439+R441</f>
        <v>18902.178</v>
      </c>
      <c r="S386" s="84"/>
      <c r="T386" s="84"/>
      <c r="U386" s="84"/>
      <c r="V386" s="84"/>
      <c r="W386" s="84"/>
      <c r="X386" s="84"/>
    </row>
    <row r="387" spans="1:24" s="83" customFormat="1" ht="13" x14ac:dyDescent="0.3">
      <c r="A387" s="85"/>
      <c r="B387" s="1110" t="s">
        <v>153</v>
      </c>
      <c r="C387" s="118"/>
      <c r="D387" s="33"/>
      <c r="E387" s="33"/>
      <c r="F387" s="113" t="s">
        <v>152</v>
      </c>
      <c r="G387" s="118"/>
      <c r="H387" s="118"/>
      <c r="I387" s="89"/>
      <c r="J387" s="1059">
        <f>J386</f>
        <v>12462.203000000003</v>
      </c>
      <c r="K387" s="1058"/>
      <c r="L387" s="1059"/>
      <c r="M387" s="1551"/>
      <c r="N387" s="1989">
        <f>N388+N392+N401+N399+N400</f>
        <v>22180.171000000002</v>
      </c>
      <c r="O387" s="1990">
        <f>O386</f>
        <v>15466.985000000001</v>
      </c>
      <c r="P387" s="1934">
        <f>P386</f>
        <v>16326.328000000001</v>
      </c>
      <c r="Q387" s="1991">
        <f>Q389+Q391+Q394+Q398</f>
        <v>18236.385000000002</v>
      </c>
      <c r="R387" s="1992">
        <f>R389+R391+R394+R398</f>
        <v>18895.078000000001</v>
      </c>
      <c r="S387" s="84"/>
      <c r="T387" s="84"/>
      <c r="U387" s="84"/>
      <c r="V387" s="84"/>
      <c r="W387" s="84"/>
      <c r="X387" s="84"/>
    </row>
    <row r="388" spans="1:24" s="83" customFormat="1" ht="22.15" customHeight="1" x14ac:dyDescent="0.3">
      <c r="A388" s="85"/>
      <c r="B388" s="2003" t="s">
        <v>7</v>
      </c>
      <c r="C388" s="118"/>
      <c r="D388" s="33"/>
      <c r="E388" s="33"/>
      <c r="F388" s="112" t="s">
        <v>152</v>
      </c>
      <c r="G388" s="119">
        <v>120</v>
      </c>
      <c r="H388" s="119"/>
      <c r="I388" s="89"/>
      <c r="J388" s="1060">
        <f>J389+J391</f>
        <v>8197.5570000000007</v>
      </c>
      <c r="K388" s="1058"/>
      <c r="L388" s="1059">
        <f>L389+L391</f>
        <v>9181.8719999999994</v>
      </c>
      <c r="M388" s="1551">
        <f>M389+M391</f>
        <v>9824.6040000000012</v>
      </c>
      <c r="N388" s="1998">
        <f>N389+N391+N394+N398+N400+N402+N403</f>
        <v>18069.644</v>
      </c>
      <c r="O388" s="1999">
        <f>O389+O391</f>
        <v>9671.2350000000006</v>
      </c>
      <c r="P388" s="1937">
        <f>P389+P391</f>
        <v>10737.36</v>
      </c>
      <c r="Q388" s="2000">
        <f>Q391+Q390+Q389+Q396</f>
        <v>15286.343000000001</v>
      </c>
      <c r="R388" s="2001">
        <f>R391+R390+R389+R396</f>
        <v>15897.791999999999</v>
      </c>
      <c r="S388" s="84"/>
      <c r="T388" s="84"/>
      <c r="U388" s="84"/>
      <c r="V388" s="84"/>
      <c r="W388" s="84"/>
      <c r="X388" s="84"/>
    </row>
    <row r="389" spans="1:24" s="83" customFormat="1" ht="41.5" customHeight="1" x14ac:dyDescent="0.3">
      <c r="A389" s="85"/>
      <c r="B389" s="336" t="s">
        <v>114</v>
      </c>
      <c r="C389" s="118"/>
      <c r="D389" s="33" t="s">
        <v>69</v>
      </c>
      <c r="E389" s="33" t="s">
        <v>112</v>
      </c>
      <c r="F389" s="112" t="s">
        <v>152</v>
      </c>
      <c r="G389" s="119">
        <v>120</v>
      </c>
      <c r="H389" s="9" t="s">
        <v>456</v>
      </c>
      <c r="I389" s="33" t="s">
        <v>495</v>
      </c>
      <c r="J389" s="1060">
        <f>807.519+241.455</f>
        <v>1048.9739999999999</v>
      </c>
      <c r="K389" s="1059"/>
      <c r="L389" s="1061">
        <v>1378.2239999999999</v>
      </c>
      <c r="M389" s="1565">
        <v>1474.6990000000001</v>
      </c>
      <c r="N389" s="1998">
        <v>955.79899999999998</v>
      </c>
      <c r="O389" s="1999">
        <v>672.428</v>
      </c>
      <c r="P389" s="1937">
        <v>739.67200000000003</v>
      </c>
      <c r="Q389" s="2000">
        <v>994.03099999999995</v>
      </c>
      <c r="R389" s="2001">
        <v>1033.7919999999999</v>
      </c>
      <c r="S389" s="84"/>
      <c r="T389" s="84"/>
      <c r="U389" s="84"/>
      <c r="V389" s="84"/>
      <c r="W389" s="84"/>
      <c r="X389" s="84"/>
    </row>
    <row r="390" spans="1:24" s="83" customFormat="1" ht="41.5" hidden="1" customHeight="1" x14ac:dyDescent="0.3">
      <c r="A390" s="85"/>
      <c r="B390" s="1117" t="s">
        <v>589</v>
      </c>
      <c r="C390" s="118"/>
      <c r="D390" s="33"/>
      <c r="E390" s="33"/>
      <c r="F390" s="112" t="s">
        <v>113</v>
      </c>
      <c r="G390" s="119">
        <v>120</v>
      </c>
      <c r="H390" s="9" t="s">
        <v>456</v>
      </c>
      <c r="I390" s="33" t="s">
        <v>495</v>
      </c>
      <c r="J390" s="1060"/>
      <c r="K390" s="1058"/>
      <c r="L390" s="1062"/>
      <c r="M390" s="1556"/>
      <c r="N390" s="1998">
        <v>0</v>
      </c>
      <c r="O390" s="1999"/>
      <c r="P390" s="1937"/>
      <c r="Q390" s="2000">
        <v>0</v>
      </c>
      <c r="R390" s="2001">
        <v>0</v>
      </c>
      <c r="S390" s="84"/>
      <c r="T390" s="84"/>
      <c r="U390" s="84"/>
      <c r="V390" s="84"/>
      <c r="W390" s="84"/>
      <c r="X390" s="84"/>
    </row>
    <row r="391" spans="1:24" ht="41.5" customHeight="1" x14ac:dyDescent="0.3">
      <c r="A391" s="32"/>
      <c r="B391" s="2066" t="s">
        <v>105</v>
      </c>
      <c r="C391" s="88"/>
      <c r="D391" s="88" t="s">
        <v>69</v>
      </c>
      <c r="E391" s="88" t="s">
        <v>103</v>
      </c>
      <c r="F391" s="112" t="s">
        <v>152</v>
      </c>
      <c r="G391" s="88">
        <v>120</v>
      </c>
      <c r="H391" s="9" t="s">
        <v>456</v>
      </c>
      <c r="I391" s="33" t="s">
        <v>452</v>
      </c>
      <c r="J391" s="1061">
        <f>5450.283+1.2+1697.1</f>
        <v>7148.5830000000005</v>
      </c>
      <c r="K391" s="1061"/>
      <c r="L391" s="1061">
        <v>7803.6480000000001</v>
      </c>
      <c r="M391" s="1566">
        <v>8349.9050000000007</v>
      </c>
      <c r="N391" s="1986">
        <f>13742.608-127.234-577.264</f>
        <v>13038.11</v>
      </c>
      <c r="O391" s="1947">
        <v>8998.8070000000007</v>
      </c>
      <c r="P391" s="1941">
        <v>9997.6880000000001</v>
      </c>
      <c r="Q391" s="1987">
        <v>14292.312</v>
      </c>
      <c r="R391" s="1988">
        <v>14864</v>
      </c>
    </row>
    <row r="392" spans="1:24" s="83" customFormat="1" ht="29.5" customHeight="1" x14ac:dyDescent="0.3">
      <c r="A392" s="85"/>
      <c r="B392" s="1993" t="s">
        <v>4</v>
      </c>
      <c r="C392" s="118"/>
      <c r="D392" s="33" t="s">
        <v>69</v>
      </c>
      <c r="E392" s="33" t="s">
        <v>112</v>
      </c>
      <c r="F392" s="112" t="s">
        <v>152</v>
      </c>
      <c r="G392" s="119">
        <v>240</v>
      </c>
      <c r="H392" s="119"/>
      <c r="I392" s="89"/>
      <c r="J392" s="1060">
        <f>J394+J398</f>
        <v>3612.3460000000005</v>
      </c>
      <c r="K392" s="1058"/>
      <c r="L392" s="1058">
        <f t="shared" ref="L392:R392" si="107">L394+L398</f>
        <v>3255.4169999999999</v>
      </c>
      <c r="M392" s="1555">
        <f t="shared" si="107"/>
        <v>3483.2959999999998</v>
      </c>
      <c r="N392" s="1998">
        <f t="shared" si="107"/>
        <v>4025.9430000000002</v>
      </c>
      <c r="O392" s="1999">
        <f t="shared" si="107"/>
        <v>5795.75</v>
      </c>
      <c r="P392" s="1937">
        <f t="shared" si="107"/>
        <v>5588.9679999999998</v>
      </c>
      <c r="Q392" s="2000">
        <f t="shared" si="107"/>
        <v>2950.0419999999999</v>
      </c>
      <c r="R392" s="2001">
        <f t="shared" si="107"/>
        <v>2997.2860000000001</v>
      </c>
      <c r="S392" s="84"/>
      <c r="T392" s="84"/>
      <c r="U392" s="84"/>
      <c r="V392" s="84"/>
      <c r="W392" s="84"/>
      <c r="X392" s="84"/>
    </row>
    <row r="393" spans="1:24" s="83" customFormat="1" ht="28.9" hidden="1" customHeight="1" x14ac:dyDescent="0.3">
      <c r="A393" s="85"/>
      <c r="B393" s="1993" t="s">
        <v>4</v>
      </c>
      <c r="C393" s="118"/>
      <c r="D393" s="33"/>
      <c r="E393" s="33"/>
      <c r="F393" s="112" t="s">
        <v>152</v>
      </c>
      <c r="G393" s="119">
        <v>240</v>
      </c>
      <c r="H393" s="119"/>
      <c r="I393" s="33"/>
      <c r="J393" s="1060">
        <f>J394</f>
        <v>1338.8210000000001</v>
      </c>
      <c r="K393" s="1058"/>
      <c r="L393" s="1058"/>
      <c r="M393" s="1555"/>
      <c r="N393" s="1998">
        <f>N394</f>
        <v>1314.8990000000001</v>
      </c>
      <c r="O393" s="1999">
        <f>O394</f>
        <v>1199.08</v>
      </c>
      <c r="P393" s="1937">
        <f>P394</f>
        <v>1171.8689999999999</v>
      </c>
      <c r="Q393" s="2000">
        <f>Q394</f>
        <v>964.28800000000001</v>
      </c>
      <c r="R393" s="2001">
        <f>R394</f>
        <v>1005.98</v>
      </c>
      <c r="S393" s="84"/>
      <c r="T393" s="84"/>
      <c r="U393" s="84"/>
      <c r="V393" s="84"/>
      <c r="W393" s="84"/>
      <c r="X393" s="84"/>
    </row>
    <row r="394" spans="1:24" s="83" customFormat="1" ht="43.15" customHeight="1" x14ac:dyDescent="0.3">
      <c r="A394" s="85"/>
      <c r="B394" s="336" t="s">
        <v>114</v>
      </c>
      <c r="C394" s="118"/>
      <c r="D394" s="33"/>
      <c r="E394" s="33"/>
      <c r="F394" s="112" t="s">
        <v>152</v>
      </c>
      <c r="G394" s="119">
        <v>240</v>
      </c>
      <c r="H394" s="9" t="s">
        <v>456</v>
      </c>
      <c r="I394" s="33" t="s">
        <v>495</v>
      </c>
      <c r="J394" s="1060">
        <f>2387.795-1048.974</f>
        <v>1338.8210000000001</v>
      </c>
      <c r="K394" s="1058"/>
      <c r="L394" s="1062">
        <v>906.91</v>
      </c>
      <c r="M394" s="1556">
        <v>970.39300000000003</v>
      </c>
      <c r="N394" s="1998">
        <f>925.085+419.814-30</f>
        <v>1314.8990000000001</v>
      </c>
      <c r="O394" s="1999">
        <v>1199.08</v>
      </c>
      <c r="P394" s="1937">
        <v>1171.8689999999999</v>
      </c>
      <c r="Q394" s="2000">
        <v>964.28800000000001</v>
      </c>
      <c r="R394" s="2001">
        <v>1005.98</v>
      </c>
      <c r="S394" s="84"/>
      <c r="T394" s="84"/>
      <c r="U394" s="84"/>
      <c r="V394" s="84"/>
      <c r="W394" s="84"/>
      <c r="X394" s="84"/>
    </row>
    <row r="395" spans="1:24" s="83" customFormat="1" ht="20.25" hidden="1" customHeight="1" x14ac:dyDescent="0.3">
      <c r="A395" s="85"/>
      <c r="B395" s="1814" t="s">
        <v>94</v>
      </c>
      <c r="C395" s="118"/>
      <c r="D395" s="33"/>
      <c r="E395" s="33"/>
      <c r="F395" s="112" t="s">
        <v>152</v>
      </c>
      <c r="G395" s="119">
        <v>850</v>
      </c>
      <c r="H395" s="9" t="s">
        <v>456</v>
      </c>
      <c r="I395" s="33" t="s">
        <v>495</v>
      </c>
      <c r="J395" s="1060"/>
      <c r="K395" s="1058"/>
      <c r="L395" s="1062"/>
      <c r="M395" s="1556"/>
      <c r="N395" s="1998"/>
      <c r="O395" s="1999"/>
      <c r="P395" s="1937"/>
      <c r="Q395" s="2000"/>
      <c r="R395" s="2001"/>
      <c r="S395" s="84"/>
      <c r="T395" s="84"/>
      <c r="U395" s="84"/>
      <c r="V395" s="84"/>
      <c r="W395" s="84"/>
      <c r="X395" s="84"/>
    </row>
    <row r="396" spans="1:24" s="83" customFormat="1" ht="26.25" hidden="1" customHeight="1" x14ac:dyDescent="0.3">
      <c r="A396" s="85"/>
      <c r="B396" s="336" t="s">
        <v>571</v>
      </c>
      <c r="C396" s="118"/>
      <c r="D396" s="33"/>
      <c r="E396" s="33"/>
      <c r="F396" s="112" t="s">
        <v>113</v>
      </c>
      <c r="G396" s="119">
        <v>120</v>
      </c>
      <c r="H396" s="9" t="s">
        <v>456</v>
      </c>
      <c r="I396" s="33" t="s">
        <v>495</v>
      </c>
      <c r="J396" s="1060"/>
      <c r="K396" s="1058"/>
      <c r="L396" s="1062"/>
      <c r="M396" s="1556"/>
      <c r="N396" s="1998">
        <v>0</v>
      </c>
      <c r="O396" s="1999"/>
      <c r="P396" s="1937"/>
      <c r="Q396" s="2000">
        <v>0</v>
      </c>
      <c r="R396" s="2001">
        <v>0</v>
      </c>
      <c r="S396" s="84"/>
      <c r="T396" s="84"/>
      <c r="U396" s="84"/>
      <c r="V396" s="84"/>
      <c r="W396" s="84"/>
      <c r="X396" s="84"/>
    </row>
    <row r="397" spans="1:24" s="83" customFormat="1" ht="27" hidden="1" customHeight="1" x14ac:dyDescent="0.3">
      <c r="A397" s="85"/>
      <c r="B397" s="1993" t="s">
        <v>4</v>
      </c>
      <c r="C397" s="118"/>
      <c r="D397" s="33"/>
      <c r="E397" s="33"/>
      <c r="F397" s="112" t="s">
        <v>152</v>
      </c>
      <c r="G397" s="88">
        <v>240</v>
      </c>
      <c r="H397" s="88"/>
      <c r="I397" s="88"/>
      <c r="J397" s="1061">
        <f>J398</f>
        <v>2273.5250000000001</v>
      </c>
      <c r="K397" s="1058"/>
      <c r="L397" s="1062"/>
      <c r="M397" s="1556"/>
      <c r="N397" s="1986">
        <f>N398</f>
        <v>2711.0439999999999</v>
      </c>
      <c r="O397" s="1947">
        <f>O398</f>
        <v>4596.67</v>
      </c>
      <c r="P397" s="1941">
        <f>P398</f>
        <v>4417.0990000000002</v>
      </c>
      <c r="Q397" s="1987">
        <f>Q398</f>
        <v>1985.7539999999999</v>
      </c>
      <c r="R397" s="1988">
        <f>R398</f>
        <v>1991.306</v>
      </c>
      <c r="S397" s="84"/>
      <c r="T397" s="84"/>
      <c r="U397" s="84"/>
      <c r="V397" s="84"/>
      <c r="W397" s="84"/>
      <c r="X397" s="84"/>
    </row>
    <row r="398" spans="1:24" ht="39" customHeight="1" x14ac:dyDescent="0.3">
      <c r="A398" s="32"/>
      <c r="B398" s="2012" t="s">
        <v>105</v>
      </c>
      <c r="C398" s="88"/>
      <c r="D398" s="88" t="s">
        <v>69</v>
      </c>
      <c r="E398" s="88" t="s">
        <v>103</v>
      </c>
      <c r="F398" s="112" t="s">
        <v>152</v>
      </c>
      <c r="G398" s="88">
        <v>240</v>
      </c>
      <c r="H398" s="9" t="s">
        <v>456</v>
      </c>
      <c r="I398" s="33" t="s">
        <v>452</v>
      </c>
      <c r="J398" s="1061">
        <v>2273.5250000000001</v>
      </c>
      <c r="K398" s="1061"/>
      <c r="L398" s="1118">
        <v>2348.5070000000001</v>
      </c>
      <c r="M398" s="1567">
        <v>2512.9029999999998</v>
      </c>
      <c r="N398" s="1986">
        <f>1457.645+127.234+648.9+477.265</f>
        <v>2711.0439999999999</v>
      </c>
      <c r="O398" s="1947">
        <v>4596.67</v>
      </c>
      <c r="P398" s="1941">
        <v>4417.0990000000002</v>
      </c>
      <c r="Q398" s="1987">
        <v>1985.7539999999999</v>
      </c>
      <c r="R398" s="1988">
        <v>1991.306</v>
      </c>
    </row>
    <row r="399" spans="1:24" ht="39" customHeight="1" x14ac:dyDescent="0.25">
      <c r="A399" s="32"/>
      <c r="B399" s="2067" t="s">
        <v>97</v>
      </c>
      <c r="C399" s="88"/>
      <c r="D399" s="88"/>
      <c r="E399" s="88"/>
      <c r="F399" s="112" t="s">
        <v>152</v>
      </c>
      <c r="G399" s="119">
        <v>830</v>
      </c>
      <c r="H399" s="9"/>
      <c r="I399" s="33"/>
      <c r="J399" s="1061"/>
      <c r="K399" s="1061"/>
      <c r="L399" s="1118"/>
      <c r="M399" s="1567"/>
      <c r="N399" s="1986">
        <f>N400</f>
        <v>34.792000000000002</v>
      </c>
      <c r="O399" s="1947"/>
      <c r="P399" s="1941"/>
      <c r="Q399" s="1987"/>
      <c r="R399" s="1988"/>
    </row>
    <row r="400" spans="1:24" ht="39" customHeight="1" x14ac:dyDescent="0.3">
      <c r="A400" s="32"/>
      <c r="B400" s="336" t="s">
        <v>114</v>
      </c>
      <c r="C400" s="88"/>
      <c r="D400" s="88"/>
      <c r="E400" s="88"/>
      <c r="F400" s="112" t="s">
        <v>152</v>
      </c>
      <c r="G400" s="119">
        <v>830</v>
      </c>
      <c r="H400" s="9" t="s">
        <v>456</v>
      </c>
      <c r="I400" s="33" t="s">
        <v>495</v>
      </c>
      <c r="J400" s="1061"/>
      <c r="K400" s="1061"/>
      <c r="L400" s="1118"/>
      <c r="M400" s="1567"/>
      <c r="N400" s="1986">
        <f>4.792+30</f>
        <v>34.792000000000002</v>
      </c>
      <c r="O400" s="1947"/>
      <c r="P400" s="1941"/>
      <c r="Q400" s="1987"/>
      <c r="R400" s="1988"/>
    </row>
    <row r="401" spans="1:256" ht="39" customHeight="1" x14ac:dyDescent="0.25">
      <c r="A401" s="32"/>
      <c r="B401" s="1814" t="s">
        <v>94</v>
      </c>
      <c r="C401" s="88"/>
      <c r="D401" s="88"/>
      <c r="E401" s="88"/>
      <c r="F401" s="112" t="s">
        <v>152</v>
      </c>
      <c r="G401" s="119">
        <v>850</v>
      </c>
      <c r="H401" s="9"/>
      <c r="I401" s="33"/>
      <c r="J401" s="1061"/>
      <c r="K401" s="1061"/>
      <c r="L401" s="1118"/>
      <c r="M401" s="1567"/>
      <c r="N401" s="1986">
        <f>N402+N403</f>
        <v>15</v>
      </c>
      <c r="O401" s="1947"/>
      <c r="P401" s="1941"/>
      <c r="Q401" s="1987">
        <f>Q402+Q403</f>
        <v>0</v>
      </c>
      <c r="R401" s="1988">
        <f>R402+R403</f>
        <v>0</v>
      </c>
    </row>
    <row r="402" spans="1:256" ht="39" customHeight="1" x14ac:dyDescent="0.3">
      <c r="A402" s="32"/>
      <c r="B402" s="336" t="s">
        <v>114</v>
      </c>
      <c r="C402" s="118"/>
      <c r="D402" s="33"/>
      <c r="E402" s="33"/>
      <c r="F402" s="112" t="s">
        <v>152</v>
      </c>
      <c r="G402" s="119">
        <v>850</v>
      </c>
      <c r="H402" s="9" t="s">
        <v>456</v>
      </c>
      <c r="I402" s="33" t="s">
        <v>495</v>
      </c>
      <c r="J402" s="1060"/>
      <c r="K402" s="1058"/>
      <c r="L402" s="1062"/>
      <c r="M402" s="1556"/>
      <c r="N402" s="1998">
        <v>5</v>
      </c>
      <c r="O402" s="1947"/>
      <c r="P402" s="1941"/>
      <c r="Q402" s="2000"/>
      <c r="R402" s="2001"/>
    </row>
    <row r="403" spans="1:256" ht="38.5" customHeight="1" x14ac:dyDescent="0.3">
      <c r="A403" s="32"/>
      <c r="B403" s="2012" t="s">
        <v>105</v>
      </c>
      <c r="C403" s="88"/>
      <c r="D403" s="88"/>
      <c r="E403" s="88"/>
      <c r="F403" s="112" t="s">
        <v>152</v>
      </c>
      <c r="G403" s="88">
        <v>850</v>
      </c>
      <c r="H403" s="9" t="s">
        <v>456</v>
      </c>
      <c r="I403" s="33" t="s">
        <v>452</v>
      </c>
      <c r="J403" s="1061"/>
      <c r="K403" s="1061"/>
      <c r="L403" s="1061"/>
      <c r="M403" s="1125"/>
      <c r="N403" s="1986">
        <v>10</v>
      </c>
      <c r="O403" s="1947"/>
      <c r="P403" s="1941"/>
      <c r="Q403" s="1987"/>
      <c r="R403" s="1988"/>
    </row>
    <row r="404" spans="1:256" ht="21" hidden="1" customHeight="1" x14ac:dyDescent="0.3">
      <c r="A404" s="32"/>
      <c r="B404" s="2003" t="s">
        <v>16</v>
      </c>
      <c r="C404" s="88"/>
      <c r="D404" s="88" t="s">
        <v>69</v>
      </c>
      <c r="E404" s="88" t="s">
        <v>103</v>
      </c>
      <c r="F404" s="88">
        <v>9100004</v>
      </c>
      <c r="G404" s="88">
        <v>240</v>
      </c>
      <c r="H404" s="88"/>
      <c r="I404" s="88" t="s">
        <v>103</v>
      </c>
      <c r="J404" s="1061">
        <v>2215.5729999999999</v>
      </c>
      <c r="K404" s="1061"/>
      <c r="L404" s="1061">
        <f>J404*106%</f>
        <v>2348.50738</v>
      </c>
      <c r="M404" s="1125">
        <f>L404*107%</f>
        <v>2512.9028966000001</v>
      </c>
      <c r="N404" s="1986">
        <v>2215.5729999999999</v>
      </c>
      <c r="O404" s="1947">
        <v>2215.5729999999999</v>
      </c>
      <c r="P404" s="1941">
        <v>2215.5729999999999</v>
      </c>
      <c r="Q404" s="1987">
        <v>2215.5729999999999</v>
      </c>
      <c r="R404" s="1988">
        <v>2215.5729999999999</v>
      </c>
    </row>
    <row r="405" spans="1:256" ht="21" hidden="1" customHeight="1" x14ac:dyDescent="0.3">
      <c r="A405" s="32"/>
      <c r="B405" s="2003"/>
      <c r="C405" s="88"/>
      <c r="D405" s="88"/>
      <c r="E405" s="88"/>
      <c r="F405" s="88"/>
      <c r="G405" s="88"/>
      <c r="H405" s="88"/>
      <c r="I405" s="88"/>
      <c r="J405" s="1061"/>
      <c r="K405" s="1061"/>
      <c r="L405" s="1061"/>
      <c r="M405" s="1125"/>
      <c r="N405" s="1986"/>
      <c r="O405" s="1947"/>
      <c r="P405" s="1941"/>
      <c r="Q405" s="1987"/>
      <c r="R405" s="1988"/>
    </row>
    <row r="406" spans="1:256" ht="21" hidden="1" customHeight="1" x14ac:dyDescent="0.3">
      <c r="A406" s="32"/>
      <c r="B406" s="2003"/>
      <c r="C406" s="88"/>
      <c r="D406" s="88"/>
      <c r="E406" s="88"/>
      <c r="F406" s="88">
        <v>9100004</v>
      </c>
      <c r="G406" s="88"/>
      <c r="H406" s="88"/>
      <c r="I406" s="88" t="s">
        <v>103</v>
      </c>
      <c r="J406" s="1061" t="e">
        <f>#REF!+J398</f>
        <v>#REF!</v>
      </c>
      <c r="K406" s="1061"/>
      <c r="L406" s="1061" t="e">
        <f>#REF!+L398</f>
        <v>#REF!</v>
      </c>
      <c r="M406" s="1125" t="e">
        <f>#REF!+M398</f>
        <v>#REF!</v>
      </c>
      <c r="N406" s="1986" t="e">
        <f>#REF!+N398</f>
        <v>#REF!</v>
      </c>
      <c r="O406" s="1947" t="e">
        <f>#REF!+O398</f>
        <v>#REF!</v>
      </c>
      <c r="P406" s="1941" t="e">
        <f>#REF!+P398</f>
        <v>#REF!</v>
      </c>
      <c r="Q406" s="1987" t="e">
        <f>#REF!+Q398</f>
        <v>#REF!</v>
      </c>
      <c r="R406" s="1988" t="e">
        <f>#REF!+R398</f>
        <v>#REF!</v>
      </c>
    </row>
    <row r="407" spans="1:256" ht="39" x14ac:dyDescent="0.3">
      <c r="A407" s="32"/>
      <c r="B407" s="336" t="s">
        <v>151</v>
      </c>
      <c r="C407" s="88"/>
      <c r="D407" s="88"/>
      <c r="E407" s="88"/>
      <c r="F407" s="113" t="s">
        <v>623</v>
      </c>
      <c r="G407" s="94"/>
      <c r="H407" s="94"/>
      <c r="I407" s="94"/>
      <c r="J407" s="1064">
        <f>J408</f>
        <v>179.7</v>
      </c>
      <c r="K407" s="1064"/>
      <c r="L407" s="1064"/>
      <c r="M407" s="1552"/>
      <c r="N407" s="1982">
        <f t="shared" ref="N407:R408" si="108">N408</f>
        <v>50.6</v>
      </c>
      <c r="O407" s="1994">
        <f t="shared" si="108"/>
        <v>0</v>
      </c>
      <c r="P407" s="1939">
        <f t="shared" si="108"/>
        <v>0</v>
      </c>
      <c r="Q407" s="1995">
        <f t="shared" si="108"/>
        <v>0</v>
      </c>
      <c r="R407" s="1985">
        <f t="shared" si="108"/>
        <v>0</v>
      </c>
    </row>
    <row r="408" spans="1:256" ht="13" x14ac:dyDescent="0.3">
      <c r="A408" s="32"/>
      <c r="B408" s="336" t="s">
        <v>123</v>
      </c>
      <c r="C408" s="88"/>
      <c r="D408" s="88"/>
      <c r="E408" s="88"/>
      <c r="F408" s="112" t="s">
        <v>623</v>
      </c>
      <c r="G408" s="88">
        <v>540</v>
      </c>
      <c r="H408" s="88"/>
      <c r="I408" s="88"/>
      <c r="J408" s="1061">
        <f>J409</f>
        <v>179.7</v>
      </c>
      <c r="K408" s="1061"/>
      <c r="L408" s="1061"/>
      <c r="M408" s="1125"/>
      <c r="N408" s="1986">
        <f t="shared" si="108"/>
        <v>50.6</v>
      </c>
      <c r="O408" s="1947">
        <f t="shared" si="108"/>
        <v>0</v>
      </c>
      <c r="P408" s="1941">
        <f t="shared" si="108"/>
        <v>0</v>
      </c>
      <c r="Q408" s="1987">
        <f t="shared" si="108"/>
        <v>0</v>
      </c>
      <c r="R408" s="1988">
        <f t="shared" si="108"/>
        <v>0</v>
      </c>
    </row>
    <row r="409" spans="1:256" s="2" customFormat="1" ht="39" x14ac:dyDescent="0.3">
      <c r="A409" s="32"/>
      <c r="B409" s="2066" t="s">
        <v>105</v>
      </c>
      <c r="C409" s="88"/>
      <c r="D409" s="88"/>
      <c r="E409" s="88"/>
      <c r="F409" s="112" t="s">
        <v>623</v>
      </c>
      <c r="G409" s="88">
        <v>540</v>
      </c>
      <c r="H409" s="9" t="s">
        <v>456</v>
      </c>
      <c r="I409" s="33" t="s">
        <v>452</v>
      </c>
      <c r="J409" s="1061">
        <v>179.7</v>
      </c>
      <c r="K409" s="1061"/>
      <c r="L409" s="1061"/>
      <c r="M409" s="1125"/>
      <c r="N409" s="1986">
        <v>50.6</v>
      </c>
      <c r="O409" s="1947"/>
      <c r="P409" s="1941"/>
      <c r="Q409" s="1987"/>
      <c r="R409" s="1988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</row>
    <row r="410" spans="1:256" s="2" customFormat="1" ht="39" x14ac:dyDescent="0.25">
      <c r="A410" s="32"/>
      <c r="B410" s="1119" t="s">
        <v>149</v>
      </c>
      <c r="C410" s="88"/>
      <c r="D410" s="88"/>
      <c r="E410" s="88"/>
      <c r="F410" s="113" t="s">
        <v>148</v>
      </c>
      <c r="G410" s="94"/>
      <c r="H410" s="94"/>
      <c r="I410" s="94"/>
      <c r="J410" s="1064">
        <f>J411</f>
        <v>303</v>
      </c>
      <c r="K410" s="1064"/>
      <c r="L410" s="1064"/>
      <c r="M410" s="1552"/>
      <c r="N410" s="1982">
        <f t="shared" ref="N410:R411" si="109">N411</f>
        <v>307.5</v>
      </c>
      <c r="O410" s="1994">
        <f t="shared" si="109"/>
        <v>0</v>
      </c>
      <c r="P410" s="1939">
        <f t="shared" si="109"/>
        <v>0</v>
      </c>
      <c r="Q410" s="1995">
        <f t="shared" si="109"/>
        <v>0</v>
      </c>
      <c r="R410" s="1985">
        <f t="shared" si="109"/>
        <v>0</v>
      </c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</row>
    <row r="411" spans="1:256" s="2" customFormat="1" ht="13" x14ac:dyDescent="0.25">
      <c r="A411" s="32"/>
      <c r="B411" s="1119" t="s">
        <v>130</v>
      </c>
      <c r="C411" s="88"/>
      <c r="D411" s="88"/>
      <c r="E411" s="88"/>
      <c r="F411" s="112" t="s">
        <v>148</v>
      </c>
      <c r="G411" s="88">
        <v>540</v>
      </c>
      <c r="H411" s="88"/>
      <c r="I411" s="88"/>
      <c r="J411" s="1061">
        <f>J412</f>
        <v>303</v>
      </c>
      <c r="K411" s="1061"/>
      <c r="L411" s="1061"/>
      <c r="M411" s="1125"/>
      <c r="N411" s="1986">
        <f t="shared" si="109"/>
        <v>307.5</v>
      </c>
      <c r="O411" s="1947">
        <f t="shared" si="109"/>
        <v>0</v>
      </c>
      <c r="P411" s="1941">
        <f t="shared" si="109"/>
        <v>0</v>
      </c>
      <c r="Q411" s="1987">
        <f t="shared" si="109"/>
        <v>0</v>
      </c>
      <c r="R411" s="1988">
        <f t="shared" si="109"/>
        <v>0</v>
      </c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</row>
    <row r="412" spans="1:256" s="2" customFormat="1" ht="39" x14ac:dyDescent="0.3">
      <c r="A412" s="32"/>
      <c r="B412" s="2066" t="s">
        <v>105</v>
      </c>
      <c r="C412" s="88"/>
      <c r="D412" s="88"/>
      <c r="E412" s="88"/>
      <c r="F412" s="112" t="s">
        <v>148</v>
      </c>
      <c r="G412" s="88">
        <v>540</v>
      </c>
      <c r="H412" s="9" t="s">
        <v>456</v>
      </c>
      <c r="I412" s="33" t="s">
        <v>452</v>
      </c>
      <c r="J412" s="1061">
        <v>303</v>
      </c>
      <c r="K412" s="1061"/>
      <c r="L412" s="1061"/>
      <c r="M412" s="1125"/>
      <c r="N412" s="1986">
        <v>307.5</v>
      </c>
      <c r="O412" s="1947"/>
      <c r="P412" s="1941"/>
      <c r="Q412" s="1987"/>
      <c r="R412" s="1988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</row>
    <row r="413" spans="1:256" s="2" customFormat="1" ht="39" hidden="1" x14ac:dyDescent="0.25">
      <c r="A413" s="32"/>
      <c r="B413" s="1098" t="s">
        <v>147</v>
      </c>
      <c r="C413" s="88"/>
      <c r="D413" s="88"/>
      <c r="E413" s="88"/>
      <c r="F413" s="112" t="s">
        <v>146</v>
      </c>
      <c r="G413" s="88">
        <v>540</v>
      </c>
      <c r="H413" s="88"/>
      <c r="I413" s="88"/>
      <c r="J413" s="1061"/>
      <c r="K413" s="1061"/>
      <c r="L413" s="1061"/>
      <c r="M413" s="1125"/>
      <c r="N413" s="1986"/>
      <c r="O413" s="1947"/>
      <c r="P413" s="1941"/>
      <c r="Q413" s="1987"/>
      <c r="R413" s="1988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</row>
    <row r="414" spans="1:256" s="2" customFormat="1" ht="39" hidden="1" x14ac:dyDescent="0.3">
      <c r="A414" s="32"/>
      <c r="B414" s="2066" t="s">
        <v>105</v>
      </c>
      <c r="C414" s="88"/>
      <c r="D414" s="88"/>
      <c r="E414" s="88"/>
      <c r="F414" s="112" t="s">
        <v>146</v>
      </c>
      <c r="G414" s="88">
        <v>540</v>
      </c>
      <c r="H414" s="88"/>
      <c r="I414" s="88" t="s">
        <v>103</v>
      </c>
      <c r="J414" s="1061"/>
      <c r="K414" s="1061"/>
      <c r="L414" s="1061"/>
      <c r="M414" s="1125"/>
      <c r="N414" s="1986"/>
      <c r="O414" s="1947"/>
      <c r="P414" s="1941"/>
      <c r="Q414" s="1987"/>
      <c r="R414" s="1988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</row>
    <row r="415" spans="1:256" s="2" customFormat="1" ht="65" hidden="1" x14ac:dyDescent="0.25">
      <c r="A415" s="32"/>
      <c r="B415" s="1120" t="s">
        <v>145</v>
      </c>
      <c r="C415" s="88"/>
      <c r="D415" s="88"/>
      <c r="E415" s="88"/>
      <c r="F415" s="113" t="s">
        <v>144</v>
      </c>
      <c r="G415" s="94"/>
      <c r="H415" s="94"/>
      <c r="I415" s="94"/>
      <c r="J415" s="1064">
        <f>J416</f>
        <v>169.6</v>
      </c>
      <c r="K415" s="1064"/>
      <c r="L415" s="1064"/>
      <c r="M415" s="1552"/>
      <c r="N415" s="1982">
        <f t="shared" ref="N415:R416" si="110">N416</f>
        <v>0</v>
      </c>
      <c r="O415" s="1994">
        <f t="shared" si="110"/>
        <v>0</v>
      </c>
      <c r="P415" s="1939">
        <f t="shared" si="110"/>
        <v>0</v>
      </c>
      <c r="Q415" s="1995">
        <f t="shared" si="110"/>
        <v>0</v>
      </c>
      <c r="R415" s="1985">
        <f t="shared" si="110"/>
        <v>0</v>
      </c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</row>
    <row r="416" spans="1:256" s="2" customFormat="1" ht="13" hidden="1" x14ac:dyDescent="0.25">
      <c r="A416" s="32"/>
      <c r="B416" s="1120" t="s">
        <v>130</v>
      </c>
      <c r="C416" s="88"/>
      <c r="D416" s="88"/>
      <c r="E416" s="88"/>
      <c r="F416" s="112" t="s">
        <v>144</v>
      </c>
      <c r="G416" s="88">
        <v>540</v>
      </c>
      <c r="H416" s="88"/>
      <c r="I416" s="88"/>
      <c r="J416" s="1061">
        <f>J417</f>
        <v>169.6</v>
      </c>
      <c r="K416" s="1061"/>
      <c r="L416" s="1061"/>
      <c r="M416" s="1125"/>
      <c r="N416" s="1986">
        <f t="shared" si="110"/>
        <v>0</v>
      </c>
      <c r="O416" s="1947">
        <f t="shared" si="110"/>
        <v>0</v>
      </c>
      <c r="P416" s="1941">
        <f t="shared" si="110"/>
        <v>0</v>
      </c>
      <c r="Q416" s="1987">
        <f t="shared" si="110"/>
        <v>0</v>
      </c>
      <c r="R416" s="1988">
        <f t="shared" si="110"/>
        <v>0</v>
      </c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</row>
    <row r="417" spans="1:256" s="2" customFormat="1" ht="39" hidden="1" x14ac:dyDescent="0.3">
      <c r="A417" s="32"/>
      <c r="B417" s="2066" t="s">
        <v>105</v>
      </c>
      <c r="C417" s="88"/>
      <c r="D417" s="88"/>
      <c r="E417" s="88"/>
      <c r="F417" s="112" t="s">
        <v>144</v>
      </c>
      <c r="G417" s="88">
        <v>540</v>
      </c>
      <c r="H417" s="9" t="s">
        <v>456</v>
      </c>
      <c r="I417" s="33" t="s">
        <v>452</v>
      </c>
      <c r="J417" s="1061">
        <v>169.6</v>
      </c>
      <c r="K417" s="1061"/>
      <c r="L417" s="1061"/>
      <c r="M417" s="1125"/>
      <c r="N417" s="1986">
        <v>0</v>
      </c>
      <c r="O417" s="1947"/>
      <c r="P417" s="1941"/>
      <c r="Q417" s="1987">
        <v>0</v>
      </c>
      <c r="R417" s="1988">
        <v>0</v>
      </c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</row>
    <row r="418" spans="1:256" s="2" customFormat="1" ht="52" hidden="1" x14ac:dyDescent="0.25">
      <c r="A418" s="32"/>
      <c r="B418" s="1093" t="s">
        <v>111</v>
      </c>
      <c r="C418" s="88"/>
      <c r="D418" s="88"/>
      <c r="E418" s="88"/>
      <c r="F418" s="34" t="s">
        <v>110</v>
      </c>
      <c r="G418" s="88"/>
      <c r="H418" s="88"/>
      <c r="I418" s="88"/>
      <c r="J418" s="1064">
        <f>J419</f>
        <v>0</v>
      </c>
      <c r="K418" s="1061"/>
      <c r="L418" s="1061"/>
      <c r="M418" s="1125"/>
      <c r="N418" s="1982">
        <f t="shared" ref="N418:R421" si="111">N419</f>
        <v>0</v>
      </c>
      <c r="O418" s="1994">
        <f t="shared" si="111"/>
        <v>0</v>
      </c>
      <c r="P418" s="1939">
        <f t="shared" si="111"/>
        <v>0</v>
      </c>
      <c r="Q418" s="1995">
        <f t="shared" si="111"/>
        <v>0</v>
      </c>
      <c r="R418" s="1985">
        <f t="shared" si="111"/>
        <v>0</v>
      </c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</row>
    <row r="419" spans="1:256" s="2" customFormat="1" ht="21" hidden="1" customHeight="1" x14ac:dyDescent="0.25">
      <c r="A419" s="32"/>
      <c r="B419" s="1093" t="s">
        <v>109</v>
      </c>
      <c r="C419" s="88"/>
      <c r="D419" s="88"/>
      <c r="E419" s="88"/>
      <c r="F419" s="9" t="s">
        <v>108</v>
      </c>
      <c r="G419" s="88"/>
      <c r="H419" s="88"/>
      <c r="I419" s="88"/>
      <c r="J419" s="1061">
        <f>J420</f>
        <v>0</v>
      </c>
      <c r="K419" s="1061"/>
      <c r="L419" s="1061"/>
      <c r="M419" s="1125"/>
      <c r="N419" s="1986">
        <f t="shared" si="111"/>
        <v>0</v>
      </c>
      <c r="O419" s="1947">
        <f t="shared" si="111"/>
        <v>0</v>
      </c>
      <c r="P419" s="1941">
        <f t="shared" si="111"/>
        <v>0</v>
      </c>
      <c r="Q419" s="1987">
        <f t="shared" si="111"/>
        <v>0</v>
      </c>
      <c r="R419" s="1988">
        <f t="shared" si="111"/>
        <v>0</v>
      </c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</row>
    <row r="420" spans="1:256" s="2" customFormat="1" ht="26" hidden="1" x14ac:dyDescent="0.25">
      <c r="A420" s="32"/>
      <c r="B420" s="49" t="s">
        <v>107</v>
      </c>
      <c r="C420" s="88" t="s">
        <v>106</v>
      </c>
      <c r="D420" s="88" t="s">
        <v>69</v>
      </c>
      <c r="E420" s="88" t="s">
        <v>103</v>
      </c>
      <c r="F420" s="9" t="s">
        <v>104</v>
      </c>
      <c r="G420" s="9"/>
      <c r="H420" s="9"/>
      <c r="I420" s="88"/>
      <c r="J420" s="1060">
        <f>J421</f>
        <v>0</v>
      </c>
      <c r="K420" s="1059"/>
      <c r="L420" s="1059">
        <f>L421</f>
        <v>1223.8879999999999</v>
      </c>
      <c r="M420" s="1555">
        <f>M421</f>
        <v>1309.56</v>
      </c>
      <c r="N420" s="1998">
        <f t="shared" si="111"/>
        <v>0</v>
      </c>
      <c r="O420" s="1999">
        <f t="shared" si="111"/>
        <v>0</v>
      </c>
      <c r="P420" s="1937">
        <f t="shared" si="111"/>
        <v>0</v>
      </c>
      <c r="Q420" s="2000">
        <f t="shared" si="111"/>
        <v>0</v>
      </c>
      <c r="R420" s="2001">
        <f t="shared" si="111"/>
        <v>0</v>
      </c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</row>
    <row r="421" spans="1:256" s="2" customFormat="1" ht="13" hidden="1" x14ac:dyDescent="0.3">
      <c r="A421" s="32"/>
      <c r="B421" s="744" t="s">
        <v>7</v>
      </c>
      <c r="C421" s="88"/>
      <c r="D421" s="88" t="s">
        <v>69</v>
      </c>
      <c r="E421" s="88" t="s">
        <v>103</v>
      </c>
      <c r="F421" s="9" t="s">
        <v>104</v>
      </c>
      <c r="G421" s="88">
        <v>120</v>
      </c>
      <c r="H421" s="88"/>
      <c r="I421" s="88"/>
      <c r="J421" s="1060">
        <f>J422</f>
        <v>0</v>
      </c>
      <c r="K421" s="1060"/>
      <c r="L421" s="1061">
        <v>1223.8879999999999</v>
      </c>
      <c r="M421" s="1550">
        <v>1309.56</v>
      </c>
      <c r="N421" s="1998">
        <f t="shared" si="111"/>
        <v>0</v>
      </c>
      <c r="O421" s="1999">
        <f t="shared" si="111"/>
        <v>0</v>
      </c>
      <c r="P421" s="1937">
        <f t="shared" si="111"/>
        <v>0</v>
      </c>
      <c r="Q421" s="2000">
        <f t="shared" si="111"/>
        <v>0</v>
      </c>
      <c r="R421" s="2001">
        <f t="shared" si="111"/>
        <v>0</v>
      </c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</row>
    <row r="422" spans="1:256" s="2" customFormat="1" ht="39" hidden="1" x14ac:dyDescent="0.3">
      <c r="A422" s="32"/>
      <c r="B422" s="2066" t="s">
        <v>105</v>
      </c>
      <c r="C422" s="88"/>
      <c r="D422" s="88"/>
      <c r="E422" s="88"/>
      <c r="F422" s="9" t="s">
        <v>104</v>
      </c>
      <c r="G422" s="88">
        <v>120</v>
      </c>
      <c r="H422" s="88"/>
      <c r="I422" s="88" t="s">
        <v>103</v>
      </c>
      <c r="J422" s="1060"/>
      <c r="K422" s="1060"/>
      <c r="L422" s="1061">
        <v>1223.8879999999999</v>
      </c>
      <c r="M422" s="1550">
        <v>1309.56</v>
      </c>
      <c r="N422" s="1998"/>
      <c r="O422" s="1999"/>
      <c r="P422" s="1937"/>
      <c r="Q422" s="2000"/>
      <c r="R422" s="200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</row>
    <row r="423" spans="1:256" s="2" customFormat="1" ht="65" hidden="1" x14ac:dyDescent="0.25">
      <c r="A423" s="32"/>
      <c r="B423" s="90" t="s">
        <v>784</v>
      </c>
      <c r="C423" s="88"/>
      <c r="D423" s="88" t="s">
        <v>69</v>
      </c>
      <c r="E423" s="88" t="s">
        <v>103</v>
      </c>
      <c r="F423" s="34" t="s">
        <v>141</v>
      </c>
      <c r="G423" s="9"/>
      <c r="H423" s="9"/>
      <c r="I423" s="88"/>
      <c r="J423" s="1065">
        <f>J424</f>
        <v>0</v>
      </c>
      <c r="K423" s="1065"/>
      <c r="L423" s="1065">
        <f t="shared" ref="L423:R423" si="112">L424</f>
        <v>171.8</v>
      </c>
      <c r="M423" s="1552">
        <f t="shared" si="112"/>
        <v>171.8</v>
      </c>
      <c r="N423" s="1982">
        <f t="shared" si="112"/>
        <v>0</v>
      </c>
      <c r="O423" s="1994">
        <f t="shared" si="112"/>
        <v>0</v>
      </c>
      <c r="P423" s="1939">
        <f t="shared" si="112"/>
        <v>0</v>
      </c>
      <c r="Q423" s="1995">
        <f t="shared" si="112"/>
        <v>0</v>
      </c>
      <c r="R423" s="1985">
        <f t="shared" si="112"/>
        <v>0</v>
      </c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</row>
    <row r="424" spans="1:256" s="2" customFormat="1" ht="13" hidden="1" x14ac:dyDescent="0.3">
      <c r="A424" s="32"/>
      <c r="B424" s="744" t="s">
        <v>142</v>
      </c>
      <c r="C424" s="88"/>
      <c r="D424" s="88" t="s">
        <v>69</v>
      </c>
      <c r="E424" s="88" t="s">
        <v>103</v>
      </c>
      <c r="F424" s="9" t="s">
        <v>141</v>
      </c>
      <c r="G424" s="9" t="s">
        <v>140</v>
      </c>
      <c r="H424" s="9"/>
      <c r="I424" s="88"/>
      <c r="J424" s="1063">
        <f>J425</f>
        <v>0</v>
      </c>
      <c r="K424" s="1063"/>
      <c r="L424" s="1063">
        <v>171.8</v>
      </c>
      <c r="M424" s="1125">
        <v>171.8</v>
      </c>
      <c r="N424" s="1986">
        <f>N425</f>
        <v>0</v>
      </c>
      <c r="O424" s="1947">
        <f>O425</f>
        <v>0</v>
      </c>
      <c r="P424" s="1941">
        <f>P425</f>
        <v>0</v>
      </c>
      <c r="Q424" s="1987">
        <f>Q425</f>
        <v>0</v>
      </c>
      <c r="R424" s="1988">
        <f>R425</f>
        <v>0</v>
      </c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</row>
    <row r="425" spans="1:256" ht="39" hidden="1" x14ac:dyDescent="0.3">
      <c r="A425" s="32"/>
      <c r="B425" s="2066" t="s">
        <v>105</v>
      </c>
      <c r="C425" s="88"/>
      <c r="D425" s="88"/>
      <c r="E425" s="88"/>
      <c r="F425" s="9" t="s">
        <v>141</v>
      </c>
      <c r="G425" s="9" t="s">
        <v>140</v>
      </c>
      <c r="H425" s="9"/>
      <c r="I425" s="88" t="s">
        <v>103</v>
      </c>
      <c r="J425" s="1063"/>
      <c r="K425" s="1063"/>
      <c r="L425" s="1063">
        <v>171.8</v>
      </c>
      <c r="M425" s="1125">
        <v>171.8</v>
      </c>
      <c r="N425" s="1986"/>
      <c r="O425" s="1947"/>
      <c r="P425" s="1941"/>
      <c r="Q425" s="1987"/>
      <c r="R425" s="1988"/>
    </row>
    <row r="426" spans="1:256" ht="75.650000000000006" hidden="1" customHeight="1" x14ac:dyDescent="0.25">
      <c r="A426" s="32"/>
      <c r="B426" s="111" t="s">
        <v>785</v>
      </c>
      <c r="C426" s="88"/>
      <c r="D426" s="9" t="s">
        <v>69</v>
      </c>
      <c r="E426" s="9" t="s">
        <v>103</v>
      </c>
      <c r="F426" s="34" t="s">
        <v>136</v>
      </c>
      <c r="G426" s="9"/>
      <c r="H426" s="9"/>
      <c r="I426" s="9"/>
      <c r="J426" s="1065">
        <f>J428</f>
        <v>0</v>
      </c>
      <c r="K426" s="1065"/>
      <c r="L426" s="1065">
        <f t="shared" ref="L426:R426" si="113">L428</f>
        <v>263</v>
      </c>
      <c r="M426" s="1552">
        <f t="shared" si="113"/>
        <v>263</v>
      </c>
      <c r="N426" s="1982">
        <f t="shared" si="113"/>
        <v>0</v>
      </c>
      <c r="O426" s="1994">
        <f t="shared" si="113"/>
        <v>0</v>
      </c>
      <c r="P426" s="1939">
        <f t="shared" si="113"/>
        <v>0</v>
      </c>
      <c r="Q426" s="1995">
        <f t="shared" si="113"/>
        <v>0</v>
      </c>
      <c r="R426" s="1985">
        <f t="shared" si="113"/>
        <v>0</v>
      </c>
    </row>
    <row r="427" spans="1:256" ht="18" hidden="1" customHeight="1" x14ac:dyDescent="0.25">
      <c r="A427" s="32"/>
      <c r="B427" s="42" t="s">
        <v>138</v>
      </c>
      <c r="C427" s="9"/>
      <c r="D427" s="9" t="s">
        <v>69</v>
      </c>
      <c r="E427" s="9" t="s">
        <v>103</v>
      </c>
      <c r="F427" s="9" t="s">
        <v>137</v>
      </c>
      <c r="G427" s="9"/>
      <c r="H427" s="9"/>
      <c r="I427" s="9" t="s">
        <v>103</v>
      </c>
      <c r="J427" s="1062"/>
      <c r="K427" s="1062"/>
      <c r="L427" s="1062"/>
      <c r="M427" s="1556"/>
      <c r="N427" s="1998"/>
      <c r="O427" s="1999"/>
      <c r="P427" s="1937"/>
      <c r="Q427" s="2000"/>
      <c r="R427" s="2001"/>
    </row>
    <row r="428" spans="1:256" ht="15" hidden="1" customHeight="1" x14ac:dyDescent="0.3">
      <c r="A428" s="32"/>
      <c r="B428" s="744" t="s">
        <v>123</v>
      </c>
      <c r="C428" s="9"/>
      <c r="D428" s="9" t="s">
        <v>69</v>
      </c>
      <c r="E428" s="9" t="s">
        <v>103</v>
      </c>
      <c r="F428" s="9" t="s">
        <v>136</v>
      </c>
      <c r="G428" s="9" t="s">
        <v>120</v>
      </c>
      <c r="H428" s="9"/>
      <c r="I428" s="9"/>
      <c r="J428" s="1062">
        <f>J429</f>
        <v>0</v>
      </c>
      <c r="K428" s="1062"/>
      <c r="L428" s="1062">
        <v>263</v>
      </c>
      <c r="M428" s="1556">
        <v>263</v>
      </c>
      <c r="N428" s="1998">
        <f>N429</f>
        <v>0</v>
      </c>
      <c r="O428" s="1999">
        <f>O429</f>
        <v>0</v>
      </c>
      <c r="P428" s="1937">
        <f>P429</f>
        <v>0</v>
      </c>
      <c r="Q428" s="2000">
        <f>Q429</f>
        <v>0</v>
      </c>
      <c r="R428" s="2001">
        <f>R429</f>
        <v>0</v>
      </c>
    </row>
    <row r="429" spans="1:256" ht="42" hidden="1" customHeight="1" x14ac:dyDescent="0.3">
      <c r="A429" s="32"/>
      <c r="B429" s="2066" t="s">
        <v>105</v>
      </c>
      <c r="C429" s="9"/>
      <c r="D429" s="9"/>
      <c r="E429" s="9"/>
      <c r="F429" s="9" t="s">
        <v>136</v>
      </c>
      <c r="G429" s="9" t="s">
        <v>120</v>
      </c>
      <c r="H429" s="9"/>
      <c r="I429" s="9" t="s">
        <v>103</v>
      </c>
      <c r="J429" s="1062"/>
      <c r="K429" s="1062"/>
      <c r="L429" s="1062">
        <v>263</v>
      </c>
      <c r="M429" s="1556">
        <v>263</v>
      </c>
      <c r="N429" s="1998"/>
      <c r="O429" s="1999"/>
      <c r="P429" s="1937"/>
      <c r="Q429" s="2000"/>
      <c r="R429" s="2001"/>
    </row>
    <row r="430" spans="1:256" ht="99" hidden="1" customHeight="1" x14ac:dyDescent="0.25">
      <c r="A430" s="32"/>
      <c r="B430" s="110" t="s">
        <v>786</v>
      </c>
      <c r="C430" s="9"/>
      <c r="D430" s="9" t="s">
        <v>69</v>
      </c>
      <c r="E430" s="9" t="s">
        <v>103</v>
      </c>
      <c r="F430" s="34" t="s">
        <v>132</v>
      </c>
      <c r="G430" s="9"/>
      <c r="H430" s="9"/>
      <c r="I430" s="9"/>
      <c r="J430" s="1058">
        <f>J431</f>
        <v>0</v>
      </c>
      <c r="K430" s="1058"/>
      <c r="L430" s="1058">
        <f t="shared" ref="L430:R430" si="114">L431</f>
        <v>130.1</v>
      </c>
      <c r="M430" s="1555">
        <f t="shared" si="114"/>
        <v>130.1</v>
      </c>
      <c r="N430" s="1989">
        <f t="shared" si="114"/>
        <v>0</v>
      </c>
      <c r="O430" s="1990">
        <f t="shared" si="114"/>
        <v>0</v>
      </c>
      <c r="P430" s="1934">
        <f t="shared" si="114"/>
        <v>0</v>
      </c>
      <c r="Q430" s="1991">
        <f t="shared" si="114"/>
        <v>0</v>
      </c>
      <c r="R430" s="1992">
        <f t="shared" si="114"/>
        <v>0</v>
      </c>
    </row>
    <row r="431" spans="1:256" ht="15" hidden="1" customHeight="1" x14ac:dyDescent="0.3">
      <c r="A431" s="32"/>
      <c r="B431" s="744" t="s">
        <v>123</v>
      </c>
      <c r="C431" s="9"/>
      <c r="D431" s="9" t="s">
        <v>69</v>
      </c>
      <c r="E431" s="9" t="s">
        <v>103</v>
      </c>
      <c r="F431" s="9" t="s">
        <v>132</v>
      </c>
      <c r="G431" s="9" t="s">
        <v>120</v>
      </c>
      <c r="H431" s="9"/>
      <c r="I431" s="9"/>
      <c r="J431" s="1062">
        <f>J433</f>
        <v>0</v>
      </c>
      <c r="K431" s="1062"/>
      <c r="L431" s="1062">
        <v>130.1</v>
      </c>
      <c r="M431" s="1556">
        <v>130.1</v>
      </c>
      <c r="N431" s="1998">
        <f>N433</f>
        <v>0</v>
      </c>
      <c r="O431" s="1999">
        <f>O433</f>
        <v>0</v>
      </c>
      <c r="P431" s="1937">
        <f>P433</f>
        <v>0</v>
      </c>
      <c r="Q431" s="2000">
        <f>Q433</f>
        <v>0</v>
      </c>
      <c r="R431" s="2001">
        <f>R433</f>
        <v>0</v>
      </c>
    </row>
    <row r="432" spans="1:256" ht="60.65" hidden="1" customHeight="1" x14ac:dyDescent="0.25">
      <c r="A432" s="32"/>
      <c r="B432" s="109" t="s">
        <v>134</v>
      </c>
      <c r="C432" s="88"/>
      <c r="D432" s="88" t="s">
        <v>69</v>
      </c>
      <c r="E432" s="88" t="s">
        <v>103</v>
      </c>
      <c r="F432" s="9" t="s">
        <v>133</v>
      </c>
      <c r="G432" s="9"/>
      <c r="H432" s="9"/>
      <c r="I432" s="88" t="s">
        <v>103</v>
      </c>
      <c r="J432" s="1062"/>
      <c r="K432" s="1062"/>
      <c r="L432" s="1062"/>
      <c r="M432" s="1556"/>
      <c r="N432" s="1998"/>
      <c r="O432" s="1999"/>
      <c r="P432" s="1937"/>
      <c r="Q432" s="2000"/>
      <c r="R432" s="2001"/>
    </row>
    <row r="433" spans="1:256" ht="40.15" hidden="1" customHeight="1" x14ac:dyDescent="0.3">
      <c r="A433" s="32"/>
      <c r="B433" s="2012" t="s">
        <v>105</v>
      </c>
      <c r="C433" s="88"/>
      <c r="D433" s="88"/>
      <c r="E433" s="88"/>
      <c r="F433" s="9" t="s">
        <v>132</v>
      </c>
      <c r="G433" s="9" t="s">
        <v>120</v>
      </c>
      <c r="H433" s="9"/>
      <c r="I433" s="9" t="s">
        <v>103</v>
      </c>
      <c r="J433" s="1062"/>
      <c r="K433" s="1062"/>
      <c r="L433" s="1062">
        <v>130.1</v>
      </c>
      <c r="M433" s="1556">
        <v>130.1</v>
      </c>
      <c r="N433" s="1998"/>
      <c r="O433" s="1999"/>
      <c r="P433" s="1937"/>
      <c r="Q433" s="2000"/>
      <c r="R433" s="2001"/>
    </row>
    <row r="434" spans="1:256" ht="40.15" customHeight="1" x14ac:dyDescent="0.3">
      <c r="A434" s="32"/>
      <c r="B434" s="336" t="s">
        <v>131</v>
      </c>
      <c r="C434" s="88"/>
      <c r="D434" s="88"/>
      <c r="E434" s="88"/>
      <c r="F434" s="34" t="s">
        <v>129</v>
      </c>
      <c r="G434" s="34"/>
      <c r="H434" s="34"/>
      <c r="I434" s="34"/>
      <c r="J434" s="1058">
        <f>J436</f>
        <v>170.1</v>
      </c>
      <c r="K434" s="1058"/>
      <c r="L434" s="1058"/>
      <c r="M434" s="1555"/>
      <c r="N434" s="1989">
        <f>N436</f>
        <v>419.95400000000001</v>
      </c>
      <c r="O434" s="1990">
        <f>O436</f>
        <v>0</v>
      </c>
      <c r="P434" s="1934">
        <f>P436</f>
        <v>0</v>
      </c>
      <c r="Q434" s="1991"/>
      <c r="R434" s="1992"/>
    </row>
    <row r="435" spans="1:256" ht="13" x14ac:dyDescent="0.25">
      <c r="A435" s="32"/>
      <c r="B435" s="1120" t="s">
        <v>130</v>
      </c>
      <c r="C435" s="88"/>
      <c r="D435" s="88"/>
      <c r="E435" s="88"/>
      <c r="F435" s="9" t="s">
        <v>129</v>
      </c>
      <c r="G435" s="9" t="s">
        <v>120</v>
      </c>
      <c r="H435" s="9"/>
      <c r="I435" s="9"/>
      <c r="J435" s="1062"/>
      <c r="K435" s="1062"/>
      <c r="L435" s="1062"/>
      <c r="M435" s="1556"/>
      <c r="N435" s="1998">
        <f>N436</f>
        <v>419.95400000000001</v>
      </c>
      <c r="O435" s="1999">
        <f>O436</f>
        <v>0</v>
      </c>
      <c r="P435" s="1937">
        <f>P436</f>
        <v>0</v>
      </c>
      <c r="Q435" s="2000"/>
      <c r="R435" s="2001"/>
    </row>
    <row r="436" spans="1:256" ht="26" x14ac:dyDescent="0.3">
      <c r="A436" s="32"/>
      <c r="B436" s="2012" t="s">
        <v>122</v>
      </c>
      <c r="C436" s="88"/>
      <c r="D436" s="88"/>
      <c r="E436" s="88"/>
      <c r="F436" s="9" t="s">
        <v>129</v>
      </c>
      <c r="G436" s="9" t="s">
        <v>120</v>
      </c>
      <c r="H436" s="9" t="s">
        <v>456</v>
      </c>
      <c r="I436" s="33" t="s">
        <v>585</v>
      </c>
      <c r="J436" s="1062">
        <v>170.1</v>
      </c>
      <c r="K436" s="1062"/>
      <c r="L436" s="1062"/>
      <c r="M436" s="1556"/>
      <c r="N436" s="1998">
        <f>419.955-0.001</f>
        <v>419.95400000000001</v>
      </c>
      <c r="O436" s="1999"/>
      <c r="P436" s="1937"/>
      <c r="Q436" s="2000"/>
      <c r="R436" s="2001"/>
    </row>
    <row r="437" spans="1:256" ht="52" x14ac:dyDescent="0.25">
      <c r="A437" s="32"/>
      <c r="B437" s="107" t="s">
        <v>128</v>
      </c>
      <c r="C437" s="88"/>
      <c r="D437" s="88" t="s">
        <v>69</v>
      </c>
      <c r="E437" s="88" t="s">
        <v>103</v>
      </c>
      <c r="F437" s="34" t="s">
        <v>127</v>
      </c>
      <c r="G437" s="9"/>
      <c r="H437" s="9"/>
      <c r="I437" s="88"/>
      <c r="J437" s="1058">
        <f>J438+J440</f>
        <v>547.5</v>
      </c>
      <c r="K437" s="1058"/>
      <c r="L437" s="1058">
        <f t="shared" ref="L437:R437" si="115">L438+L440</f>
        <v>546.70000000000005</v>
      </c>
      <c r="M437" s="1555">
        <f t="shared" si="115"/>
        <v>546.70000000000005</v>
      </c>
      <c r="N437" s="2068">
        <f t="shared" si="115"/>
        <v>7.04</v>
      </c>
      <c r="O437" s="2069">
        <f t="shared" si="115"/>
        <v>37.200000000000003</v>
      </c>
      <c r="P437" s="2070">
        <f t="shared" si="115"/>
        <v>37.200000000000003</v>
      </c>
      <c r="Q437" s="2071">
        <f t="shared" si="115"/>
        <v>7.1</v>
      </c>
      <c r="R437" s="2072">
        <f t="shared" si="115"/>
        <v>7.1</v>
      </c>
      <c r="S437" s="830">
        <v>-648.9</v>
      </c>
      <c r="T437" s="830">
        <v>-648.9</v>
      </c>
      <c r="U437" s="830">
        <v>-648.9</v>
      </c>
    </row>
    <row r="438" spans="1:256" ht="13" hidden="1" x14ac:dyDescent="0.3">
      <c r="A438" s="32"/>
      <c r="B438" s="2056" t="s">
        <v>7</v>
      </c>
      <c r="C438" s="88"/>
      <c r="D438" s="88" t="s">
        <v>69</v>
      </c>
      <c r="E438" s="88" t="s">
        <v>103</v>
      </c>
      <c r="F438" s="9" t="s">
        <v>127</v>
      </c>
      <c r="G438" s="9" t="s">
        <v>5</v>
      </c>
      <c r="H438" s="9"/>
      <c r="I438" s="88"/>
      <c r="J438" s="1062">
        <f>J439</f>
        <v>510.3</v>
      </c>
      <c r="K438" s="1062"/>
      <c r="L438" s="1062">
        <f>546.7-45.2</f>
        <v>501.50000000000006</v>
      </c>
      <c r="M438" s="1556">
        <f>546.7-45.2</f>
        <v>501.50000000000006</v>
      </c>
      <c r="N438" s="1998">
        <f>N439</f>
        <v>0</v>
      </c>
      <c r="O438" s="1999">
        <f>O439</f>
        <v>0</v>
      </c>
      <c r="P438" s="1937">
        <f>P439</f>
        <v>0</v>
      </c>
      <c r="Q438" s="2000">
        <f>Q439</f>
        <v>0</v>
      </c>
      <c r="R438" s="2001">
        <f>R439</f>
        <v>0</v>
      </c>
    </row>
    <row r="439" spans="1:256" s="6" customFormat="1" ht="33.65" hidden="1" customHeight="1" x14ac:dyDescent="0.25">
      <c r="A439" s="839"/>
      <c r="B439" s="52" t="s">
        <v>833</v>
      </c>
      <c r="C439" s="76"/>
      <c r="D439" s="76"/>
      <c r="E439" s="76"/>
      <c r="F439" s="9" t="s">
        <v>127</v>
      </c>
      <c r="G439" s="9" t="s">
        <v>5</v>
      </c>
      <c r="H439" s="9" t="s">
        <v>495</v>
      </c>
      <c r="I439" s="9" t="s">
        <v>832</v>
      </c>
      <c r="J439" s="1121">
        <f>392.863+117.437</f>
        <v>510.3</v>
      </c>
      <c r="K439" s="1121"/>
      <c r="L439" s="1121">
        <f>546.7-45.2</f>
        <v>501.50000000000006</v>
      </c>
      <c r="M439" s="1568">
        <f>546.7-45.2</f>
        <v>501.50000000000006</v>
      </c>
      <c r="N439" s="1998"/>
      <c r="O439" s="2073"/>
      <c r="P439" s="2074"/>
      <c r="Q439" s="2000"/>
      <c r="R439" s="2001"/>
      <c r="S439" s="750"/>
      <c r="T439" s="750"/>
      <c r="U439" s="750"/>
      <c r="V439" s="750"/>
      <c r="W439" s="750"/>
      <c r="X439" s="750"/>
    </row>
    <row r="440" spans="1:256" ht="26" x14ac:dyDescent="0.25">
      <c r="A440" s="32"/>
      <c r="B440" s="1993" t="s">
        <v>4</v>
      </c>
      <c r="C440" s="88"/>
      <c r="D440" s="88"/>
      <c r="E440" s="88"/>
      <c r="F440" s="9" t="s">
        <v>127</v>
      </c>
      <c r="G440" s="9" t="s">
        <v>1</v>
      </c>
      <c r="H440" s="9"/>
      <c r="I440" s="88"/>
      <c r="J440" s="1062">
        <f>J441</f>
        <v>37.200000000000003</v>
      </c>
      <c r="K440" s="1062"/>
      <c r="L440" s="1062">
        <v>45.2</v>
      </c>
      <c r="M440" s="1556">
        <v>45.2</v>
      </c>
      <c r="N440" s="1998">
        <f>N441</f>
        <v>7.04</v>
      </c>
      <c r="O440" s="1999">
        <f>O441</f>
        <v>37.200000000000003</v>
      </c>
      <c r="P440" s="1937">
        <f>P441</f>
        <v>37.200000000000003</v>
      </c>
      <c r="Q440" s="2000">
        <f>Q441</f>
        <v>7.1</v>
      </c>
      <c r="R440" s="2001">
        <f>R441</f>
        <v>7.1</v>
      </c>
    </row>
    <row r="441" spans="1:256" s="2" customFormat="1" ht="39" x14ac:dyDescent="0.25">
      <c r="A441" s="32"/>
      <c r="B441" s="52" t="s">
        <v>833</v>
      </c>
      <c r="C441" s="88"/>
      <c r="D441" s="88"/>
      <c r="E441" s="88"/>
      <c r="F441" s="9" t="s">
        <v>127</v>
      </c>
      <c r="G441" s="9" t="s">
        <v>1</v>
      </c>
      <c r="H441" s="9" t="s">
        <v>495</v>
      </c>
      <c r="I441" s="9" t="s">
        <v>832</v>
      </c>
      <c r="J441" s="1062">
        <f>17.5+15.7+4</f>
        <v>37.200000000000003</v>
      </c>
      <c r="K441" s="1062"/>
      <c r="L441" s="1062">
        <v>45.2</v>
      </c>
      <c r="M441" s="1556">
        <v>45.2</v>
      </c>
      <c r="N441" s="1998">
        <f>7.1-0.06</f>
        <v>7.04</v>
      </c>
      <c r="O441" s="1999">
        <v>37.200000000000003</v>
      </c>
      <c r="P441" s="1937">
        <v>37.200000000000003</v>
      </c>
      <c r="Q441" s="2000">
        <v>7.1</v>
      </c>
      <c r="R441" s="2001">
        <v>7.1</v>
      </c>
      <c r="S441" s="178">
        <v>7.1</v>
      </c>
      <c r="T441" s="178">
        <v>7.1</v>
      </c>
      <c r="U441" s="178">
        <v>7.1</v>
      </c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</row>
    <row r="442" spans="1:256" s="2" customFormat="1" ht="42" hidden="1" customHeight="1" x14ac:dyDescent="0.25">
      <c r="A442" s="32"/>
      <c r="B442" s="52" t="s">
        <v>122</v>
      </c>
      <c r="C442" s="9"/>
      <c r="D442" s="94" t="s">
        <v>69</v>
      </c>
      <c r="E442" s="34" t="s">
        <v>119</v>
      </c>
      <c r="F442" s="94" t="s">
        <v>71</v>
      </c>
      <c r="G442" s="94" t="s">
        <v>71</v>
      </c>
      <c r="H442" s="94"/>
      <c r="I442" s="34"/>
      <c r="J442" s="1065">
        <f>J443</f>
        <v>0</v>
      </c>
      <c r="K442" s="1065"/>
      <c r="L442" s="1065">
        <f t="shared" ref="L442:R445" si="116">L443</f>
        <v>99.305000000000007</v>
      </c>
      <c r="M442" s="1552">
        <f t="shared" si="116"/>
        <v>99.305000000000007</v>
      </c>
      <c r="N442" s="1982">
        <f t="shared" si="116"/>
        <v>0</v>
      </c>
      <c r="O442" s="1994">
        <f t="shared" si="116"/>
        <v>0</v>
      </c>
      <c r="P442" s="1939">
        <f t="shared" si="116"/>
        <v>0</v>
      </c>
      <c r="Q442" s="1995">
        <f t="shared" si="116"/>
        <v>0</v>
      </c>
      <c r="R442" s="1985">
        <f t="shared" si="116"/>
        <v>0</v>
      </c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</row>
    <row r="443" spans="1:256" s="2" customFormat="1" ht="39" hidden="1" x14ac:dyDescent="0.25">
      <c r="A443" s="32"/>
      <c r="B443" s="52" t="s">
        <v>126</v>
      </c>
      <c r="C443" s="9"/>
      <c r="D443" s="94" t="s">
        <v>69</v>
      </c>
      <c r="E443" s="94" t="s">
        <v>119</v>
      </c>
      <c r="F443" s="34" t="s">
        <v>125</v>
      </c>
      <c r="G443" s="79"/>
      <c r="H443" s="79"/>
      <c r="I443" s="94"/>
      <c r="J443" s="1065">
        <f>J444</f>
        <v>0</v>
      </c>
      <c r="K443" s="1065"/>
      <c r="L443" s="1065">
        <f t="shared" si="116"/>
        <v>99.305000000000007</v>
      </c>
      <c r="M443" s="1552">
        <f t="shared" si="116"/>
        <v>99.305000000000007</v>
      </c>
      <c r="N443" s="1982">
        <f t="shared" si="116"/>
        <v>0</v>
      </c>
      <c r="O443" s="1994">
        <f t="shared" si="116"/>
        <v>0</v>
      </c>
      <c r="P443" s="1939">
        <f t="shared" si="116"/>
        <v>0</v>
      </c>
      <c r="Q443" s="1995">
        <f t="shared" si="116"/>
        <v>0</v>
      </c>
      <c r="R443" s="1985">
        <f t="shared" si="116"/>
        <v>0</v>
      </c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</row>
    <row r="444" spans="1:256" s="2" customFormat="1" ht="68.5" hidden="1" customHeight="1" x14ac:dyDescent="0.25">
      <c r="A444" s="32"/>
      <c r="B444" s="105" t="s">
        <v>787</v>
      </c>
      <c r="C444" s="9"/>
      <c r="D444" s="88" t="s">
        <v>69</v>
      </c>
      <c r="E444" s="88" t="s">
        <v>119</v>
      </c>
      <c r="F444" s="34" t="s">
        <v>121</v>
      </c>
      <c r="G444" s="9"/>
      <c r="H444" s="9"/>
      <c r="I444" s="88"/>
      <c r="J444" s="1062">
        <f>J445</f>
        <v>0</v>
      </c>
      <c r="K444" s="1062"/>
      <c r="L444" s="1062">
        <f t="shared" si="116"/>
        <v>99.305000000000007</v>
      </c>
      <c r="M444" s="1556">
        <f t="shared" si="116"/>
        <v>99.305000000000007</v>
      </c>
      <c r="N444" s="1998">
        <f t="shared" si="116"/>
        <v>0</v>
      </c>
      <c r="O444" s="1999">
        <f t="shared" si="116"/>
        <v>0</v>
      </c>
      <c r="P444" s="1937">
        <f t="shared" si="116"/>
        <v>0</v>
      </c>
      <c r="Q444" s="2000">
        <f t="shared" si="116"/>
        <v>0</v>
      </c>
      <c r="R444" s="2001">
        <f t="shared" si="116"/>
        <v>0</v>
      </c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</row>
    <row r="445" spans="1:256" s="2" customFormat="1" ht="13.9" hidden="1" customHeight="1" x14ac:dyDescent="0.3">
      <c r="A445" s="32"/>
      <c r="B445" s="2003" t="s">
        <v>123</v>
      </c>
      <c r="C445" s="9"/>
      <c r="D445" s="88" t="s">
        <v>69</v>
      </c>
      <c r="E445" s="88" t="s">
        <v>119</v>
      </c>
      <c r="F445" s="9" t="s">
        <v>121</v>
      </c>
      <c r="G445" s="9" t="s">
        <v>120</v>
      </c>
      <c r="H445" s="9"/>
      <c r="I445" s="88"/>
      <c r="J445" s="1062">
        <f>J446</f>
        <v>0</v>
      </c>
      <c r="K445" s="1062"/>
      <c r="L445" s="1062">
        <v>99.305000000000007</v>
      </c>
      <c r="M445" s="1556">
        <v>99.305000000000007</v>
      </c>
      <c r="N445" s="1998">
        <f t="shared" si="116"/>
        <v>0</v>
      </c>
      <c r="O445" s="1999">
        <f t="shared" si="116"/>
        <v>0</v>
      </c>
      <c r="P445" s="1937">
        <f t="shared" si="116"/>
        <v>0</v>
      </c>
      <c r="Q445" s="2000">
        <f t="shared" si="116"/>
        <v>0</v>
      </c>
      <c r="R445" s="2001">
        <f t="shared" si="116"/>
        <v>0</v>
      </c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</row>
    <row r="446" spans="1:256" s="2" customFormat="1" ht="28.15" hidden="1" customHeight="1" x14ac:dyDescent="0.3">
      <c r="A446" s="32"/>
      <c r="B446" s="2012" t="s">
        <v>122</v>
      </c>
      <c r="C446" s="9"/>
      <c r="D446" s="88"/>
      <c r="E446" s="88"/>
      <c r="F446" s="9" t="s">
        <v>121</v>
      </c>
      <c r="G446" s="9" t="s">
        <v>120</v>
      </c>
      <c r="H446" s="9"/>
      <c r="I446" s="88" t="s">
        <v>119</v>
      </c>
      <c r="J446" s="1062"/>
      <c r="K446" s="1062"/>
      <c r="L446" s="1062">
        <v>99.305000000000007</v>
      </c>
      <c r="M446" s="1556">
        <v>99.305000000000007</v>
      </c>
      <c r="N446" s="1998"/>
      <c r="O446" s="1999"/>
      <c r="P446" s="1937"/>
      <c r="Q446" s="2000"/>
      <c r="R446" s="200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</row>
    <row r="447" spans="1:256" s="2" customFormat="1" ht="54.65" hidden="1" customHeight="1" x14ac:dyDescent="0.25">
      <c r="A447" s="32"/>
      <c r="B447" s="1093" t="s">
        <v>118</v>
      </c>
      <c r="C447" s="9"/>
      <c r="D447" s="88"/>
      <c r="E447" s="88"/>
      <c r="F447" s="34" t="s">
        <v>117</v>
      </c>
      <c r="G447" s="9"/>
      <c r="H447" s="9"/>
      <c r="I447" s="88"/>
      <c r="J447" s="1062"/>
      <c r="K447" s="1062"/>
      <c r="L447" s="1062"/>
      <c r="M447" s="1556"/>
      <c r="N447" s="1998">
        <f>N448</f>
        <v>0</v>
      </c>
      <c r="O447" s="1999">
        <f t="shared" ref="O447:R450" si="117">O448</f>
        <v>659.56200000000001</v>
      </c>
      <c r="P447" s="1937">
        <f t="shared" si="117"/>
        <v>725.51900000000001</v>
      </c>
      <c r="Q447" s="2000">
        <f t="shared" si="117"/>
        <v>0</v>
      </c>
      <c r="R447" s="2001">
        <f t="shared" si="117"/>
        <v>0</v>
      </c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</row>
    <row r="448" spans="1:256" s="2" customFormat="1" ht="28.15" hidden="1" customHeight="1" x14ac:dyDescent="0.25">
      <c r="A448" s="32"/>
      <c r="B448" s="1093" t="s">
        <v>109</v>
      </c>
      <c r="C448" s="9"/>
      <c r="D448" s="88"/>
      <c r="E448" s="88"/>
      <c r="F448" s="9" t="s">
        <v>116</v>
      </c>
      <c r="G448" s="9"/>
      <c r="H448" s="9"/>
      <c r="I448" s="88"/>
      <c r="J448" s="1062"/>
      <c r="K448" s="1062"/>
      <c r="L448" s="1062"/>
      <c r="M448" s="1556"/>
      <c r="N448" s="1998">
        <f>N449</f>
        <v>0</v>
      </c>
      <c r="O448" s="1999">
        <f t="shared" si="117"/>
        <v>659.56200000000001</v>
      </c>
      <c r="P448" s="1937">
        <f t="shared" si="117"/>
        <v>725.51900000000001</v>
      </c>
      <c r="Q448" s="2000">
        <f t="shared" si="117"/>
        <v>0</v>
      </c>
      <c r="R448" s="2001">
        <f t="shared" si="117"/>
        <v>0</v>
      </c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</row>
    <row r="449" spans="1:256" s="2" customFormat="1" ht="28.15" hidden="1" customHeight="1" x14ac:dyDescent="0.25">
      <c r="A449" s="32"/>
      <c r="B449" s="1110" t="s">
        <v>115</v>
      </c>
      <c r="C449" s="9"/>
      <c r="D449" s="88"/>
      <c r="E449" s="88"/>
      <c r="F449" s="9" t="s">
        <v>113</v>
      </c>
      <c r="G449" s="9"/>
      <c r="H449" s="9"/>
      <c r="I449" s="88"/>
      <c r="J449" s="1062"/>
      <c r="K449" s="1062"/>
      <c r="L449" s="1062"/>
      <c r="M449" s="1556"/>
      <c r="N449" s="1998">
        <f>N450</f>
        <v>0</v>
      </c>
      <c r="O449" s="1999">
        <f t="shared" si="117"/>
        <v>659.56200000000001</v>
      </c>
      <c r="P449" s="1937">
        <f t="shared" si="117"/>
        <v>725.51900000000001</v>
      </c>
      <c r="Q449" s="2000">
        <f t="shared" si="117"/>
        <v>0</v>
      </c>
      <c r="R449" s="2001">
        <f t="shared" si="117"/>
        <v>0</v>
      </c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</row>
    <row r="450" spans="1:256" s="2" customFormat="1" ht="16.149999999999999" hidden="1" customHeight="1" x14ac:dyDescent="0.3">
      <c r="A450" s="32"/>
      <c r="B450" s="744" t="s">
        <v>7</v>
      </c>
      <c r="C450" s="9"/>
      <c r="D450" s="88"/>
      <c r="E450" s="88"/>
      <c r="F450" s="9" t="s">
        <v>113</v>
      </c>
      <c r="G450" s="9" t="s">
        <v>5</v>
      </c>
      <c r="H450" s="9"/>
      <c r="I450" s="88"/>
      <c r="J450" s="1062"/>
      <c r="K450" s="1062"/>
      <c r="L450" s="1062"/>
      <c r="M450" s="1556"/>
      <c r="N450" s="1998">
        <f>N451</f>
        <v>0</v>
      </c>
      <c r="O450" s="1999">
        <f t="shared" si="117"/>
        <v>659.56200000000001</v>
      </c>
      <c r="P450" s="1937">
        <f t="shared" si="117"/>
        <v>725.51900000000001</v>
      </c>
      <c r="Q450" s="2000">
        <f t="shared" si="117"/>
        <v>0</v>
      </c>
      <c r="R450" s="2001">
        <f t="shared" si="117"/>
        <v>0</v>
      </c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</row>
    <row r="451" spans="1:256" s="2" customFormat="1" ht="40.15" hidden="1" customHeight="1" x14ac:dyDescent="0.3">
      <c r="A451" s="32"/>
      <c r="B451" s="336" t="s">
        <v>114</v>
      </c>
      <c r="C451" s="9"/>
      <c r="D451" s="88"/>
      <c r="E451" s="88"/>
      <c r="F451" s="9" t="s">
        <v>113</v>
      </c>
      <c r="G451" s="9" t="s">
        <v>5</v>
      </c>
      <c r="H451" s="9" t="s">
        <v>456</v>
      </c>
      <c r="I451" s="9" t="s">
        <v>495</v>
      </c>
      <c r="J451" s="1062"/>
      <c r="K451" s="1062"/>
      <c r="L451" s="1062"/>
      <c r="M451" s="1556"/>
      <c r="N451" s="2075">
        <f>530.24-530.24</f>
        <v>0</v>
      </c>
      <c r="O451" s="1999">
        <v>659.56200000000001</v>
      </c>
      <c r="P451" s="1937">
        <v>725.51900000000001</v>
      </c>
      <c r="Q451" s="2076">
        <f>530.24-530.24</f>
        <v>0</v>
      </c>
      <c r="R451" s="2077">
        <f>530.24-530.24</f>
        <v>0</v>
      </c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</row>
    <row r="452" spans="1:256" s="2" customFormat="1" ht="52" x14ac:dyDescent="0.25">
      <c r="A452" s="32"/>
      <c r="B452" s="1093" t="s">
        <v>111</v>
      </c>
      <c r="C452" s="88"/>
      <c r="D452" s="88"/>
      <c r="E452" s="88"/>
      <c r="F452" s="34" t="s">
        <v>110</v>
      </c>
      <c r="G452" s="88"/>
      <c r="H452" s="88"/>
      <c r="I452" s="88"/>
      <c r="J452" s="1064">
        <f>J453</f>
        <v>1183.2429999999999</v>
      </c>
      <c r="K452" s="1061"/>
      <c r="L452" s="1061"/>
      <c r="M452" s="1125"/>
      <c r="N452" s="1982">
        <f t="shared" ref="N452:R455" si="118">N453</f>
        <v>1512.6</v>
      </c>
      <c r="O452" s="1994">
        <f t="shared" si="118"/>
        <v>1627.663</v>
      </c>
      <c r="P452" s="1939">
        <f t="shared" si="118"/>
        <v>1782.7329999999999</v>
      </c>
      <c r="Q452" s="1995">
        <f t="shared" si="118"/>
        <v>1573.104</v>
      </c>
      <c r="R452" s="1985">
        <f t="shared" si="118"/>
        <v>1636.028</v>
      </c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</row>
    <row r="453" spans="1:256" s="2" customFormat="1" ht="21" customHeight="1" x14ac:dyDescent="0.25">
      <c r="A453" s="32"/>
      <c r="B453" s="1093" t="s">
        <v>109</v>
      </c>
      <c r="C453" s="88"/>
      <c r="D453" s="88"/>
      <c r="E453" s="88"/>
      <c r="F453" s="9" t="s">
        <v>108</v>
      </c>
      <c r="G453" s="88"/>
      <c r="H453" s="88"/>
      <c r="I453" s="88"/>
      <c r="J453" s="1061">
        <f>J454</f>
        <v>1183.2429999999999</v>
      </c>
      <c r="K453" s="1061"/>
      <c r="L453" s="1061"/>
      <c r="M453" s="1125"/>
      <c r="N453" s="1986">
        <f t="shared" si="118"/>
        <v>1512.6</v>
      </c>
      <c r="O453" s="1947">
        <f t="shared" si="118"/>
        <v>1627.663</v>
      </c>
      <c r="P453" s="1941">
        <f t="shared" si="118"/>
        <v>1782.7329999999999</v>
      </c>
      <c r="Q453" s="1987">
        <f t="shared" si="118"/>
        <v>1573.104</v>
      </c>
      <c r="R453" s="1988">
        <f t="shared" si="118"/>
        <v>1636.028</v>
      </c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</row>
    <row r="454" spans="1:256" s="2" customFormat="1" ht="26" x14ac:dyDescent="0.25">
      <c r="A454" s="32"/>
      <c r="B454" s="49" t="s">
        <v>107</v>
      </c>
      <c r="C454" s="88" t="s">
        <v>106</v>
      </c>
      <c r="D454" s="88" t="s">
        <v>69</v>
      </c>
      <c r="E454" s="88" t="s">
        <v>103</v>
      </c>
      <c r="F454" s="9" t="s">
        <v>104</v>
      </c>
      <c r="G454" s="9"/>
      <c r="H454" s="9"/>
      <c r="I454" s="88"/>
      <c r="J454" s="1060">
        <f>J455</f>
        <v>1183.2429999999999</v>
      </c>
      <c r="K454" s="1059"/>
      <c r="L454" s="1059">
        <f>L455</f>
        <v>1223.8879999999999</v>
      </c>
      <c r="M454" s="1555">
        <f>M455</f>
        <v>1309.56</v>
      </c>
      <c r="N454" s="1998">
        <f t="shared" si="118"/>
        <v>1512.6</v>
      </c>
      <c r="O454" s="1999">
        <f t="shared" si="118"/>
        <v>1627.663</v>
      </c>
      <c r="P454" s="1937">
        <f t="shared" si="118"/>
        <v>1782.7329999999999</v>
      </c>
      <c r="Q454" s="2000">
        <f t="shared" si="118"/>
        <v>1573.104</v>
      </c>
      <c r="R454" s="2001">
        <f t="shared" si="118"/>
        <v>1636.028</v>
      </c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</row>
    <row r="455" spans="1:256" s="2" customFormat="1" ht="13" x14ac:dyDescent="0.3">
      <c r="A455" s="32"/>
      <c r="B455" s="744" t="s">
        <v>7</v>
      </c>
      <c r="C455" s="88"/>
      <c r="D455" s="88" t="s">
        <v>69</v>
      </c>
      <c r="E455" s="88" t="s">
        <v>103</v>
      </c>
      <c r="F455" s="9" t="s">
        <v>104</v>
      </c>
      <c r="G455" s="88">
        <v>120</v>
      </c>
      <c r="H455" s="88"/>
      <c r="I455" s="88"/>
      <c r="J455" s="1060">
        <f>J456</f>
        <v>1183.2429999999999</v>
      </c>
      <c r="K455" s="1060"/>
      <c r="L455" s="1061">
        <v>1223.8879999999999</v>
      </c>
      <c r="M455" s="1550">
        <v>1309.56</v>
      </c>
      <c r="N455" s="1998">
        <f t="shared" si="118"/>
        <v>1512.6</v>
      </c>
      <c r="O455" s="1999">
        <f t="shared" si="118"/>
        <v>1627.663</v>
      </c>
      <c r="P455" s="1937">
        <f t="shared" si="118"/>
        <v>1782.7329999999999</v>
      </c>
      <c r="Q455" s="2000">
        <f t="shared" si="118"/>
        <v>1573.104</v>
      </c>
      <c r="R455" s="2001">
        <f t="shared" si="118"/>
        <v>1636.028</v>
      </c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</row>
    <row r="456" spans="1:256" s="2" customFormat="1" ht="39" x14ac:dyDescent="0.3">
      <c r="A456" s="32"/>
      <c r="B456" s="2066" t="s">
        <v>105</v>
      </c>
      <c r="C456" s="88"/>
      <c r="D456" s="88"/>
      <c r="E456" s="88"/>
      <c r="F456" s="9" t="s">
        <v>104</v>
      </c>
      <c r="G456" s="88">
        <v>120</v>
      </c>
      <c r="H456" s="9" t="s">
        <v>456</v>
      </c>
      <c r="I456" s="33" t="s">
        <v>452</v>
      </c>
      <c r="J456" s="1060">
        <f>946.688+236.555</f>
        <v>1183.2429999999999</v>
      </c>
      <c r="K456" s="1060"/>
      <c r="L456" s="1061">
        <v>1223.8879999999999</v>
      </c>
      <c r="M456" s="1550">
        <v>1309.56</v>
      </c>
      <c r="N456" s="1998">
        <v>1512.6</v>
      </c>
      <c r="O456" s="1999">
        <v>1627.663</v>
      </c>
      <c r="P456" s="1937">
        <v>1782.7329999999999</v>
      </c>
      <c r="Q456" s="2000">
        <v>1573.104</v>
      </c>
      <c r="R456" s="2001">
        <v>1636.028</v>
      </c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</row>
    <row r="457" spans="1:256" ht="26" x14ac:dyDescent="0.25">
      <c r="A457" s="91">
        <v>14</v>
      </c>
      <c r="B457" s="52" t="s">
        <v>102</v>
      </c>
      <c r="C457" s="34"/>
      <c r="D457" s="34" t="s">
        <v>69</v>
      </c>
      <c r="E457" s="34" t="s">
        <v>90</v>
      </c>
      <c r="F457" s="34" t="s">
        <v>101</v>
      </c>
      <c r="G457" s="34"/>
      <c r="H457" s="34"/>
      <c r="I457" s="34"/>
      <c r="J457" s="1065">
        <f>J459</f>
        <v>213.2</v>
      </c>
      <c r="K457" s="1065"/>
      <c r="L457" s="1065">
        <f>L460</f>
        <v>108</v>
      </c>
      <c r="M457" s="1552">
        <f>M460</f>
        <v>108</v>
      </c>
      <c r="N457" s="1982">
        <f t="shared" ref="N457:R458" si="119">N458</f>
        <v>1314.0283400000001</v>
      </c>
      <c r="O457" s="1994">
        <f t="shared" si="119"/>
        <v>213.5</v>
      </c>
      <c r="P457" s="1939">
        <f t="shared" si="119"/>
        <v>213.5</v>
      </c>
      <c r="Q457" s="1995">
        <f t="shared" si="119"/>
        <v>500</v>
      </c>
      <c r="R457" s="1985">
        <f t="shared" si="119"/>
        <v>600</v>
      </c>
    </row>
    <row r="458" spans="1:256" ht="13" x14ac:dyDescent="0.25">
      <c r="A458" s="91"/>
      <c r="B458" s="49" t="s">
        <v>83</v>
      </c>
      <c r="C458" s="34"/>
      <c r="D458" s="34"/>
      <c r="E458" s="34"/>
      <c r="F458" s="9" t="s">
        <v>100</v>
      </c>
      <c r="G458" s="34"/>
      <c r="H458" s="34"/>
      <c r="I458" s="34"/>
      <c r="J458" s="1065"/>
      <c r="K458" s="1065"/>
      <c r="L458" s="1065"/>
      <c r="M458" s="1552"/>
      <c r="N458" s="1986">
        <f t="shared" si="119"/>
        <v>1314.0283400000001</v>
      </c>
      <c r="O458" s="1947">
        <f t="shared" si="119"/>
        <v>213.5</v>
      </c>
      <c r="P458" s="1941">
        <f t="shared" si="119"/>
        <v>213.5</v>
      </c>
      <c r="Q458" s="1987">
        <f t="shared" si="119"/>
        <v>500</v>
      </c>
      <c r="R458" s="1988">
        <f t="shared" si="119"/>
        <v>600</v>
      </c>
    </row>
    <row r="459" spans="1:256" ht="13" x14ac:dyDescent="0.25">
      <c r="A459" s="91"/>
      <c r="B459" s="49" t="s">
        <v>83</v>
      </c>
      <c r="C459" s="34"/>
      <c r="D459" s="34"/>
      <c r="E459" s="34"/>
      <c r="F459" s="9" t="s">
        <v>99</v>
      </c>
      <c r="G459" s="34"/>
      <c r="H459" s="34"/>
      <c r="I459" s="34"/>
      <c r="J459" s="1063">
        <f>J462+J468</f>
        <v>213.2</v>
      </c>
      <c r="K459" s="1065"/>
      <c r="L459" s="1065"/>
      <c r="M459" s="1552"/>
      <c r="N459" s="1986">
        <f>N462+N468+N466</f>
        <v>1314.0283400000001</v>
      </c>
      <c r="O459" s="1947">
        <f>O462+O468</f>
        <v>213.5</v>
      </c>
      <c r="P459" s="1941">
        <f>P462+P468</f>
        <v>213.5</v>
      </c>
      <c r="Q459" s="1987">
        <f>Q462+Q468</f>
        <v>500</v>
      </c>
      <c r="R459" s="1988">
        <f>R462+R468</f>
        <v>600</v>
      </c>
    </row>
    <row r="460" spans="1:256" ht="13" x14ac:dyDescent="0.25">
      <c r="A460" s="32"/>
      <c r="B460" s="49" t="s">
        <v>98</v>
      </c>
      <c r="C460" s="34"/>
      <c r="D460" s="9" t="s">
        <v>69</v>
      </c>
      <c r="E460" s="9" t="s">
        <v>90</v>
      </c>
      <c r="F460" s="9" t="s">
        <v>92</v>
      </c>
      <c r="G460" s="34"/>
      <c r="H460" s="34"/>
      <c r="I460" s="9"/>
      <c r="J460" s="1063">
        <f>J461</f>
        <v>198.2</v>
      </c>
      <c r="K460" s="1063"/>
      <c r="L460" s="1063">
        <f>L461+L467</f>
        <v>108</v>
      </c>
      <c r="M460" s="1125">
        <f>M461+M467</f>
        <v>108</v>
      </c>
      <c r="N460" s="1986">
        <f>N461+N467+N466</f>
        <v>1314.0283400000001</v>
      </c>
      <c r="O460" s="1947">
        <f t="shared" ref="N460:R461" si="120">O461</f>
        <v>178.5</v>
      </c>
      <c r="P460" s="1941">
        <f t="shared" si="120"/>
        <v>178.5</v>
      </c>
      <c r="Q460" s="1987">
        <f>Q461+Q467</f>
        <v>500</v>
      </c>
      <c r="R460" s="1988">
        <f>R461+R467</f>
        <v>600</v>
      </c>
    </row>
    <row r="461" spans="1:256" ht="26" x14ac:dyDescent="0.25">
      <c r="A461" s="32"/>
      <c r="B461" s="1993" t="s">
        <v>4</v>
      </c>
      <c r="C461" s="34"/>
      <c r="D461" s="9" t="s">
        <v>69</v>
      </c>
      <c r="E461" s="9" t="s">
        <v>90</v>
      </c>
      <c r="F461" s="9" t="s">
        <v>92</v>
      </c>
      <c r="G461" s="9" t="s">
        <v>1</v>
      </c>
      <c r="H461" s="9"/>
      <c r="I461" s="9"/>
      <c r="J461" s="1063">
        <f>J462</f>
        <v>198.2</v>
      </c>
      <c r="K461" s="1063"/>
      <c r="L461" s="1063">
        <v>105</v>
      </c>
      <c r="M461" s="1125">
        <v>105</v>
      </c>
      <c r="N461" s="1986">
        <f t="shared" si="120"/>
        <v>997.26534000000015</v>
      </c>
      <c r="O461" s="1947">
        <f t="shared" si="120"/>
        <v>178.5</v>
      </c>
      <c r="P461" s="1941">
        <f t="shared" si="120"/>
        <v>178.5</v>
      </c>
      <c r="Q461" s="1987">
        <f t="shared" si="120"/>
        <v>400</v>
      </c>
      <c r="R461" s="1988">
        <f t="shared" si="120"/>
        <v>500</v>
      </c>
    </row>
    <row r="462" spans="1:256" ht="13" x14ac:dyDescent="0.25">
      <c r="A462" s="32"/>
      <c r="B462" s="52" t="s">
        <v>93</v>
      </c>
      <c r="C462" s="34"/>
      <c r="D462" s="9"/>
      <c r="E462" s="9"/>
      <c r="F462" s="9" t="s">
        <v>92</v>
      </c>
      <c r="G462" s="9" t="s">
        <v>1</v>
      </c>
      <c r="H462" s="9" t="s">
        <v>456</v>
      </c>
      <c r="I462" s="9" t="s">
        <v>573</v>
      </c>
      <c r="J462" s="1063">
        <v>198.2</v>
      </c>
      <c r="K462" s="1063"/>
      <c r="L462" s="1063">
        <v>105</v>
      </c>
      <c r="M462" s="1125">
        <v>105</v>
      </c>
      <c r="N462" s="1986">
        <f>844.244+100+23.33734+77.897-380-25+356.787</f>
        <v>997.26534000000015</v>
      </c>
      <c r="O462" s="1947">
        <v>178.5</v>
      </c>
      <c r="P462" s="1941">
        <v>178.5</v>
      </c>
      <c r="Q462" s="1987">
        <v>400</v>
      </c>
      <c r="R462" s="1988">
        <v>500</v>
      </c>
    </row>
    <row r="463" spans="1:256" ht="13" hidden="1" x14ac:dyDescent="0.25">
      <c r="A463" s="32"/>
      <c r="B463" s="99" t="s">
        <v>97</v>
      </c>
      <c r="C463" s="34"/>
      <c r="D463" s="9" t="s">
        <v>69</v>
      </c>
      <c r="E463" s="9" t="s">
        <v>90</v>
      </c>
      <c r="F463" s="9" t="s">
        <v>96</v>
      </c>
      <c r="G463" s="9" t="s">
        <v>95</v>
      </c>
      <c r="H463" s="9"/>
      <c r="I463" s="1063"/>
      <c r="J463" s="1063">
        <f>J464</f>
        <v>0</v>
      </c>
      <c r="K463" s="1063"/>
      <c r="L463" s="1063"/>
      <c r="M463" s="2"/>
      <c r="N463" s="1986">
        <f>N464</f>
        <v>0</v>
      </c>
      <c r="O463" s="1947">
        <f>O464</f>
        <v>0</v>
      </c>
      <c r="P463" s="1941">
        <f>P464</f>
        <v>0</v>
      </c>
      <c r="Q463" s="1987">
        <f>Q464</f>
        <v>0</v>
      </c>
      <c r="R463" s="1988">
        <f>R464</f>
        <v>0</v>
      </c>
    </row>
    <row r="464" spans="1:256" ht="13" hidden="1" x14ac:dyDescent="0.25">
      <c r="A464" s="32"/>
      <c r="B464" s="52" t="s">
        <v>93</v>
      </c>
      <c r="C464" s="34"/>
      <c r="D464" s="9"/>
      <c r="E464" s="9"/>
      <c r="F464" s="9" t="s">
        <v>96</v>
      </c>
      <c r="G464" s="9" t="s">
        <v>95</v>
      </c>
      <c r="H464" s="9"/>
      <c r="I464" s="9" t="s">
        <v>90</v>
      </c>
      <c r="J464" s="1063"/>
      <c r="K464" s="1063"/>
      <c r="L464" s="1063"/>
      <c r="M464" s="1125"/>
      <c r="N464" s="1986"/>
      <c r="O464" s="1947"/>
      <c r="P464" s="1941"/>
      <c r="Q464" s="1987"/>
      <c r="R464" s="1988"/>
    </row>
    <row r="465" spans="1:24" ht="13" x14ac:dyDescent="0.25">
      <c r="A465" s="32"/>
      <c r="B465" s="534" t="s">
        <v>97</v>
      </c>
      <c r="C465" s="34"/>
      <c r="D465" s="9"/>
      <c r="E465" s="9"/>
      <c r="F465" s="9" t="s">
        <v>92</v>
      </c>
      <c r="G465" s="9" t="s">
        <v>95</v>
      </c>
      <c r="H465" s="9"/>
      <c r="I465" s="9"/>
      <c r="J465" s="1063"/>
      <c r="K465" s="1063"/>
      <c r="L465" s="1063"/>
      <c r="M465" s="1125"/>
      <c r="N465" s="1986">
        <f>N466</f>
        <v>266.76299999999998</v>
      </c>
      <c r="O465" s="1947"/>
      <c r="P465" s="1941"/>
      <c r="Q465" s="1987"/>
      <c r="R465" s="1988"/>
    </row>
    <row r="466" spans="1:24" ht="13" x14ac:dyDescent="0.25">
      <c r="A466" s="32"/>
      <c r="B466" s="52" t="s">
        <v>93</v>
      </c>
      <c r="C466" s="34"/>
      <c r="D466" s="9"/>
      <c r="E466" s="9"/>
      <c r="F466" s="9" t="s">
        <v>92</v>
      </c>
      <c r="G466" s="9" t="s">
        <v>95</v>
      </c>
      <c r="H466" s="9" t="s">
        <v>456</v>
      </c>
      <c r="I466" s="9" t="s">
        <v>573</v>
      </c>
      <c r="J466" s="1063"/>
      <c r="K466" s="1063"/>
      <c r="L466" s="1063"/>
      <c r="M466" s="1125"/>
      <c r="N466" s="1986">
        <f>2+218.134+10.75+10.879+25</f>
        <v>266.76299999999998</v>
      </c>
      <c r="O466" s="1947"/>
      <c r="P466" s="1941"/>
      <c r="Q466" s="1987"/>
      <c r="R466" s="1988"/>
    </row>
    <row r="467" spans="1:24" ht="13" x14ac:dyDescent="0.3">
      <c r="A467" s="32"/>
      <c r="B467" s="2003" t="s">
        <v>94</v>
      </c>
      <c r="C467" s="34"/>
      <c r="D467" s="9" t="s">
        <v>69</v>
      </c>
      <c r="E467" s="9" t="s">
        <v>90</v>
      </c>
      <c r="F467" s="9" t="s">
        <v>92</v>
      </c>
      <c r="G467" s="9" t="s">
        <v>91</v>
      </c>
      <c r="H467" s="9"/>
      <c r="I467" s="9"/>
      <c r="J467" s="1063">
        <f>J468</f>
        <v>15</v>
      </c>
      <c r="K467" s="1063"/>
      <c r="L467" s="1063">
        <v>3</v>
      </c>
      <c r="M467" s="1125">
        <v>3</v>
      </c>
      <c r="N467" s="1986">
        <f>N468</f>
        <v>50</v>
      </c>
      <c r="O467" s="1947">
        <f>O468</f>
        <v>35</v>
      </c>
      <c r="P467" s="1941">
        <f>P468</f>
        <v>35</v>
      </c>
      <c r="Q467" s="1987">
        <f>Q468</f>
        <v>100</v>
      </c>
      <c r="R467" s="1988">
        <f>R468</f>
        <v>100</v>
      </c>
    </row>
    <row r="468" spans="1:24" ht="13" x14ac:dyDescent="0.25">
      <c r="A468" s="32"/>
      <c r="B468" s="52" t="s">
        <v>93</v>
      </c>
      <c r="C468" s="34"/>
      <c r="D468" s="9"/>
      <c r="E468" s="9"/>
      <c r="F468" s="9" t="s">
        <v>92</v>
      </c>
      <c r="G468" s="9" t="s">
        <v>91</v>
      </c>
      <c r="H468" s="9" t="s">
        <v>456</v>
      </c>
      <c r="I468" s="9" t="s">
        <v>573</v>
      </c>
      <c r="J468" s="1063">
        <f>13+2</f>
        <v>15</v>
      </c>
      <c r="K468" s="1063"/>
      <c r="L468" s="1063">
        <v>3</v>
      </c>
      <c r="M468" s="1125">
        <v>3</v>
      </c>
      <c r="N468" s="1986">
        <f>50</f>
        <v>50</v>
      </c>
      <c r="O468" s="1947">
        <v>35</v>
      </c>
      <c r="P468" s="1941">
        <v>35</v>
      </c>
      <c r="Q468" s="1987">
        <v>100</v>
      </c>
      <c r="R468" s="1988">
        <v>100</v>
      </c>
    </row>
    <row r="469" spans="1:24" s="83" customFormat="1" ht="39" x14ac:dyDescent="0.3">
      <c r="A469" s="91">
        <v>15</v>
      </c>
      <c r="B469" s="52" t="s">
        <v>25</v>
      </c>
      <c r="C469" s="9"/>
      <c r="D469" s="94" t="s">
        <v>69</v>
      </c>
      <c r="E469" s="34" t="s">
        <v>66</v>
      </c>
      <c r="F469" s="94" t="s">
        <v>89</v>
      </c>
      <c r="G469" s="94"/>
      <c r="H469" s="94"/>
      <c r="I469" s="34"/>
      <c r="J469" s="1072">
        <f>J481+J493+J496+J508+J512+J540+J543+J554+J476+J526+J490+J478+J531+J534+J470+J486+J487+J579</f>
        <v>32462.342000000001</v>
      </c>
      <c r="K469" s="1061"/>
      <c r="L469" s="1064">
        <f>L481+L493+L496+L508+L512+L540+L543+L582+L476+L526</f>
        <v>13168.182999999999</v>
      </c>
      <c r="M469" s="1563">
        <f>M481+M493+M496+M508+M512+M540+M543+M582+M476+M526</f>
        <v>13168.182999999999</v>
      </c>
      <c r="N469" s="1982">
        <f>N477+N480+N483+N501+N504+N510+N522+N525+N564+N567+N569+N572+N581+N575+N516</f>
        <v>13700.152999999998</v>
      </c>
      <c r="O469" s="1994">
        <f>O477+O483+O510+O525+O527+O530+O542+O556+O558+O581</f>
        <v>4416.915</v>
      </c>
      <c r="P469" s="1939">
        <f>P477+P483+P510+P525+P527+P530+P542+P556+P558+P581</f>
        <v>4792.1499999999996</v>
      </c>
      <c r="Q469" s="1995">
        <f>Q477+Q483+Q501+Q510+Q525+Q567+Q569+Q572+Q578+Q581</f>
        <v>7937.2269999999999</v>
      </c>
      <c r="R469" s="1985">
        <f>R477+R483+R501+R504+R510+R525+R567+R569+R572+R578+R581</f>
        <v>7219.3109999999997</v>
      </c>
      <c r="S469" s="84"/>
      <c r="T469" s="84"/>
      <c r="U469" s="84"/>
      <c r="V469" s="84"/>
      <c r="W469" s="84"/>
      <c r="X469" s="84"/>
    </row>
    <row r="470" spans="1:24" s="83" customFormat="1" ht="26" hidden="1" x14ac:dyDescent="0.3">
      <c r="A470" s="91"/>
      <c r="B470" s="336" t="s">
        <v>88</v>
      </c>
      <c r="C470" s="9"/>
      <c r="D470" s="94"/>
      <c r="E470" s="34"/>
      <c r="F470" s="34" t="s">
        <v>86</v>
      </c>
      <c r="G470" s="94"/>
      <c r="H470" s="94"/>
      <c r="I470" s="34"/>
      <c r="J470" s="1060"/>
      <c r="K470" s="1061"/>
      <c r="L470" s="1064"/>
      <c r="M470" s="1563"/>
      <c r="N470" s="1998"/>
      <c r="O470" s="1999"/>
      <c r="P470" s="1937"/>
      <c r="Q470" s="2000"/>
      <c r="R470" s="2001"/>
      <c r="S470" s="84"/>
      <c r="T470" s="84"/>
      <c r="U470" s="84"/>
      <c r="V470" s="84"/>
      <c r="W470" s="84"/>
      <c r="X470" s="84"/>
    </row>
    <row r="471" spans="1:24" s="83" customFormat="1" ht="26" hidden="1" x14ac:dyDescent="0.3">
      <c r="A471" s="91"/>
      <c r="B471" s="1993" t="s">
        <v>4</v>
      </c>
      <c r="C471" s="9"/>
      <c r="D471" s="94"/>
      <c r="E471" s="34"/>
      <c r="F471" s="9" t="s">
        <v>86</v>
      </c>
      <c r="G471" s="9" t="s">
        <v>1</v>
      </c>
      <c r="H471" s="9"/>
      <c r="I471" s="34"/>
      <c r="J471" s="1060"/>
      <c r="K471" s="1061"/>
      <c r="L471" s="1064"/>
      <c r="M471" s="1563"/>
      <c r="N471" s="1998"/>
      <c r="O471" s="1999"/>
      <c r="P471" s="1937"/>
      <c r="Q471" s="2000"/>
      <c r="R471" s="2001"/>
      <c r="S471" s="84"/>
      <c r="T471" s="84"/>
      <c r="U471" s="84"/>
      <c r="V471" s="84"/>
      <c r="W471" s="84"/>
      <c r="X471" s="84"/>
    </row>
    <row r="472" spans="1:24" s="83" customFormat="1" ht="13" hidden="1" x14ac:dyDescent="0.3">
      <c r="A472" s="91"/>
      <c r="B472" s="49" t="s">
        <v>87</v>
      </c>
      <c r="C472" s="9"/>
      <c r="D472" s="94"/>
      <c r="E472" s="34"/>
      <c r="F472" s="9" t="s">
        <v>86</v>
      </c>
      <c r="G472" s="9" t="s">
        <v>1</v>
      </c>
      <c r="H472" s="9"/>
      <c r="I472" s="33" t="s">
        <v>85</v>
      </c>
      <c r="J472" s="1060"/>
      <c r="K472" s="1061"/>
      <c r="L472" s="1064"/>
      <c r="M472" s="1563"/>
      <c r="N472" s="1998"/>
      <c r="O472" s="1999"/>
      <c r="P472" s="1937"/>
      <c r="Q472" s="2000"/>
      <c r="R472" s="2001"/>
      <c r="S472" s="84"/>
      <c r="T472" s="84"/>
      <c r="U472" s="84"/>
      <c r="V472" s="84"/>
      <c r="W472" s="84"/>
      <c r="X472" s="84"/>
    </row>
    <row r="473" spans="1:24" s="83" customFormat="1" ht="13" x14ac:dyDescent="0.3">
      <c r="A473" s="91"/>
      <c r="B473" s="49" t="s">
        <v>83</v>
      </c>
      <c r="C473" s="9"/>
      <c r="D473" s="94"/>
      <c r="E473" s="34"/>
      <c r="F473" s="88" t="s">
        <v>84</v>
      </c>
      <c r="G473" s="9"/>
      <c r="H473" s="9"/>
      <c r="I473" s="33"/>
      <c r="J473" s="1060">
        <f>J474</f>
        <v>32462.342000000001</v>
      </c>
      <c r="K473" s="1061"/>
      <c r="L473" s="1064"/>
      <c r="M473" s="1563"/>
      <c r="N473" s="1998">
        <f>N474</f>
        <v>13700.152999999998</v>
      </c>
      <c r="O473" s="1999">
        <f>O474</f>
        <v>4416.915</v>
      </c>
      <c r="P473" s="1937">
        <f>P474</f>
        <v>4792.1499999999996</v>
      </c>
      <c r="Q473" s="2000">
        <f>Q474</f>
        <v>7937.2269999999999</v>
      </c>
      <c r="R473" s="2001">
        <f>R474</f>
        <v>7219.3109999999997</v>
      </c>
      <c r="S473" s="84"/>
      <c r="T473" s="84"/>
      <c r="U473" s="84"/>
      <c r="V473" s="84"/>
      <c r="W473" s="84"/>
      <c r="X473" s="84"/>
    </row>
    <row r="474" spans="1:24" s="83" customFormat="1" ht="13" x14ac:dyDescent="0.3">
      <c r="A474" s="91"/>
      <c r="B474" s="49" t="s">
        <v>83</v>
      </c>
      <c r="C474" s="9"/>
      <c r="D474" s="94"/>
      <c r="E474" s="34"/>
      <c r="F474" s="88" t="s">
        <v>82</v>
      </c>
      <c r="G474" s="9"/>
      <c r="H474" s="9"/>
      <c r="I474" s="33"/>
      <c r="J474" s="1060">
        <f>J469</f>
        <v>32462.342000000001</v>
      </c>
      <c r="K474" s="1061"/>
      <c r="L474" s="1064"/>
      <c r="M474" s="1563"/>
      <c r="N474" s="1998">
        <f>N477+N480+N483+N501+N504+N510+N522+N525+N564+N567+N569+N572+N581+N575+N516+N519</f>
        <v>13700.152999999998</v>
      </c>
      <c r="O474" s="1999">
        <f>O469</f>
        <v>4416.915</v>
      </c>
      <c r="P474" s="1937">
        <f>P469</f>
        <v>4792.1499999999996</v>
      </c>
      <c r="Q474" s="2000">
        <f>Q469</f>
        <v>7937.2269999999999</v>
      </c>
      <c r="R474" s="2000">
        <f>R469</f>
        <v>7219.3109999999997</v>
      </c>
      <c r="S474" s="84"/>
      <c r="T474" s="84"/>
      <c r="U474" s="84"/>
      <c r="V474" s="84"/>
      <c r="W474" s="84"/>
      <c r="X474" s="84"/>
    </row>
    <row r="475" spans="1:24" s="83" customFormat="1" ht="13" x14ac:dyDescent="0.3">
      <c r="A475" s="91"/>
      <c r="B475" s="262" t="s">
        <v>81</v>
      </c>
      <c r="C475" s="9"/>
      <c r="D475" s="94"/>
      <c r="E475" s="34"/>
      <c r="F475" s="79" t="s">
        <v>78</v>
      </c>
      <c r="G475" s="9"/>
      <c r="H475" s="9"/>
      <c r="I475" s="33"/>
      <c r="J475" s="1060">
        <f>J476</f>
        <v>48</v>
      </c>
      <c r="K475" s="1061"/>
      <c r="L475" s="1064"/>
      <c r="M475" s="1563"/>
      <c r="N475" s="1989">
        <f t="shared" ref="N475:R476" si="121">N476</f>
        <v>710.16499999999996</v>
      </c>
      <c r="O475" s="1990">
        <f t="shared" si="121"/>
        <v>531.38</v>
      </c>
      <c r="P475" s="1934">
        <f t="shared" si="121"/>
        <v>584.51300000000003</v>
      </c>
      <c r="Q475" s="1991">
        <f t="shared" si="121"/>
        <v>639.61699999999996</v>
      </c>
      <c r="R475" s="1992">
        <f t="shared" si="121"/>
        <v>665.20100000000002</v>
      </c>
      <c r="S475" s="84"/>
      <c r="T475" s="84"/>
      <c r="U475" s="84"/>
      <c r="V475" s="84"/>
      <c r="W475" s="84"/>
      <c r="X475" s="84"/>
    </row>
    <row r="476" spans="1:24" s="83" customFormat="1" ht="23.5" customHeight="1" x14ac:dyDescent="0.3">
      <c r="A476" s="91"/>
      <c r="B476" s="2012" t="s">
        <v>80</v>
      </c>
      <c r="C476" s="89"/>
      <c r="D476" s="9" t="s">
        <v>44</v>
      </c>
      <c r="E476" s="9" t="s">
        <v>76</v>
      </c>
      <c r="F476" s="77" t="s">
        <v>78</v>
      </c>
      <c r="G476" s="33" t="s">
        <v>77</v>
      </c>
      <c r="H476" s="33"/>
      <c r="I476" s="89"/>
      <c r="J476" s="1063">
        <f>J477</f>
        <v>48</v>
      </c>
      <c r="K476" s="1063">
        <f>K477</f>
        <v>240.5</v>
      </c>
      <c r="L476" s="1063">
        <f>L477</f>
        <v>240.5</v>
      </c>
      <c r="M476" s="1125">
        <f>M477</f>
        <v>240.5</v>
      </c>
      <c r="N476" s="1986">
        <f t="shared" si="121"/>
        <v>710.16499999999996</v>
      </c>
      <c r="O476" s="1947">
        <f t="shared" si="121"/>
        <v>531.38</v>
      </c>
      <c r="P476" s="1941">
        <f t="shared" si="121"/>
        <v>584.51300000000003</v>
      </c>
      <c r="Q476" s="1987">
        <f t="shared" si="121"/>
        <v>639.61699999999996</v>
      </c>
      <c r="R476" s="1988">
        <f t="shared" si="121"/>
        <v>665.20100000000002</v>
      </c>
      <c r="S476" s="84"/>
      <c r="T476" s="84"/>
      <c r="U476" s="84"/>
      <c r="V476" s="84"/>
      <c r="W476" s="84"/>
      <c r="X476" s="84"/>
    </row>
    <row r="477" spans="1:24" s="83" customFormat="1" ht="13" x14ac:dyDescent="0.3">
      <c r="A477" s="91"/>
      <c r="B477" s="90" t="s">
        <v>79</v>
      </c>
      <c r="C477" s="89"/>
      <c r="D477" s="9" t="s">
        <v>44</v>
      </c>
      <c r="E477" s="9" t="s">
        <v>76</v>
      </c>
      <c r="F477" s="77" t="s">
        <v>78</v>
      </c>
      <c r="G477" s="33" t="s">
        <v>77</v>
      </c>
      <c r="H477" s="33" t="s">
        <v>496</v>
      </c>
      <c r="I477" s="33" t="s">
        <v>456</v>
      </c>
      <c r="J477" s="1063">
        <v>48</v>
      </c>
      <c r="K477" s="1063">
        <v>240.5</v>
      </c>
      <c r="L477" s="1063">
        <v>240.5</v>
      </c>
      <c r="M477" s="1125">
        <v>240.5</v>
      </c>
      <c r="N477" s="1998">
        <f>615.016+95.149</f>
        <v>710.16499999999996</v>
      </c>
      <c r="O477" s="1947">
        <v>531.38</v>
      </c>
      <c r="P477" s="1941">
        <v>584.51300000000003</v>
      </c>
      <c r="Q477" s="2000">
        <v>639.61699999999996</v>
      </c>
      <c r="R477" s="2001">
        <v>665.20100000000002</v>
      </c>
      <c r="S477" s="84"/>
      <c r="T477" s="84"/>
      <c r="U477" s="84"/>
      <c r="V477" s="84"/>
      <c r="W477" s="84"/>
      <c r="X477" s="84"/>
    </row>
    <row r="478" spans="1:24" s="83" customFormat="1" ht="21" x14ac:dyDescent="0.3">
      <c r="A478" s="91"/>
      <c r="B478" s="1242" t="s">
        <v>930</v>
      </c>
      <c r="C478" s="9"/>
      <c r="D478" s="9" t="s">
        <v>15</v>
      </c>
      <c r="E478" s="9" t="s">
        <v>13</v>
      </c>
      <c r="F478" s="9" t="s">
        <v>925</v>
      </c>
      <c r="G478" s="33"/>
      <c r="H478" s="33"/>
      <c r="I478" s="33"/>
      <c r="J478" s="47"/>
      <c r="K478" s="1063"/>
      <c r="L478" s="1063"/>
      <c r="M478" s="1125"/>
      <c r="N478" s="1986">
        <f>N479</f>
        <v>180.93600000000001</v>
      </c>
      <c r="O478" s="2027"/>
      <c r="P478" s="1950"/>
      <c r="Q478" s="2028"/>
      <c r="R478" s="2029"/>
      <c r="S478" s="84"/>
      <c r="T478" s="84"/>
      <c r="U478" s="84"/>
      <c r="V478" s="84"/>
      <c r="W478" s="84"/>
      <c r="X478" s="84"/>
    </row>
    <row r="479" spans="1:24" s="83" customFormat="1" ht="21" x14ac:dyDescent="0.3">
      <c r="A479" s="91"/>
      <c r="B479" s="1182" t="s">
        <v>523</v>
      </c>
      <c r="C479" s="9"/>
      <c r="D479" s="9"/>
      <c r="E479" s="9"/>
      <c r="F479" s="9" t="s">
        <v>925</v>
      </c>
      <c r="G479" s="9" t="s">
        <v>521</v>
      </c>
      <c r="H479" s="9"/>
      <c r="I479" s="33"/>
      <c r="J479" s="47"/>
      <c r="K479" s="1063"/>
      <c r="L479" s="1063"/>
      <c r="M479" s="1125"/>
      <c r="N479" s="1986">
        <f>N480</f>
        <v>180.93600000000001</v>
      </c>
      <c r="O479" s="2027"/>
      <c r="P479" s="1950"/>
      <c r="Q479" s="2028"/>
      <c r="R479" s="2029"/>
      <c r="S479" s="84"/>
      <c r="T479" s="84"/>
      <c r="U479" s="84"/>
      <c r="V479" s="84"/>
      <c r="W479" s="84"/>
      <c r="X479" s="84"/>
    </row>
    <row r="480" spans="1:24" s="83" customFormat="1" ht="13" x14ac:dyDescent="0.3">
      <c r="A480" s="91"/>
      <c r="B480" s="49" t="s">
        <v>39</v>
      </c>
      <c r="C480" s="9"/>
      <c r="D480" s="9"/>
      <c r="E480" s="9"/>
      <c r="F480" s="9" t="s">
        <v>925</v>
      </c>
      <c r="G480" s="9" t="s">
        <v>521</v>
      </c>
      <c r="H480" s="9" t="s">
        <v>463</v>
      </c>
      <c r="I480" s="9" t="s">
        <v>488</v>
      </c>
      <c r="J480" s="47"/>
      <c r="K480" s="1063"/>
      <c r="L480" s="1063"/>
      <c r="M480" s="1125"/>
      <c r="N480" s="1986">
        <v>180.93600000000001</v>
      </c>
      <c r="O480" s="2027"/>
      <c r="P480" s="1950"/>
      <c r="Q480" s="2028"/>
      <c r="R480" s="2029"/>
      <c r="S480" s="84"/>
      <c r="T480" s="84"/>
      <c r="U480" s="84"/>
      <c r="V480" s="84"/>
      <c r="W480" s="84"/>
      <c r="X480" s="84"/>
    </row>
    <row r="481" spans="1:24" ht="30" customHeight="1" x14ac:dyDescent="0.25">
      <c r="A481" s="32"/>
      <c r="B481" s="49" t="s">
        <v>72</v>
      </c>
      <c r="C481" s="9"/>
      <c r="D481" s="88" t="s">
        <v>69</v>
      </c>
      <c r="E481" s="9" t="s">
        <v>66</v>
      </c>
      <c r="F481" s="34" t="s">
        <v>67</v>
      </c>
      <c r="G481" s="88" t="s">
        <v>71</v>
      </c>
      <c r="H481" s="88"/>
      <c r="I481" s="9"/>
      <c r="J481" s="1061">
        <f>J482</f>
        <v>2173</v>
      </c>
      <c r="K481" s="1061"/>
      <c r="L481" s="1061">
        <f t="shared" ref="L481:R481" si="122">L482</f>
        <v>2000</v>
      </c>
      <c r="M481" s="1550">
        <f t="shared" si="122"/>
        <v>2000</v>
      </c>
      <c r="N481" s="1982">
        <f t="shared" si="122"/>
        <v>2000</v>
      </c>
      <c r="O481" s="1994">
        <f t="shared" si="122"/>
        <v>2500.6</v>
      </c>
      <c r="P481" s="1939">
        <f t="shared" si="122"/>
        <v>2701.74</v>
      </c>
      <c r="Q481" s="1995">
        <f t="shared" si="122"/>
        <v>2900</v>
      </c>
      <c r="R481" s="1985">
        <f t="shared" si="122"/>
        <v>2980</v>
      </c>
    </row>
    <row r="482" spans="1:24" ht="13" x14ac:dyDescent="0.3">
      <c r="A482" s="32"/>
      <c r="B482" s="744" t="s">
        <v>70</v>
      </c>
      <c r="C482" s="9"/>
      <c r="D482" s="88" t="s">
        <v>69</v>
      </c>
      <c r="E482" s="9" t="s">
        <v>66</v>
      </c>
      <c r="F482" s="9" t="s">
        <v>67</v>
      </c>
      <c r="G482" s="88">
        <v>870</v>
      </c>
      <c r="H482" s="88"/>
      <c r="I482" s="9"/>
      <c r="J482" s="1061">
        <f>J483</f>
        <v>2173</v>
      </c>
      <c r="K482" s="1061"/>
      <c r="L482" s="1061">
        <v>2000</v>
      </c>
      <c r="M482" s="1550">
        <v>2000</v>
      </c>
      <c r="N482" s="1986">
        <f>N483</f>
        <v>2000</v>
      </c>
      <c r="O482" s="1947">
        <f>O483</f>
        <v>2500.6</v>
      </c>
      <c r="P482" s="1941">
        <f>P483</f>
        <v>2701.74</v>
      </c>
      <c r="Q482" s="1987">
        <f>Q483</f>
        <v>2900</v>
      </c>
      <c r="R482" s="1988">
        <f>R483</f>
        <v>2980</v>
      </c>
    </row>
    <row r="483" spans="1:24" ht="13" x14ac:dyDescent="0.3">
      <c r="A483" s="32"/>
      <c r="B483" s="2003" t="s">
        <v>68</v>
      </c>
      <c r="C483" s="9"/>
      <c r="D483" s="88"/>
      <c r="E483" s="9"/>
      <c r="F483" s="9" t="s">
        <v>67</v>
      </c>
      <c r="G483" s="88">
        <v>870</v>
      </c>
      <c r="H483" s="9" t="s">
        <v>456</v>
      </c>
      <c r="I483" s="9" t="s">
        <v>464</v>
      </c>
      <c r="J483" s="1061">
        <f>2175-2</f>
        <v>2173</v>
      </c>
      <c r="K483" s="1061"/>
      <c r="L483" s="1061">
        <v>2000</v>
      </c>
      <c r="M483" s="1550">
        <v>2000</v>
      </c>
      <c r="N483" s="1986">
        <f>2870-870</f>
        <v>2000</v>
      </c>
      <c r="O483" s="1947">
        <v>2500.6</v>
      </c>
      <c r="P483" s="1941">
        <v>2701.74</v>
      </c>
      <c r="Q483" s="1987">
        <v>2900</v>
      </c>
      <c r="R483" s="1988">
        <v>2980</v>
      </c>
    </row>
    <row r="484" spans="1:24" ht="39" hidden="1" x14ac:dyDescent="0.25">
      <c r="A484" s="32"/>
      <c r="B484" s="1993" t="s">
        <v>65</v>
      </c>
      <c r="C484" s="9"/>
      <c r="D484" s="88"/>
      <c r="E484" s="9"/>
      <c r="F484" s="34" t="s">
        <v>63</v>
      </c>
      <c r="G484" s="88"/>
      <c r="H484" s="88"/>
      <c r="I484" s="9"/>
      <c r="J484" s="1061"/>
      <c r="K484" s="1061"/>
      <c r="L484" s="1061"/>
      <c r="M484" s="1124"/>
      <c r="N484" s="1986"/>
      <c r="O484" s="1947"/>
      <c r="P484" s="1941"/>
      <c r="Q484" s="1987"/>
      <c r="R484" s="1988"/>
    </row>
    <row r="485" spans="1:24" ht="26" hidden="1" x14ac:dyDescent="0.25">
      <c r="A485" s="32"/>
      <c r="B485" s="1993" t="s">
        <v>4</v>
      </c>
      <c r="C485" s="9"/>
      <c r="D485" s="88"/>
      <c r="E485" s="9"/>
      <c r="F485" s="9" t="s">
        <v>63</v>
      </c>
      <c r="G485" s="9" t="s">
        <v>1</v>
      </c>
      <c r="H485" s="9"/>
      <c r="I485" s="9"/>
      <c r="J485" s="1061"/>
      <c r="K485" s="1061"/>
      <c r="L485" s="1061"/>
      <c r="M485" s="1124"/>
      <c r="N485" s="1986"/>
      <c r="O485" s="1947"/>
      <c r="P485" s="1941"/>
      <c r="Q485" s="1987"/>
      <c r="R485" s="1988"/>
    </row>
    <row r="486" spans="1:24" ht="13" hidden="1" x14ac:dyDescent="0.25">
      <c r="A486" s="32"/>
      <c r="B486" s="49" t="s">
        <v>64</v>
      </c>
      <c r="C486" s="9"/>
      <c r="D486" s="88"/>
      <c r="E486" s="9"/>
      <c r="F486" s="9" t="s">
        <v>63</v>
      </c>
      <c r="G486" s="9" t="s">
        <v>1</v>
      </c>
      <c r="H486" s="9"/>
      <c r="I486" s="9" t="s">
        <v>62</v>
      </c>
      <c r="J486" s="1061"/>
      <c r="K486" s="1061"/>
      <c r="L486" s="1061"/>
      <c r="M486" s="1124"/>
      <c r="N486" s="1986"/>
      <c r="O486" s="1947"/>
      <c r="P486" s="1941"/>
      <c r="Q486" s="1987"/>
      <c r="R486" s="1988"/>
    </row>
    <row r="487" spans="1:24" ht="26" hidden="1" x14ac:dyDescent="0.25">
      <c r="A487" s="32"/>
      <c r="B487" s="58" t="s">
        <v>29</v>
      </c>
      <c r="C487" s="9"/>
      <c r="D487" s="9" t="s">
        <v>15</v>
      </c>
      <c r="E487" s="9" t="s">
        <v>9</v>
      </c>
      <c r="F487" s="34" t="s">
        <v>27</v>
      </c>
      <c r="G487" s="48"/>
      <c r="H487" s="48"/>
      <c r="I487" s="9"/>
      <c r="J487" s="57">
        <f>J489</f>
        <v>0</v>
      </c>
      <c r="K487" s="1061"/>
      <c r="L487" s="1061"/>
      <c r="M487" s="1124"/>
      <c r="N487" s="2021">
        <f>N489</f>
        <v>0</v>
      </c>
      <c r="O487" s="1953">
        <f>O489</f>
        <v>0</v>
      </c>
      <c r="P487" s="1953">
        <f>P489</f>
        <v>0</v>
      </c>
      <c r="Q487" s="2078">
        <f>Q489</f>
        <v>0</v>
      </c>
      <c r="R487" s="2079">
        <f>R489</f>
        <v>0</v>
      </c>
    </row>
    <row r="488" spans="1:24" ht="13" hidden="1" x14ac:dyDescent="0.25">
      <c r="A488" s="32"/>
      <c r="B488" s="2080" t="s">
        <v>28</v>
      </c>
      <c r="C488" s="9"/>
      <c r="D488" s="9"/>
      <c r="E488" s="9"/>
      <c r="F488" s="9" t="s">
        <v>27</v>
      </c>
      <c r="G488" s="9" t="s">
        <v>26</v>
      </c>
      <c r="H488" s="9"/>
      <c r="I488" s="9"/>
      <c r="J488" s="1061"/>
      <c r="K488" s="1061"/>
      <c r="L488" s="1061"/>
      <c r="M488" s="1124"/>
      <c r="N488" s="1986"/>
      <c r="O488" s="1947"/>
      <c r="P488" s="1941"/>
      <c r="Q488" s="1987"/>
      <c r="R488" s="1988"/>
    </row>
    <row r="489" spans="1:24" ht="13" hidden="1" x14ac:dyDescent="0.3">
      <c r="A489" s="32"/>
      <c r="B489" s="744" t="s">
        <v>11</v>
      </c>
      <c r="C489" s="9"/>
      <c r="D489" s="9" t="s">
        <v>15</v>
      </c>
      <c r="E489" s="9" t="s">
        <v>9</v>
      </c>
      <c r="F489" s="9" t="s">
        <v>27</v>
      </c>
      <c r="G489" s="9" t="s">
        <v>26</v>
      </c>
      <c r="H489" s="9"/>
      <c r="I489" s="9" t="s">
        <v>9</v>
      </c>
      <c r="J489" s="1061"/>
      <c r="K489" s="1061"/>
      <c r="L489" s="1061"/>
      <c r="M489" s="1124"/>
      <c r="N489" s="1986"/>
      <c r="O489" s="1947"/>
      <c r="P489" s="1941"/>
      <c r="Q489" s="1987"/>
      <c r="R489" s="1988"/>
    </row>
    <row r="490" spans="1:24" ht="26" hidden="1" x14ac:dyDescent="0.25">
      <c r="A490" s="32"/>
      <c r="B490" s="1098" t="s">
        <v>863</v>
      </c>
      <c r="C490" s="9"/>
      <c r="D490" s="88"/>
      <c r="E490" s="9"/>
      <c r="F490" s="34" t="s">
        <v>862</v>
      </c>
      <c r="G490" s="88"/>
      <c r="H490" s="88"/>
      <c r="I490" s="9"/>
      <c r="J490" s="1061"/>
      <c r="K490" s="1061"/>
      <c r="L490" s="1061"/>
      <c r="M490" s="1124"/>
      <c r="N490" s="1982"/>
      <c r="O490" s="1947"/>
      <c r="P490" s="1941"/>
      <c r="Q490" s="1995"/>
      <c r="R490" s="1985"/>
    </row>
    <row r="491" spans="1:24" ht="26" hidden="1" x14ac:dyDescent="0.3">
      <c r="A491" s="32"/>
      <c r="B491" s="1993" t="s">
        <v>4</v>
      </c>
      <c r="C491" s="89"/>
      <c r="D491" s="9" t="s">
        <v>52</v>
      </c>
      <c r="E491" s="9" t="s">
        <v>58</v>
      </c>
      <c r="F491" s="9" t="s">
        <v>862</v>
      </c>
      <c r="G491" s="88">
        <v>240</v>
      </c>
      <c r="H491" s="88"/>
      <c r="I491" s="1063"/>
      <c r="J491" s="1061"/>
      <c r="K491" s="1063"/>
      <c r="L491" s="1063"/>
      <c r="M491" s="84"/>
      <c r="N491" s="1986"/>
      <c r="O491" s="1947"/>
      <c r="P491" s="1941"/>
      <c r="Q491" s="1987"/>
      <c r="R491" s="1988"/>
    </row>
    <row r="492" spans="1:24" ht="13" hidden="1" x14ac:dyDescent="0.3">
      <c r="A492" s="32"/>
      <c r="B492" s="90" t="s">
        <v>60</v>
      </c>
      <c r="C492" s="89"/>
      <c r="D492" s="9"/>
      <c r="E492" s="9"/>
      <c r="F492" s="9" t="s">
        <v>862</v>
      </c>
      <c r="G492" s="88">
        <v>240</v>
      </c>
      <c r="H492" s="9" t="s">
        <v>452</v>
      </c>
      <c r="I492" s="9" t="s">
        <v>539</v>
      </c>
      <c r="J492" s="1061"/>
      <c r="K492" s="1063"/>
      <c r="L492" s="1063"/>
      <c r="M492" s="84"/>
      <c r="N492" s="1986"/>
      <c r="O492" s="1947"/>
      <c r="P492" s="1941"/>
      <c r="Q492" s="1987"/>
      <c r="R492" s="1988"/>
    </row>
    <row r="493" spans="1:24" s="83" customFormat="1" ht="13" hidden="1" x14ac:dyDescent="0.3">
      <c r="A493" s="85"/>
      <c r="B493" s="49" t="s">
        <v>57</v>
      </c>
      <c r="C493" s="9"/>
      <c r="D493" s="9" t="s">
        <v>52</v>
      </c>
      <c r="E493" s="9" t="s">
        <v>49</v>
      </c>
      <c r="F493" s="34" t="s">
        <v>56</v>
      </c>
      <c r="G493" s="34"/>
      <c r="H493" s="34"/>
      <c r="I493" s="9"/>
      <c r="J493" s="1065">
        <f>J494</f>
        <v>0</v>
      </c>
      <c r="K493" s="1065"/>
      <c r="L493" s="1065">
        <f t="shared" ref="L493:R493" si="123">L494</f>
        <v>0</v>
      </c>
      <c r="M493" s="1552">
        <f t="shared" si="123"/>
        <v>0</v>
      </c>
      <c r="N493" s="1982">
        <f t="shared" si="123"/>
        <v>0</v>
      </c>
      <c r="O493" s="1994">
        <f t="shared" si="123"/>
        <v>0</v>
      </c>
      <c r="P493" s="1939">
        <f t="shared" si="123"/>
        <v>0</v>
      </c>
      <c r="Q493" s="1995">
        <f t="shared" si="123"/>
        <v>0</v>
      </c>
      <c r="R493" s="1985">
        <f t="shared" si="123"/>
        <v>0</v>
      </c>
      <c r="S493" s="84"/>
      <c r="T493" s="84"/>
      <c r="U493" s="84"/>
      <c r="V493" s="84"/>
      <c r="W493" s="84"/>
      <c r="X493" s="84"/>
    </row>
    <row r="494" spans="1:24" s="83" customFormat="1" ht="26" hidden="1" x14ac:dyDescent="0.3">
      <c r="A494" s="85"/>
      <c r="B494" s="1993" t="s">
        <v>4</v>
      </c>
      <c r="C494" s="9"/>
      <c r="D494" s="9" t="s">
        <v>52</v>
      </c>
      <c r="E494" s="9" t="s">
        <v>49</v>
      </c>
      <c r="F494" s="9" t="s">
        <v>56</v>
      </c>
      <c r="G494" s="9" t="s">
        <v>1</v>
      </c>
      <c r="H494" s="9"/>
      <c r="I494" s="9"/>
      <c r="J494" s="1063">
        <f>J495</f>
        <v>0</v>
      </c>
      <c r="K494" s="1063"/>
      <c r="L494" s="1063"/>
      <c r="M494" s="1125"/>
      <c r="N494" s="1986">
        <f>N495</f>
        <v>0</v>
      </c>
      <c r="O494" s="1947">
        <f>O495</f>
        <v>0</v>
      </c>
      <c r="P494" s="1941">
        <f>P495</f>
        <v>0</v>
      </c>
      <c r="Q494" s="1987">
        <f>Q495</f>
        <v>0</v>
      </c>
      <c r="R494" s="1988">
        <f>R495</f>
        <v>0</v>
      </c>
      <c r="S494" s="84"/>
      <c r="T494" s="84"/>
      <c r="U494" s="84"/>
      <c r="V494" s="84"/>
      <c r="W494" s="84"/>
      <c r="X494" s="84"/>
    </row>
    <row r="495" spans="1:24" s="83" customFormat="1" ht="13" hidden="1" x14ac:dyDescent="0.3">
      <c r="A495" s="85"/>
      <c r="B495" s="2003" t="s">
        <v>51</v>
      </c>
      <c r="C495" s="9"/>
      <c r="D495" s="9"/>
      <c r="E495" s="9"/>
      <c r="F495" s="9" t="s">
        <v>56</v>
      </c>
      <c r="G495" s="9" t="s">
        <v>1</v>
      </c>
      <c r="H495" s="9"/>
      <c r="I495" s="9" t="s">
        <v>49</v>
      </c>
      <c r="J495" s="1063"/>
      <c r="K495" s="1063"/>
      <c r="L495" s="1063"/>
      <c r="M495" s="1125"/>
      <c r="N495" s="1986"/>
      <c r="O495" s="1947"/>
      <c r="P495" s="1941"/>
      <c r="Q495" s="1987"/>
      <c r="R495" s="1988"/>
      <c r="S495" s="84"/>
      <c r="T495" s="84"/>
      <c r="U495" s="84"/>
      <c r="V495" s="84"/>
      <c r="W495" s="84"/>
      <c r="X495" s="84"/>
    </row>
    <row r="496" spans="1:24" s="83" customFormat="1" ht="13" hidden="1" x14ac:dyDescent="0.3">
      <c r="A496" s="85"/>
      <c r="B496" s="49" t="s">
        <v>55</v>
      </c>
      <c r="C496" s="9"/>
      <c r="D496" s="9" t="s">
        <v>52</v>
      </c>
      <c r="E496" s="9" t="s">
        <v>49</v>
      </c>
      <c r="F496" s="34" t="s">
        <v>54</v>
      </c>
      <c r="G496" s="9"/>
      <c r="H496" s="9"/>
      <c r="I496" s="9"/>
      <c r="J496" s="1065">
        <f>J497</f>
        <v>94.8</v>
      </c>
      <c r="K496" s="1065"/>
      <c r="L496" s="1065">
        <f t="shared" ref="L496:R496" si="124">L497</f>
        <v>64.8</v>
      </c>
      <c r="M496" s="1552">
        <f t="shared" si="124"/>
        <v>64.8</v>
      </c>
      <c r="N496" s="1982">
        <f t="shared" si="124"/>
        <v>0</v>
      </c>
      <c r="O496" s="1994">
        <f t="shared" si="124"/>
        <v>0</v>
      </c>
      <c r="P496" s="1939">
        <f t="shared" si="124"/>
        <v>0</v>
      </c>
      <c r="Q496" s="1995">
        <f t="shared" si="124"/>
        <v>0</v>
      </c>
      <c r="R496" s="1985">
        <f t="shared" si="124"/>
        <v>0</v>
      </c>
      <c r="S496" s="84"/>
      <c r="T496" s="84"/>
      <c r="U496" s="84"/>
      <c r="V496" s="84"/>
      <c r="W496" s="84"/>
      <c r="X496" s="84"/>
    </row>
    <row r="497" spans="1:24" s="83" customFormat="1" ht="26" hidden="1" x14ac:dyDescent="0.3">
      <c r="A497" s="85"/>
      <c r="B497" s="1993" t="s">
        <v>4</v>
      </c>
      <c r="C497" s="9"/>
      <c r="D497" s="9" t="s">
        <v>52</v>
      </c>
      <c r="E497" s="9" t="s">
        <v>49</v>
      </c>
      <c r="F497" s="9" t="s">
        <v>54</v>
      </c>
      <c r="G497" s="9" t="s">
        <v>1</v>
      </c>
      <c r="H497" s="9"/>
      <c r="I497" s="9"/>
      <c r="J497" s="1063">
        <f>J498</f>
        <v>94.8</v>
      </c>
      <c r="K497" s="1063"/>
      <c r="L497" s="1063">
        <v>64.8</v>
      </c>
      <c r="M497" s="1125">
        <v>64.8</v>
      </c>
      <c r="N497" s="1986">
        <f>N498</f>
        <v>0</v>
      </c>
      <c r="O497" s="1947">
        <f>O498</f>
        <v>0</v>
      </c>
      <c r="P497" s="1941">
        <f>P498</f>
        <v>0</v>
      </c>
      <c r="Q497" s="1987">
        <f>Q498</f>
        <v>0</v>
      </c>
      <c r="R497" s="1988">
        <f>R498</f>
        <v>0</v>
      </c>
      <c r="S497" s="84"/>
      <c r="T497" s="84"/>
      <c r="U497" s="84"/>
      <c r="V497" s="84"/>
      <c r="W497" s="84"/>
      <c r="X497" s="84"/>
    </row>
    <row r="498" spans="1:24" s="83" customFormat="1" ht="13" hidden="1" x14ac:dyDescent="0.3">
      <c r="A498" s="85"/>
      <c r="B498" s="2003" t="s">
        <v>51</v>
      </c>
      <c r="C498" s="9"/>
      <c r="D498" s="9"/>
      <c r="E498" s="9"/>
      <c r="F498" s="9" t="s">
        <v>54</v>
      </c>
      <c r="G498" s="9" t="s">
        <v>1</v>
      </c>
      <c r="H498" s="9"/>
      <c r="I498" s="9" t="s">
        <v>49</v>
      </c>
      <c r="J498" s="1063">
        <v>94.8</v>
      </c>
      <c r="K498" s="1063"/>
      <c r="L498" s="1063">
        <v>64.8</v>
      </c>
      <c r="M498" s="1125">
        <v>64.8</v>
      </c>
      <c r="N498" s="1986"/>
      <c r="O498" s="1947"/>
      <c r="P498" s="1941"/>
      <c r="Q498" s="1987"/>
      <c r="R498" s="1988"/>
      <c r="S498" s="84"/>
      <c r="T498" s="84"/>
      <c r="U498" s="84"/>
      <c r="V498" s="84"/>
      <c r="W498" s="84"/>
      <c r="X498" s="84"/>
    </row>
    <row r="499" spans="1:24" s="83" customFormat="1" ht="13" x14ac:dyDescent="0.3">
      <c r="A499" s="85"/>
      <c r="B499" s="49" t="s">
        <v>57</v>
      </c>
      <c r="C499" s="9"/>
      <c r="D499" s="9"/>
      <c r="E499" s="9"/>
      <c r="F499" s="89" t="s">
        <v>536</v>
      </c>
      <c r="G499" s="9"/>
      <c r="H499" s="9"/>
      <c r="I499" s="535"/>
      <c r="J499" s="1125"/>
      <c r="K499" s="1122"/>
      <c r="L499" s="1122"/>
      <c r="M499" s="1122"/>
      <c r="N499" s="1982">
        <f>N500</f>
        <v>589.92600000000004</v>
      </c>
      <c r="O499" s="2081"/>
      <c r="P499" s="2081"/>
      <c r="Q499" s="1995">
        <f>Q500</f>
        <v>902.4</v>
      </c>
      <c r="R499" s="1985">
        <f>R500</f>
        <v>248.7</v>
      </c>
      <c r="S499" s="84"/>
      <c r="T499" s="84"/>
      <c r="U499" s="84"/>
      <c r="V499" s="84"/>
      <c r="W499" s="84"/>
      <c r="X499" s="84"/>
    </row>
    <row r="500" spans="1:24" s="83" customFormat="1" ht="13" x14ac:dyDescent="0.3">
      <c r="A500" s="85"/>
      <c r="B500" s="744" t="s">
        <v>16</v>
      </c>
      <c r="C500" s="9"/>
      <c r="D500" s="9"/>
      <c r="E500" s="9"/>
      <c r="F500" s="33" t="s">
        <v>536</v>
      </c>
      <c r="G500" s="9" t="s">
        <v>1</v>
      </c>
      <c r="H500" s="9"/>
      <c r="I500" s="535"/>
      <c r="J500" s="1125"/>
      <c r="K500" s="1122"/>
      <c r="L500" s="1122"/>
      <c r="M500" s="1122"/>
      <c r="N500" s="1986">
        <f>N501</f>
        <v>589.92600000000004</v>
      </c>
      <c r="O500" s="2081"/>
      <c r="P500" s="2081"/>
      <c r="Q500" s="1987">
        <f>Q501</f>
        <v>902.4</v>
      </c>
      <c r="R500" s="1988">
        <f>R501</f>
        <v>248.7</v>
      </c>
      <c r="S500" s="84"/>
      <c r="T500" s="84"/>
      <c r="U500" s="84"/>
      <c r="V500" s="84"/>
      <c r="W500" s="84"/>
      <c r="X500" s="84"/>
    </row>
    <row r="501" spans="1:24" s="83" customFormat="1" ht="13" x14ac:dyDescent="0.3">
      <c r="A501" s="85"/>
      <c r="B501" s="2003" t="s">
        <v>51</v>
      </c>
      <c r="C501" s="9"/>
      <c r="D501" s="9"/>
      <c r="E501" s="9"/>
      <c r="F501" s="33" t="s">
        <v>536</v>
      </c>
      <c r="G501" s="9" t="s">
        <v>1</v>
      </c>
      <c r="H501" s="9" t="s">
        <v>452</v>
      </c>
      <c r="I501" s="535" t="s">
        <v>534</v>
      </c>
      <c r="J501" s="1125"/>
      <c r="K501" s="1122"/>
      <c r="L501" s="1122"/>
      <c r="M501" s="1122"/>
      <c r="N501" s="1986">
        <f>500+170-57.817-22.257</f>
        <v>589.92600000000004</v>
      </c>
      <c r="O501" s="2081"/>
      <c r="P501" s="2081"/>
      <c r="Q501" s="1987">
        <v>902.4</v>
      </c>
      <c r="R501" s="1988">
        <v>248.7</v>
      </c>
      <c r="S501" s="84"/>
      <c r="T501" s="84"/>
      <c r="U501" s="84"/>
      <c r="V501" s="84"/>
      <c r="W501" s="84"/>
      <c r="X501" s="84"/>
    </row>
    <row r="502" spans="1:24" s="83" customFormat="1" ht="13" x14ac:dyDescent="0.3">
      <c r="A502" s="85"/>
      <c r="B502" s="537" t="s">
        <v>535</v>
      </c>
      <c r="C502" s="9"/>
      <c r="D502" s="9"/>
      <c r="E502" s="9"/>
      <c r="F502" s="89" t="s">
        <v>54</v>
      </c>
      <c r="G502" s="9"/>
      <c r="H502" s="9"/>
      <c r="I502" s="535"/>
      <c r="J502" s="1125"/>
      <c r="K502" s="1122"/>
      <c r="L502" s="1122"/>
      <c r="M502" s="1122"/>
      <c r="N502" s="1982">
        <f>N503</f>
        <v>94.8</v>
      </c>
      <c r="O502" s="2081"/>
      <c r="P502" s="2081"/>
      <c r="Q502" s="1995"/>
      <c r="R502" s="1985"/>
      <c r="S502" s="84"/>
      <c r="T502" s="84"/>
      <c r="U502" s="84"/>
      <c r="V502" s="84"/>
      <c r="W502" s="84"/>
      <c r="X502" s="84"/>
    </row>
    <row r="503" spans="1:24" s="83" customFormat="1" ht="13" x14ac:dyDescent="0.3">
      <c r="A503" s="85"/>
      <c r="B503" s="744" t="s">
        <v>16</v>
      </c>
      <c r="C503" s="9"/>
      <c r="D503" s="9"/>
      <c r="E503" s="9"/>
      <c r="F503" s="33" t="s">
        <v>54</v>
      </c>
      <c r="G503" s="9" t="s">
        <v>1</v>
      </c>
      <c r="H503" s="9"/>
      <c r="I503" s="535"/>
      <c r="J503" s="1125"/>
      <c r="K503" s="1122"/>
      <c r="L503" s="1122"/>
      <c r="M503" s="1122"/>
      <c r="N503" s="1986">
        <f>N504</f>
        <v>94.8</v>
      </c>
      <c r="O503" s="2081"/>
      <c r="P503" s="2081"/>
      <c r="Q503" s="1987"/>
      <c r="R503" s="1988"/>
      <c r="S503" s="84"/>
      <c r="T503" s="84"/>
      <c r="U503" s="84"/>
      <c r="V503" s="84"/>
      <c r="W503" s="84"/>
      <c r="X503" s="84"/>
    </row>
    <row r="504" spans="1:24" s="83" customFormat="1" ht="13" x14ac:dyDescent="0.3">
      <c r="A504" s="85"/>
      <c r="B504" s="2003" t="s">
        <v>51</v>
      </c>
      <c r="C504" s="9"/>
      <c r="D504" s="9"/>
      <c r="E504" s="9"/>
      <c r="F504" s="33" t="s">
        <v>54</v>
      </c>
      <c r="G504" s="9" t="s">
        <v>1</v>
      </c>
      <c r="H504" s="9" t="s">
        <v>452</v>
      </c>
      <c r="I504" s="535" t="s">
        <v>534</v>
      </c>
      <c r="J504" s="1125"/>
      <c r="K504" s="1122"/>
      <c r="L504" s="1122"/>
      <c r="M504" s="1122"/>
      <c r="N504" s="1986">
        <v>94.8</v>
      </c>
      <c r="O504" s="2081"/>
      <c r="P504" s="2081"/>
      <c r="Q504" s="1987"/>
      <c r="R504" s="1988"/>
      <c r="S504" s="84"/>
      <c r="T504" s="84"/>
      <c r="U504" s="84"/>
      <c r="V504" s="84"/>
      <c r="W504" s="84"/>
      <c r="X504" s="84"/>
    </row>
    <row r="505" spans="1:24" s="83" customFormat="1" ht="39" hidden="1" x14ac:dyDescent="0.3">
      <c r="A505" s="85"/>
      <c r="B505" s="533" t="s">
        <v>788</v>
      </c>
      <c r="C505" s="9"/>
      <c r="D505" s="9"/>
      <c r="E505" s="9"/>
      <c r="F505" s="89" t="s">
        <v>789</v>
      </c>
      <c r="G505" s="9"/>
      <c r="H505" s="9"/>
      <c r="I505" s="535"/>
      <c r="J505" s="1125"/>
      <c r="K505" s="1122"/>
      <c r="L505" s="1122"/>
      <c r="M505" s="1122"/>
      <c r="N505" s="1982">
        <f>N506</f>
        <v>0</v>
      </c>
      <c r="O505" s="2081"/>
      <c r="P505" s="2081"/>
      <c r="Q505" s="1995">
        <f>Q506</f>
        <v>0</v>
      </c>
      <c r="R505" s="1985">
        <f>R506</f>
        <v>0</v>
      </c>
      <c r="S505" s="84"/>
      <c r="T505" s="84"/>
      <c r="U505" s="84"/>
      <c r="V505" s="84"/>
      <c r="W505" s="84"/>
      <c r="X505" s="84"/>
    </row>
    <row r="506" spans="1:24" ht="13" hidden="1" x14ac:dyDescent="0.3">
      <c r="A506" s="842"/>
      <c r="B506" s="744" t="s">
        <v>16</v>
      </c>
      <c r="C506" s="409" t="s">
        <v>430</v>
      </c>
      <c r="D506" s="409" t="s">
        <v>456</v>
      </c>
      <c r="E506" s="409" t="s">
        <v>506</v>
      </c>
      <c r="F506" s="33" t="s">
        <v>789</v>
      </c>
      <c r="G506" s="532" t="s">
        <v>1</v>
      </c>
      <c r="H506" s="531"/>
      <c r="I506" s="529"/>
      <c r="J506" s="269"/>
      <c r="K506" s="830"/>
      <c r="L506" s="2"/>
      <c r="M506" s="2"/>
      <c r="N506" s="2075">
        <f>N507</f>
        <v>0</v>
      </c>
      <c r="O506" s="2082"/>
      <c r="P506" s="2082"/>
      <c r="Q506" s="2083">
        <f>Q507</f>
        <v>0</v>
      </c>
      <c r="R506" s="2084">
        <f>R507</f>
        <v>0</v>
      </c>
      <c r="S506" s="1"/>
      <c r="T506" s="1"/>
      <c r="U506" s="1"/>
      <c r="V506" s="1"/>
      <c r="W506" s="1"/>
      <c r="X506" s="1"/>
    </row>
    <row r="507" spans="1:24" ht="13" hidden="1" x14ac:dyDescent="0.3">
      <c r="A507" s="843"/>
      <c r="B507" s="534" t="s">
        <v>419</v>
      </c>
      <c r="C507" s="409" t="s">
        <v>430</v>
      </c>
      <c r="D507" s="409" t="s">
        <v>456</v>
      </c>
      <c r="E507" s="409" t="s">
        <v>506</v>
      </c>
      <c r="F507" s="33" t="s">
        <v>789</v>
      </c>
      <c r="G507" s="532" t="s">
        <v>1</v>
      </c>
      <c r="H507" s="9" t="s">
        <v>456</v>
      </c>
      <c r="I507" s="9" t="s">
        <v>506</v>
      </c>
      <c r="J507" s="269"/>
      <c r="K507" s="830"/>
      <c r="L507" s="2"/>
      <c r="M507" s="2"/>
      <c r="N507" s="2075">
        <v>0</v>
      </c>
      <c r="O507" s="2082"/>
      <c r="P507" s="2082"/>
      <c r="Q507" s="2083">
        <v>0</v>
      </c>
      <c r="R507" s="2084">
        <v>0</v>
      </c>
      <c r="S507" s="1"/>
      <c r="T507" s="1"/>
      <c r="U507" s="1"/>
      <c r="V507" s="1"/>
      <c r="W507" s="1"/>
      <c r="X507" s="1"/>
    </row>
    <row r="508" spans="1:24" s="83" customFormat="1" ht="13" x14ac:dyDescent="0.3">
      <c r="A508" s="85"/>
      <c r="B508" s="2085" t="s">
        <v>53</v>
      </c>
      <c r="C508" s="9"/>
      <c r="D508" s="9" t="s">
        <v>52</v>
      </c>
      <c r="E508" s="9" t="s">
        <v>49</v>
      </c>
      <c r="F508" s="34" t="s">
        <v>50</v>
      </c>
      <c r="G508" s="9"/>
      <c r="H508" s="9"/>
      <c r="I508" s="9"/>
      <c r="J508" s="1064">
        <f>J509</f>
        <v>3163.5070000000001</v>
      </c>
      <c r="K508" s="1065"/>
      <c r="L508" s="1065">
        <f t="shared" ref="L508:R508" si="125">L509</f>
        <v>0</v>
      </c>
      <c r="M508" s="1552">
        <f t="shared" si="125"/>
        <v>0</v>
      </c>
      <c r="N508" s="1982">
        <f t="shared" si="125"/>
        <v>967.12800000000004</v>
      </c>
      <c r="O508" s="1994">
        <f t="shared" si="125"/>
        <v>0</v>
      </c>
      <c r="P508" s="1939">
        <f t="shared" si="125"/>
        <v>0</v>
      </c>
      <c r="Q508" s="1995">
        <f t="shared" si="125"/>
        <v>504</v>
      </c>
      <c r="R508" s="1985">
        <f t="shared" si="125"/>
        <v>304</v>
      </c>
      <c r="S508" s="84"/>
      <c r="T508" s="84"/>
      <c r="U508" s="84"/>
      <c r="V508" s="84"/>
      <c r="W508" s="84"/>
      <c r="X508" s="84"/>
    </row>
    <row r="509" spans="1:24" s="83" customFormat="1" ht="13" x14ac:dyDescent="0.3">
      <c r="A509" s="85"/>
      <c r="B509" s="744" t="s">
        <v>16</v>
      </c>
      <c r="C509" s="9"/>
      <c r="D509" s="9" t="s">
        <v>52</v>
      </c>
      <c r="E509" s="9" t="s">
        <v>49</v>
      </c>
      <c r="F509" s="9" t="s">
        <v>50</v>
      </c>
      <c r="G509" s="9" t="s">
        <v>1</v>
      </c>
      <c r="H509" s="9"/>
      <c r="I509" s="9"/>
      <c r="J509" s="1061">
        <f>J510</f>
        <v>3163.5070000000001</v>
      </c>
      <c r="K509" s="1065"/>
      <c r="L509" s="1065"/>
      <c r="M509" s="1552"/>
      <c r="N509" s="1986">
        <f>N510</f>
        <v>967.12800000000004</v>
      </c>
      <c r="O509" s="1947">
        <f>O510</f>
        <v>0</v>
      </c>
      <c r="P509" s="1941">
        <f>P510</f>
        <v>0</v>
      </c>
      <c r="Q509" s="1987">
        <f>Q510</f>
        <v>504</v>
      </c>
      <c r="R509" s="1988">
        <f>R510</f>
        <v>304</v>
      </c>
      <c r="S509" s="84"/>
      <c r="T509" s="84"/>
      <c r="U509" s="84"/>
      <c r="V509" s="84"/>
      <c r="W509" s="84"/>
      <c r="X509" s="84"/>
    </row>
    <row r="510" spans="1:24" s="83" customFormat="1" ht="13" x14ac:dyDescent="0.3">
      <c r="A510" s="85"/>
      <c r="B510" s="2003" t="s">
        <v>51</v>
      </c>
      <c r="C510" s="9"/>
      <c r="D510" s="9"/>
      <c r="E510" s="9"/>
      <c r="F510" s="9" t="s">
        <v>50</v>
      </c>
      <c r="G510" s="9" t="s">
        <v>1</v>
      </c>
      <c r="H510" s="9" t="s">
        <v>452</v>
      </c>
      <c r="I510" s="9" t="s">
        <v>534</v>
      </c>
      <c r="J510" s="1126">
        <v>3163.5070000000001</v>
      </c>
      <c r="K510" s="1065"/>
      <c r="L510" s="1065"/>
      <c r="M510" s="1552"/>
      <c r="N510" s="1986">
        <f>905.2+450+500-750-138.072</f>
        <v>967.12800000000004</v>
      </c>
      <c r="O510" s="1947"/>
      <c r="P510" s="1941"/>
      <c r="Q510" s="1987">
        <v>504</v>
      </c>
      <c r="R510" s="1988">
        <v>304</v>
      </c>
      <c r="S510" s="84"/>
      <c r="T510" s="84"/>
      <c r="U510" s="84"/>
      <c r="V510" s="84"/>
      <c r="W510" s="84"/>
      <c r="X510" s="84"/>
    </row>
    <row r="511" spans="1:24" s="83" customFormat="1" ht="39" hidden="1" x14ac:dyDescent="0.3">
      <c r="A511" s="85"/>
      <c r="B511" s="52" t="s">
        <v>25</v>
      </c>
      <c r="C511" s="9"/>
      <c r="D511" s="34" t="s">
        <v>15</v>
      </c>
      <c r="E511" s="34" t="s">
        <v>13</v>
      </c>
      <c r="F511" s="34" t="s">
        <v>24</v>
      </c>
      <c r="G511" s="48"/>
      <c r="H511" s="48"/>
      <c r="I511" s="34"/>
      <c r="J511" s="131">
        <f>J512</f>
        <v>182.53199999999998</v>
      </c>
      <c r="K511" s="51"/>
      <c r="L511" s="51">
        <f t="shared" ref="L511:R511" si="126">L512</f>
        <v>85</v>
      </c>
      <c r="M511" s="1553">
        <f t="shared" si="126"/>
        <v>85</v>
      </c>
      <c r="N511" s="1982">
        <f t="shared" si="126"/>
        <v>50</v>
      </c>
      <c r="O511" s="1958">
        <f t="shared" si="126"/>
        <v>0</v>
      </c>
      <c r="P511" s="1944">
        <f t="shared" si="126"/>
        <v>0</v>
      </c>
      <c r="Q511" s="1996">
        <f t="shared" si="126"/>
        <v>0</v>
      </c>
      <c r="R511" s="1997">
        <f t="shared" si="126"/>
        <v>0</v>
      </c>
      <c r="S511" s="84"/>
      <c r="T511" s="84"/>
      <c r="U511" s="84"/>
      <c r="V511" s="84"/>
      <c r="W511" s="84"/>
      <c r="X511" s="84"/>
    </row>
    <row r="512" spans="1:24" s="83" customFormat="1" ht="26" x14ac:dyDescent="0.3">
      <c r="A512" s="85"/>
      <c r="B512" s="49" t="s">
        <v>237</v>
      </c>
      <c r="C512" s="9"/>
      <c r="D512" s="9" t="s">
        <v>15</v>
      </c>
      <c r="E512" s="9" t="s">
        <v>13</v>
      </c>
      <c r="F512" s="34" t="s">
        <v>1006</v>
      </c>
      <c r="G512" s="48"/>
      <c r="H512" s="48"/>
      <c r="I512" s="9"/>
      <c r="J512" s="131">
        <f>J515</f>
        <v>182.53199999999998</v>
      </c>
      <c r="K512" s="51"/>
      <c r="L512" s="51">
        <f t="shared" ref="L512:R512" si="127">L515</f>
        <v>85</v>
      </c>
      <c r="M512" s="1553">
        <f t="shared" si="127"/>
        <v>85</v>
      </c>
      <c r="N512" s="1982">
        <f>N515</f>
        <v>50</v>
      </c>
      <c r="O512" s="1958">
        <f t="shared" si="127"/>
        <v>0</v>
      </c>
      <c r="P512" s="1944">
        <f t="shared" si="127"/>
        <v>0</v>
      </c>
      <c r="Q512" s="1996">
        <f t="shared" si="127"/>
        <v>0</v>
      </c>
      <c r="R512" s="1997">
        <f t="shared" si="127"/>
        <v>0</v>
      </c>
      <c r="S512" s="84"/>
      <c r="T512" s="84"/>
      <c r="U512" s="84"/>
      <c r="V512" s="84"/>
      <c r="W512" s="84"/>
      <c r="X512" s="84"/>
    </row>
    <row r="513" spans="1:24" s="83" customFormat="1" ht="26.5" hidden="1" customHeight="1" x14ac:dyDescent="0.3">
      <c r="A513" s="85"/>
      <c r="B513" s="42"/>
      <c r="C513" s="31"/>
      <c r="D513" s="31"/>
      <c r="E513" s="31"/>
      <c r="F513" s="31"/>
      <c r="G513" s="3373"/>
      <c r="H513" s="3374"/>
      <c r="I513" s="3374"/>
      <c r="J513" s="3375"/>
      <c r="K513" s="45"/>
      <c r="L513" s="44"/>
      <c r="M513" s="44"/>
      <c r="N513" s="2086"/>
      <c r="O513" s="2087"/>
      <c r="P513" s="2087"/>
      <c r="Q513" s="2088"/>
      <c r="R513" s="2089"/>
      <c r="S513" s="84"/>
      <c r="T513" s="84"/>
      <c r="U513" s="84"/>
      <c r="V513" s="84"/>
      <c r="W513" s="84"/>
      <c r="X513" s="84"/>
    </row>
    <row r="514" spans="1:24" ht="39.65" hidden="1" customHeight="1" x14ac:dyDescent="0.25">
      <c r="A514" s="32"/>
      <c r="B514" s="42"/>
      <c r="C514" s="31"/>
      <c r="D514" s="31"/>
      <c r="E514" s="31"/>
      <c r="F514" s="31"/>
      <c r="G514" s="3373"/>
      <c r="H514" s="3374"/>
      <c r="I514" s="3374"/>
      <c r="J514" s="3375"/>
      <c r="K514" s="41"/>
      <c r="L514" s="2"/>
      <c r="M514" s="2"/>
      <c r="N514" s="2090"/>
      <c r="O514" s="2082"/>
      <c r="P514" s="2082"/>
      <c r="Q514" s="2091"/>
      <c r="R514" s="2092"/>
    </row>
    <row r="515" spans="1:24" ht="13" x14ac:dyDescent="0.3">
      <c r="A515" s="32"/>
      <c r="B515" s="2003" t="s">
        <v>94</v>
      </c>
      <c r="C515" s="31"/>
      <c r="D515" s="9" t="s">
        <v>15</v>
      </c>
      <c r="E515" s="9" t="s">
        <v>13</v>
      </c>
      <c r="F515" s="9" t="s">
        <v>1006</v>
      </c>
      <c r="G515" s="33" t="s">
        <v>91</v>
      </c>
      <c r="H515" s="33"/>
      <c r="I515" s="9"/>
      <c r="J515" s="515">
        <f>J516</f>
        <v>182.53199999999998</v>
      </c>
      <c r="K515" s="30"/>
      <c r="L515" s="29">
        <v>85</v>
      </c>
      <c r="M515" s="1569">
        <v>85</v>
      </c>
      <c r="N515" s="1998">
        <f>N516</f>
        <v>50</v>
      </c>
      <c r="O515" s="1961">
        <f>O516</f>
        <v>0</v>
      </c>
      <c r="P515" s="1961">
        <f>P516</f>
        <v>0</v>
      </c>
      <c r="Q515" s="2093">
        <f>Q516</f>
        <v>0</v>
      </c>
      <c r="R515" s="2094">
        <f>R516</f>
        <v>0</v>
      </c>
    </row>
    <row r="516" spans="1:24" ht="28.5" customHeight="1" x14ac:dyDescent="0.3">
      <c r="A516" s="32"/>
      <c r="B516" s="2012" t="s">
        <v>570</v>
      </c>
      <c r="C516" s="31"/>
      <c r="D516" s="9"/>
      <c r="E516" s="9"/>
      <c r="F516" s="9" t="s">
        <v>48</v>
      </c>
      <c r="G516" s="33" t="s">
        <v>91</v>
      </c>
      <c r="H516" s="33" t="s">
        <v>495</v>
      </c>
      <c r="I516" s="9" t="s">
        <v>539</v>
      </c>
      <c r="J516" s="515">
        <f>85+97.532</f>
        <v>182.53199999999998</v>
      </c>
      <c r="K516" s="30"/>
      <c r="L516" s="29">
        <v>85</v>
      </c>
      <c r="M516" s="1569">
        <v>85</v>
      </c>
      <c r="N516" s="1998">
        <v>50</v>
      </c>
      <c r="O516" s="1961"/>
      <c r="P516" s="1961"/>
      <c r="Q516" s="2093"/>
      <c r="R516" s="2094"/>
    </row>
    <row r="517" spans="1:24" ht="37.5" customHeight="1" x14ac:dyDescent="0.25">
      <c r="A517" s="32"/>
      <c r="B517" s="533" t="s">
        <v>788</v>
      </c>
      <c r="C517" s="9"/>
      <c r="D517" s="9"/>
      <c r="E517" s="9"/>
      <c r="F517" s="89" t="s">
        <v>789</v>
      </c>
      <c r="G517" s="9"/>
      <c r="H517" s="9"/>
      <c r="I517" s="535"/>
      <c r="J517" s="1125"/>
      <c r="K517" s="1122"/>
      <c r="L517" s="1122"/>
      <c r="M517" s="1122"/>
      <c r="N517" s="2139">
        <f>N518</f>
        <v>0</v>
      </c>
      <c r="O517" s="1961"/>
      <c r="P517" s="1961"/>
      <c r="Q517" s="2093"/>
      <c r="R517" s="2094"/>
    </row>
    <row r="518" spans="1:24" ht="28.5" customHeight="1" x14ac:dyDescent="0.3">
      <c r="A518" s="32"/>
      <c r="B518" s="16" t="s">
        <v>16</v>
      </c>
      <c r="C518" s="409" t="s">
        <v>430</v>
      </c>
      <c r="D518" s="409" t="s">
        <v>456</v>
      </c>
      <c r="E518" s="409" t="s">
        <v>506</v>
      </c>
      <c r="F518" s="33" t="s">
        <v>789</v>
      </c>
      <c r="G518" s="532" t="s">
        <v>1</v>
      </c>
      <c r="H518" s="531"/>
      <c r="I518" s="529"/>
      <c r="J518" s="269"/>
      <c r="K518" s="830"/>
      <c r="L518" s="2"/>
      <c r="M518" s="2"/>
      <c r="N518" s="831">
        <f>N519</f>
        <v>0</v>
      </c>
      <c r="O518" s="1961"/>
      <c r="P518" s="1961"/>
      <c r="Q518" s="2093"/>
      <c r="R518" s="2094"/>
    </row>
    <row r="519" spans="1:24" ht="28.5" customHeight="1" x14ac:dyDescent="0.3">
      <c r="A519" s="32"/>
      <c r="B519" s="534" t="s">
        <v>419</v>
      </c>
      <c r="C519" s="409" t="s">
        <v>430</v>
      </c>
      <c r="D519" s="409" t="s">
        <v>456</v>
      </c>
      <c r="E519" s="409" t="s">
        <v>506</v>
      </c>
      <c r="F519" s="33" t="s">
        <v>789</v>
      </c>
      <c r="G519" s="532" t="s">
        <v>1</v>
      </c>
      <c r="H519" s="9" t="s">
        <v>456</v>
      </c>
      <c r="I519" s="9" t="s">
        <v>506</v>
      </c>
      <c r="J519" s="269"/>
      <c r="K519" s="830"/>
      <c r="L519" s="2"/>
      <c r="M519" s="2"/>
      <c r="N519" s="831"/>
      <c r="O519" s="1961"/>
      <c r="P519" s="1961"/>
      <c r="Q519" s="2093"/>
      <c r="R519" s="2094"/>
    </row>
    <row r="520" spans="1:24" ht="52" x14ac:dyDescent="0.3">
      <c r="A520" s="32"/>
      <c r="B520" s="2095" t="s">
        <v>1033</v>
      </c>
      <c r="C520" s="1813"/>
      <c r="D520" s="9"/>
      <c r="E520" s="9"/>
      <c r="F520" s="79" t="s">
        <v>33</v>
      </c>
      <c r="G520" s="33"/>
      <c r="H520" s="33"/>
      <c r="I520" s="9"/>
      <c r="J520" s="515"/>
      <c r="K520" s="30"/>
      <c r="L520" s="29"/>
      <c r="M520" s="1569"/>
      <c r="N520" s="1998">
        <f>N521</f>
        <v>5091.6480000000001</v>
      </c>
      <c r="O520" s="1961"/>
      <c r="P520" s="1961"/>
      <c r="Q520" s="2093"/>
      <c r="R520" s="2094"/>
    </row>
    <row r="521" spans="1:24" ht="39" x14ac:dyDescent="0.3">
      <c r="A521" s="32"/>
      <c r="B521" s="2095" t="s">
        <v>1034</v>
      </c>
      <c r="C521" s="1813"/>
      <c r="D521" s="9"/>
      <c r="E521" s="9"/>
      <c r="F521" s="77" t="s">
        <v>33</v>
      </c>
      <c r="G521" s="33" t="s">
        <v>521</v>
      </c>
      <c r="H521" s="33"/>
      <c r="I521" s="9"/>
      <c r="J521" s="515"/>
      <c r="K521" s="30"/>
      <c r="L521" s="29"/>
      <c r="M521" s="1569"/>
      <c r="N521" s="1998">
        <f>N522</f>
        <v>5091.6480000000001</v>
      </c>
      <c r="O521" s="1961"/>
      <c r="P521" s="1961"/>
      <c r="Q521" s="2093"/>
      <c r="R521" s="2094"/>
    </row>
    <row r="522" spans="1:24" ht="13" x14ac:dyDescent="0.3">
      <c r="A522" s="32"/>
      <c r="B522" s="90" t="s">
        <v>34</v>
      </c>
      <c r="C522" s="1813"/>
      <c r="D522" s="9"/>
      <c r="E522" s="9"/>
      <c r="F522" s="77" t="s">
        <v>33</v>
      </c>
      <c r="G522" s="33" t="s">
        <v>521</v>
      </c>
      <c r="H522" s="33" t="s">
        <v>463</v>
      </c>
      <c r="I522" s="9" t="s">
        <v>495</v>
      </c>
      <c r="J522" s="515"/>
      <c r="K522" s="30"/>
      <c r="L522" s="29"/>
      <c r="M522" s="1569"/>
      <c r="N522" s="1998">
        <f>2984.802+2106.846</f>
        <v>5091.6480000000001</v>
      </c>
      <c r="O522" s="1961"/>
      <c r="P522" s="1961"/>
      <c r="Q522" s="2093"/>
      <c r="R522" s="2094"/>
    </row>
    <row r="523" spans="1:24" ht="24" customHeight="1" x14ac:dyDescent="0.3">
      <c r="A523" s="32"/>
      <c r="B523" s="534" t="s">
        <v>918</v>
      </c>
      <c r="C523" s="1813"/>
      <c r="D523" s="9"/>
      <c r="E523" s="9"/>
      <c r="F523" s="79" t="s">
        <v>919</v>
      </c>
      <c r="G523" s="33"/>
      <c r="H523" s="33"/>
      <c r="I523" s="9"/>
      <c r="J523" s="515">
        <f>J526</f>
        <v>153.32</v>
      </c>
      <c r="K523" s="30"/>
      <c r="L523" s="29"/>
      <c r="M523" s="1569"/>
      <c r="N523" s="1989">
        <f>N526+N524</f>
        <v>764.5150000000001</v>
      </c>
      <c r="O523" s="2096">
        <f>O526+O524</f>
        <v>585.81999999999994</v>
      </c>
      <c r="P523" s="2096">
        <f>P526+P524</f>
        <v>610.88699999999994</v>
      </c>
      <c r="Q523" s="2097">
        <f>Q526+Q524</f>
        <v>1200</v>
      </c>
      <c r="R523" s="2098">
        <f>R526+R524</f>
        <v>1200</v>
      </c>
    </row>
    <row r="524" spans="1:24" ht="13" x14ac:dyDescent="0.3">
      <c r="A524" s="32"/>
      <c r="B524" s="724" t="s">
        <v>16</v>
      </c>
      <c r="C524" s="1813"/>
      <c r="D524" s="9"/>
      <c r="E524" s="9"/>
      <c r="F524" s="77" t="s">
        <v>919</v>
      </c>
      <c r="G524" s="33" t="s">
        <v>1</v>
      </c>
      <c r="H524" s="33"/>
      <c r="I524" s="9"/>
      <c r="J524" s="515"/>
      <c r="K524" s="30"/>
      <c r="L524" s="29"/>
      <c r="M524" s="1569"/>
      <c r="N524" s="1998">
        <f>N525</f>
        <v>764.5150000000001</v>
      </c>
      <c r="O524" s="1961">
        <f>O525</f>
        <v>31.3</v>
      </c>
      <c r="P524" s="1961">
        <f>P525</f>
        <v>34.43</v>
      </c>
      <c r="Q524" s="2093">
        <f>Q525</f>
        <v>1200</v>
      </c>
      <c r="R524" s="2094">
        <f>R525</f>
        <v>1200</v>
      </c>
    </row>
    <row r="525" spans="1:24" ht="13" x14ac:dyDescent="0.3">
      <c r="A525" s="32"/>
      <c r="B525" s="724" t="s">
        <v>920</v>
      </c>
      <c r="C525" s="1813"/>
      <c r="D525" s="9"/>
      <c r="E525" s="9"/>
      <c r="F525" s="77" t="s">
        <v>919</v>
      </c>
      <c r="G525" s="33" t="s">
        <v>1</v>
      </c>
      <c r="H525" s="33" t="s">
        <v>534</v>
      </c>
      <c r="I525" s="9" t="s">
        <v>488</v>
      </c>
      <c r="J525" s="515"/>
      <c r="K525" s="30"/>
      <c r="L525" s="29"/>
      <c r="M525" s="1569"/>
      <c r="N525" s="1998">
        <f>1200-10.879-424.606</f>
        <v>764.5150000000001</v>
      </c>
      <c r="O525" s="1961">
        <v>31.3</v>
      </c>
      <c r="P525" s="1961">
        <v>34.43</v>
      </c>
      <c r="Q525" s="2093">
        <v>1200</v>
      </c>
      <c r="R525" s="2094">
        <v>1200</v>
      </c>
    </row>
    <row r="526" spans="1:24" ht="13" hidden="1" x14ac:dyDescent="0.25">
      <c r="A526" s="32"/>
      <c r="B526" s="724" t="s">
        <v>109</v>
      </c>
      <c r="C526" s="70"/>
      <c r="D526" s="9" t="s">
        <v>44</v>
      </c>
      <c r="E526" s="9" t="s">
        <v>41</v>
      </c>
      <c r="F526" s="77" t="s">
        <v>919</v>
      </c>
      <c r="G526" s="33" t="s">
        <v>1</v>
      </c>
      <c r="H526" s="33"/>
      <c r="I526" s="9"/>
      <c r="J526" s="1126">
        <f t="shared" ref="J526:R526" si="128">J527</f>
        <v>153.32</v>
      </c>
      <c r="K526" s="1063">
        <f t="shared" si="128"/>
        <v>172</v>
      </c>
      <c r="L526" s="1063">
        <f t="shared" si="128"/>
        <v>172</v>
      </c>
      <c r="M526" s="1125">
        <f t="shared" si="128"/>
        <v>172</v>
      </c>
      <c r="N526" s="1986">
        <f t="shared" si="128"/>
        <v>0</v>
      </c>
      <c r="O526" s="1947">
        <f t="shared" si="128"/>
        <v>554.52</v>
      </c>
      <c r="P526" s="1941">
        <f t="shared" si="128"/>
        <v>576.45699999999999</v>
      </c>
      <c r="Q526" s="1987">
        <f t="shared" si="128"/>
        <v>0</v>
      </c>
      <c r="R526" s="1988">
        <f t="shared" si="128"/>
        <v>0</v>
      </c>
    </row>
    <row r="527" spans="1:24" ht="39" hidden="1" x14ac:dyDescent="0.25">
      <c r="A527" s="32"/>
      <c r="B527" s="90" t="s">
        <v>918</v>
      </c>
      <c r="C527" s="70"/>
      <c r="D527" s="9" t="s">
        <v>44</v>
      </c>
      <c r="E527" s="9" t="s">
        <v>41</v>
      </c>
      <c r="F527" s="77" t="s">
        <v>43</v>
      </c>
      <c r="G527" s="33" t="s">
        <v>42</v>
      </c>
      <c r="H527" s="33" t="s">
        <v>496</v>
      </c>
      <c r="I527" s="9" t="s">
        <v>495</v>
      </c>
      <c r="J527" s="1126">
        <v>153.32</v>
      </c>
      <c r="K527" s="1063">
        <v>172</v>
      </c>
      <c r="L527" s="1063">
        <v>172</v>
      </c>
      <c r="M527" s="1125">
        <v>172</v>
      </c>
      <c r="N527" s="1986"/>
      <c r="O527" s="1947">
        <v>554.52</v>
      </c>
      <c r="P527" s="1941">
        <v>576.45699999999999</v>
      </c>
      <c r="Q527" s="1987"/>
      <c r="R527" s="1988"/>
    </row>
    <row r="528" spans="1:24" ht="25" hidden="1" x14ac:dyDescent="0.25">
      <c r="A528" s="32"/>
      <c r="B528" s="1127" t="s">
        <v>921</v>
      </c>
      <c r="C528" s="70"/>
      <c r="D528" s="9"/>
      <c r="E528" s="9"/>
      <c r="F528" s="79" t="s">
        <v>38</v>
      </c>
      <c r="G528" s="33"/>
      <c r="H528" s="33"/>
      <c r="I528" s="9"/>
      <c r="J528" s="1126">
        <f>J529</f>
        <v>0</v>
      </c>
      <c r="K528" s="1128"/>
      <c r="L528" s="1129"/>
      <c r="M528" s="1128"/>
      <c r="N528" s="1982">
        <f t="shared" ref="N528:R529" si="129">N529</f>
        <v>0</v>
      </c>
      <c r="O528" s="1994">
        <f t="shared" si="129"/>
        <v>0</v>
      </c>
      <c r="P528" s="1939">
        <f t="shared" si="129"/>
        <v>0</v>
      </c>
      <c r="Q528" s="1995">
        <f t="shared" si="129"/>
        <v>0</v>
      </c>
      <c r="R528" s="1985">
        <f t="shared" si="129"/>
        <v>0</v>
      </c>
    </row>
    <row r="529" spans="1:256" ht="25.5" hidden="1" thickBot="1" x14ac:dyDescent="0.3">
      <c r="A529" s="32"/>
      <c r="B529" s="1130" t="s">
        <v>454</v>
      </c>
      <c r="C529" s="70"/>
      <c r="D529" s="9"/>
      <c r="E529" s="9"/>
      <c r="F529" s="77" t="s">
        <v>38</v>
      </c>
      <c r="G529" s="33" t="s">
        <v>26</v>
      </c>
      <c r="H529" s="33"/>
      <c r="I529" s="9"/>
      <c r="J529" s="1126">
        <f>J530</f>
        <v>0</v>
      </c>
      <c r="K529" s="1128"/>
      <c r="L529" s="1129"/>
      <c r="M529" s="1128"/>
      <c r="N529" s="1986">
        <f t="shared" si="129"/>
        <v>0</v>
      </c>
      <c r="O529" s="1947">
        <f t="shared" si="129"/>
        <v>0</v>
      </c>
      <c r="P529" s="1941">
        <f t="shared" si="129"/>
        <v>0</v>
      </c>
      <c r="Q529" s="1987">
        <f t="shared" si="129"/>
        <v>0</v>
      </c>
      <c r="R529" s="1988">
        <f t="shared" si="129"/>
        <v>0</v>
      </c>
    </row>
    <row r="530" spans="1:256" ht="13" hidden="1" x14ac:dyDescent="0.3">
      <c r="A530" s="32"/>
      <c r="B530" s="744" t="s">
        <v>39</v>
      </c>
      <c r="C530" s="70"/>
      <c r="D530" s="9"/>
      <c r="E530" s="9"/>
      <c r="F530" s="77" t="s">
        <v>38</v>
      </c>
      <c r="G530" s="33" t="s">
        <v>26</v>
      </c>
      <c r="H530" s="33" t="s">
        <v>463</v>
      </c>
      <c r="I530" s="9" t="s">
        <v>488</v>
      </c>
      <c r="J530" s="1126"/>
      <c r="K530" s="1128"/>
      <c r="L530" s="1129"/>
      <c r="M530" s="1128"/>
      <c r="N530" s="1986"/>
      <c r="O530" s="1947"/>
      <c r="P530" s="1941"/>
      <c r="Q530" s="1987"/>
      <c r="R530" s="1988"/>
    </row>
    <row r="531" spans="1:256" ht="26" hidden="1" x14ac:dyDescent="0.25">
      <c r="A531" s="32"/>
      <c r="B531" s="76" t="s">
        <v>37</v>
      </c>
      <c r="C531" s="70"/>
      <c r="D531" s="9"/>
      <c r="E531" s="9"/>
      <c r="F531" s="34" t="s">
        <v>36</v>
      </c>
      <c r="G531" s="33"/>
      <c r="H531" s="33"/>
      <c r="I531" s="9"/>
      <c r="J531" s="1131">
        <f>J532</f>
        <v>17908.526000000002</v>
      </c>
      <c r="K531" s="1128"/>
      <c r="L531" s="1129"/>
      <c r="M531" s="1128"/>
      <c r="N531" s="1986">
        <f t="shared" ref="N531:R532" si="130">N532</f>
        <v>0</v>
      </c>
      <c r="O531" s="1964">
        <f t="shared" si="130"/>
        <v>0</v>
      </c>
      <c r="P531" s="1963">
        <f t="shared" si="130"/>
        <v>0</v>
      </c>
      <c r="Q531" s="1987">
        <f t="shared" si="130"/>
        <v>0</v>
      </c>
      <c r="R531" s="1988">
        <f t="shared" si="130"/>
        <v>0</v>
      </c>
    </row>
    <row r="532" spans="1:256" ht="26" hidden="1" x14ac:dyDescent="0.25">
      <c r="A532" s="32"/>
      <c r="B532" s="1993" t="s">
        <v>4</v>
      </c>
      <c r="C532" s="70"/>
      <c r="D532" s="9"/>
      <c r="E532" s="9"/>
      <c r="F532" s="9" t="s">
        <v>36</v>
      </c>
      <c r="G532" s="33" t="s">
        <v>1</v>
      </c>
      <c r="H532" s="33"/>
      <c r="I532" s="9"/>
      <c r="J532" s="1131">
        <f>J533</f>
        <v>17908.526000000002</v>
      </c>
      <c r="K532" s="1128"/>
      <c r="L532" s="1129"/>
      <c r="M532" s="1128"/>
      <c r="N532" s="1986">
        <f t="shared" si="130"/>
        <v>0</v>
      </c>
      <c r="O532" s="1964">
        <f t="shared" si="130"/>
        <v>0</v>
      </c>
      <c r="P532" s="1963">
        <f t="shared" si="130"/>
        <v>0</v>
      </c>
      <c r="Q532" s="1987">
        <f t="shared" si="130"/>
        <v>0</v>
      </c>
      <c r="R532" s="1988">
        <f t="shared" si="130"/>
        <v>0</v>
      </c>
      <c r="S532" s="75"/>
      <c r="T532" s="75"/>
      <c r="U532" s="1124"/>
      <c r="V532" s="73"/>
      <c r="W532" s="72"/>
      <c r="X532" s="72"/>
      <c r="AC532" s="1074">
        <f>AC533</f>
        <v>672.10500000000002</v>
      </c>
    </row>
    <row r="533" spans="1:256" ht="13" hidden="1" x14ac:dyDescent="0.25">
      <c r="A533" s="32"/>
      <c r="B533" s="49" t="s">
        <v>34</v>
      </c>
      <c r="C533" s="70"/>
      <c r="D533" s="9"/>
      <c r="E533" s="9"/>
      <c r="F533" s="9" t="s">
        <v>36</v>
      </c>
      <c r="G533" s="33" t="s">
        <v>1</v>
      </c>
      <c r="H533" s="33"/>
      <c r="I533" s="9" t="s">
        <v>32</v>
      </c>
      <c r="J533" s="1131">
        <v>17908.526000000002</v>
      </c>
      <c r="K533" s="1128"/>
      <c r="L533" s="1129"/>
      <c r="M533" s="1128"/>
      <c r="N533" s="1986"/>
      <c r="O533" s="1964"/>
      <c r="P533" s="1963"/>
      <c r="Q533" s="1987"/>
      <c r="R533" s="1988"/>
      <c r="S533" s="75"/>
      <c r="T533" s="75"/>
      <c r="U533" s="1124"/>
      <c r="V533" s="73"/>
      <c r="W533" s="72"/>
      <c r="X533" s="72"/>
      <c r="AC533" s="1074">
        <v>672.10500000000002</v>
      </c>
    </row>
    <row r="534" spans="1:256" ht="39" hidden="1" x14ac:dyDescent="0.25">
      <c r="A534" s="32"/>
      <c r="B534" s="1993" t="s">
        <v>35</v>
      </c>
      <c r="C534" s="70"/>
      <c r="D534" s="9"/>
      <c r="E534" s="9"/>
      <c r="F534" s="34" t="s">
        <v>33</v>
      </c>
      <c r="G534" s="33"/>
      <c r="H534" s="33"/>
      <c r="I534" s="9"/>
      <c r="J534" s="1131">
        <f>J535</f>
        <v>7028.6390000000001</v>
      </c>
      <c r="K534" s="1128"/>
      <c r="L534" s="1129"/>
      <c r="M534" s="1128"/>
      <c r="N534" s="1986">
        <f t="shared" ref="N534:R535" si="131">N535</f>
        <v>0</v>
      </c>
      <c r="O534" s="1964">
        <f t="shared" si="131"/>
        <v>0</v>
      </c>
      <c r="P534" s="1963">
        <f t="shared" si="131"/>
        <v>0</v>
      </c>
      <c r="Q534" s="1987">
        <f t="shared" si="131"/>
        <v>0</v>
      </c>
      <c r="R534" s="1988">
        <f t="shared" si="131"/>
        <v>0</v>
      </c>
    </row>
    <row r="535" spans="1:256" s="2" customFormat="1" ht="26" hidden="1" x14ac:dyDescent="0.25">
      <c r="A535" s="32"/>
      <c r="B535" s="1993" t="s">
        <v>4</v>
      </c>
      <c r="C535" s="70"/>
      <c r="D535" s="9"/>
      <c r="E535" s="9"/>
      <c r="F535" s="9" t="s">
        <v>33</v>
      </c>
      <c r="G535" s="33" t="s">
        <v>1</v>
      </c>
      <c r="H535" s="33"/>
      <c r="I535" s="9"/>
      <c r="J535" s="1131">
        <f>J536</f>
        <v>7028.6390000000001</v>
      </c>
      <c r="K535" s="1128"/>
      <c r="L535" s="1129"/>
      <c r="M535" s="1128"/>
      <c r="N535" s="1986">
        <f t="shared" si="131"/>
        <v>0</v>
      </c>
      <c r="O535" s="1964">
        <f t="shared" si="131"/>
        <v>0</v>
      </c>
      <c r="P535" s="1963">
        <f t="shared" si="131"/>
        <v>0</v>
      </c>
      <c r="Q535" s="1987">
        <f t="shared" si="131"/>
        <v>0</v>
      </c>
      <c r="R535" s="1988">
        <f t="shared" si="131"/>
        <v>0</v>
      </c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</row>
    <row r="536" spans="1:256" s="2" customFormat="1" ht="13" hidden="1" x14ac:dyDescent="0.25">
      <c r="A536" s="32"/>
      <c r="B536" s="49" t="s">
        <v>34</v>
      </c>
      <c r="C536" s="70"/>
      <c r="D536" s="9"/>
      <c r="E536" s="9"/>
      <c r="F536" s="9" t="s">
        <v>33</v>
      </c>
      <c r="G536" s="33" t="s">
        <v>1</v>
      </c>
      <c r="H536" s="33"/>
      <c r="I536" s="9" t="s">
        <v>32</v>
      </c>
      <c r="J536" s="1131">
        <f>838.062+6190.577</f>
        <v>7028.6390000000001</v>
      </c>
      <c r="K536" s="1128"/>
      <c r="L536" s="1129"/>
      <c r="M536" s="1128"/>
      <c r="N536" s="1986"/>
      <c r="O536" s="1964"/>
      <c r="P536" s="1963"/>
      <c r="Q536" s="1987"/>
      <c r="R536" s="1988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</row>
    <row r="537" spans="1:256" s="2" customFormat="1" ht="26" hidden="1" x14ac:dyDescent="0.25">
      <c r="A537" s="32"/>
      <c r="B537" s="90" t="s">
        <v>296</v>
      </c>
      <c r="C537" s="70"/>
      <c r="D537" s="9"/>
      <c r="E537" s="9"/>
      <c r="F537" s="34" t="s">
        <v>624</v>
      </c>
      <c r="G537" s="33"/>
      <c r="H537" s="33"/>
      <c r="I537" s="9"/>
      <c r="J537" s="1133"/>
      <c r="K537" s="1128"/>
      <c r="L537" s="1129"/>
      <c r="M537" s="1128"/>
      <c r="N537" s="2099">
        <f>N538</f>
        <v>0</v>
      </c>
      <c r="O537" s="2100"/>
      <c r="P537" s="2100"/>
      <c r="Q537" s="2101">
        <f>Q538</f>
        <v>0</v>
      </c>
      <c r="R537" s="2102">
        <f>R538</f>
        <v>0</v>
      </c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</row>
    <row r="538" spans="1:256" s="2" customFormat="1" ht="13" hidden="1" x14ac:dyDescent="0.3">
      <c r="A538" s="32"/>
      <c r="B538" s="744" t="s">
        <v>16</v>
      </c>
      <c r="C538" s="70"/>
      <c r="D538" s="9"/>
      <c r="E538" s="9"/>
      <c r="F538" s="9" t="s">
        <v>624</v>
      </c>
      <c r="G538" s="9" t="s">
        <v>1</v>
      </c>
      <c r="H538" s="33"/>
      <c r="I538" s="9"/>
      <c r="J538" s="1133"/>
      <c r="K538" s="1128"/>
      <c r="L538" s="1129"/>
      <c r="M538" s="1128"/>
      <c r="N538" s="2021">
        <f>N539</f>
        <v>0</v>
      </c>
      <c r="O538" s="2100"/>
      <c r="P538" s="2100"/>
      <c r="Q538" s="2103">
        <f>Q539</f>
        <v>0</v>
      </c>
      <c r="R538" s="2025">
        <f>R539</f>
        <v>0</v>
      </c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</row>
    <row r="539" spans="1:256" s="2" customFormat="1" ht="13" hidden="1" x14ac:dyDescent="0.25">
      <c r="A539" s="32"/>
      <c r="B539" s="49" t="s">
        <v>64</v>
      </c>
      <c r="C539" s="70"/>
      <c r="D539" s="9"/>
      <c r="E539" s="9"/>
      <c r="F539" s="9" t="s">
        <v>624</v>
      </c>
      <c r="G539" s="9" t="s">
        <v>1</v>
      </c>
      <c r="H539" s="33" t="s">
        <v>464</v>
      </c>
      <c r="I539" s="9" t="s">
        <v>463</v>
      </c>
      <c r="J539" s="1133"/>
      <c r="K539" s="1128"/>
      <c r="L539" s="1129"/>
      <c r="M539" s="1128"/>
      <c r="N539" s="2021">
        <v>0</v>
      </c>
      <c r="O539" s="2100"/>
      <c r="P539" s="2100"/>
      <c r="Q539" s="2103">
        <v>0</v>
      </c>
      <c r="R539" s="2025">
        <v>0</v>
      </c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</row>
    <row r="540" spans="1:256" s="2" customFormat="1" ht="26" hidden="1" x14ac:dyDescent="0.25">
      <c r="A540" s="32"/>
      <c r="B540" s="1108" t="s">
        <v>31</v>
      </c>
      <c r="C540" s="31"/>
      <c r="D540" s="9"/>
      <c r="E540" s="9"/>
      <c r="F540" s="34" t="s">
        <v>30</v>
      </c>
      <c r="G540" s="33"/>
      <c r="H540" s="33"/>
      <c r="I540" s="9"/>
      <c r="J540" s="520"/>
      <c r="K540" s="65"/>
      <c r="L540" s="64">
        <f t="shared" ref="L540:R540" si="132">L541</f>
        <v>0</v>
      </c>
      <c r="M540" s="1570">
        <f t="shared" si="132"/>
        <v>0</v>
      </c>
      <c r="N540" s="2104">
        <f t="shared" si="132"/>
        <v>0</v>
      </c>
      <c r="O540" s="2105">
        <f t="shared" si="132"/>
        <v>0</v>
      </c>
      <c r="P540" s="2105">
        <f t="shared" si="132"/>
        <v>0</v>
      </c>
      <c r="Q540" s="2106">
        <f t="shared" si="132"/>
        <v>0</v>
      </c>
      <c r="R540" s="2107">
        <f t="shared" si="132"/>
        <v>0</v>
      </c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</row>
    <row r="541" spans="1:256" s="2" customFormat="1" ht="26" hidden="1" x14ac:dyDescent="0.25">
      <c r="A541" s="32"/>
      <c r="B541" s="1993" t="s">
        <v>4</v>
      </c>
      <c r="C541" s="9"/>
      <c r="D541" s="9" t="s">
        <v>15</v>
      </c>
      <c r="E541" s="9" t="s">
        <v>9</v>
      </c>
      <c r="F541" s="9" t="s">
        <v>30</v>
      </c>
      <c r="G541" s="9" t="s">
        <v>1</v>
      </c>
      <c r="H541" s="9"/>
      <c r="I541" s="9"/>
      <c r="J541" s="521"/>
      <c r="K541" s="61"/>
      <c r="L541" s="60"/>
      <c r="M541" s="1571"/>
      <c r="N541" s="2021">
        <f>N542</f>
        <v>0</v>
      </c>
      <c r="O541" s="1953">
        <f>O542</f>
        <v>0</v>
      </c>
      <c r="P541" s="1953">
        <f>P542</f>
        <v>0</v>
      </c>
      <c r="Q541" s="2078">
        <f>Q542</f>
        <v>0</v>
      </c>
      <c r="R541" s="2079">
        <f>R542</f>
        <v>0</v>
      </c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</row>
    <row r="542" spans="1:256" s="2" customFormat="1" ht="13" hidden="1" x14ac:dyDescent="0.3">
      <c r="A542" s="32"/>
      <c r="B542" s="744" t="s">
        <v>11</v>
      </c>
      <c r="C542" s="9"/>
      <c r="D542" s="9"/>
      <c r="E542" s="9"/>
      <c r="F542" s="9" t="s">
        <v>30</v>
      </c>
      <c r="G542" s="9" t="s">
        <v>1</v>
      </c>
      <c r="H542" s="9" t="s">
        <v>463</v>
      </c>
      <c r="I542" s="9" t="s">
        <v>456</v>
      </c>
      <c r="J542" s="521"/>
      <c r="K542" s="61"/>
      <c r="L542" s="60"/>
      <c r="M542" s="1571"/>
      <c r="N542" s="2021">
        <v>0</v>
      </c>
      <c r="O542" s="1953"/>
      <c r="P542" s="1953"/>
      <c r="Q542" s="2078">
        <v>0</v>
      </c>
      <c r="R542" s="2079">
        <v>0</v>
      </c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</row>
    <row r="543" spans="1:256" s="2" customFormat="1" ht="27" hidden="1" customHeight="1" x14ac:dyDescent="0.25">
      <c r="A543" s="32"/>
      <c r="B543" s="58" t="s">
        <v>29</v>
      </c>
      <c r="C543" s="9"/>
      <c r="D543" s="9" t="s">
        <v>15</v>
      </c>
      <c r="E543" s="9" t="s">
        <v>9</v>
      </c>
      <c r="F543" s="34" t="s">
        <v>27</v>
      </c>
      <c r="G543" s="48"/>
      <c r="H543" s="48"/>
      <c r="I543" s="9"/>
      <c r="J543" s="521"/>
      <c r="K543" s="47"/>
      <c r="L543" s="57">
        <f>L545</f>
        <v>10000</v>
      </c>
      <c r="M543" s="1572">
        <f>M545</f>
        <v>10000</v>
      </c>
      <c r="N543" s="2021"/>
      <c r="O543" s="1953"/>
      <c r="P543" s="1953"/>
      <c r="Q543" s="2078"/>
      <c r="R543" s="2079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</row>
    <row r="544" spans="1:256" s="2" customFormat="1" ht="25.15" hidden="1" customHeight="1" x14ac:dyDescent="0.25">
      <c r="A544" s="32"/>
      <c r="B544" s="2080" t="s">
        <v>28</v>
      </c>
      <c r="C544" s="9"/>
      <c r="D544" s="9"/>
      <c r="E544" s="9"/>
      <c r="F544" s="9" t="s">
        <v>27</v>
      </c>
      <c r="G544" s="9" t="s">
        <v>26</v>
      </c>
      <c r="H544" s="9"/>
      <c r="I544" s="9"/>
      <c r="J544" s="1126"/>
      <c r="K544" s="48"/>
      <c r="L544" s="54">
        <v>10000</v>
      </c>
      <c r="M544" s="1573">
        <v>10000</v>
      </c>
      <c r="N544" s="1986"/>
      <c r="O544" s="1947"/>
      <c r="P544" s="1941"/>
      <c r="Q544" s="1987"/>
      <c r="R544" s="1988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</row>
    <row r="545" spans="1:256" s="2" customFormat="1" ht="17.5" hidden="1" customHeight="1" x14ac:dyDescent="0.3">
      <c r="A545" s="32"/>
      <c r="B545" s="744" t="s">
        <v>11</v>
      </c>
      <c r="C545" s="9"/>
      <c r="D545" s="9" t="s">
        <v>15</v>
      </c>
      <c r="E545" s="9" t="s">
        <v>9</v>
      </c>
      <c r="F545" s="9" t="s">
        <v>27</v>
      </c>
      <c r="G545" s="9" t="s">
        <v>26</v>
      </c>
      <c r="H545" s="9"/>
      <c r="I545" s="9" t="s">
        <v>9</v>
      </c>
      <c r="J545" s="1126"/>
      <c r="K545" s="48"/>
      <c r="L545" s="54">
        <v>10000</v>
      </c>
      <c r="M545" s="1573">
        <v>10000</v>
      </c>
      <c r="N545" s="1986"/>
      <c r="O545" s="1947"/>
      <c r="P545" s="1941"/>
      <c r="Q545" s="1987"/>
      <c r="R545" s="1988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</row>
    <row r="546" spans="1:256" s="2" customFormat="1" ht="39.65" hidden="1" customHeight="1" x14ac:dyDescent="0.25">
      <c r="A546" s="32"/>
      <c r="B546" s="52" t="s">
        <v>25</v>
      </c>
      <c r="C546" s="9"/>
      <c r="D546" s="34" t="s">
        <v>15</v>
      </c>
      <c r="E546" s="34" t="s">
        <v>13</v>
      </c>
      <c r="F546" s="34" t="s">
        <v>24</v>
      </c>
      <c r="G546" s="48"/>
      <c r="H546" s="48"/>
      <c r="I546" s="34"/>
      <c r="J546" s="131">
        <f>J547</f>
        <v>0</v>
      </c>
      <c r="K546" s="51"/>
      <c r="L546" s="51">
        <f t="shared" ref="L546:R546" si="133">L547</f>
        <v>85</v>
      </c>
      <c r="M546" s="1553">
        <f t="shared" si="133"/>
        <v>85</v>
      </c>
      <c r="N546" s="1982">
        <f t="shared" si="133"/>
        <v>0</v>
      </c>
      <c r="O546" s="1958">
        <f t="shared" si="133"/>
        <v>0</v>
      </c>
      <c r="P546" s="1944">
        <f t="shared" si="133"/>
        <v>0</v>
      </c>
      <c r="Q546" s="1996">
        <f t="shared" si="133"/>
        <v>0</v>
      </c>
      <c r="R546" s="1997">
        <f t="shared" si="133"/>
        <v>0</v>
      </c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</row>
    <row r="547" spans="1:256" s="2" customFormat="1" ht="43.5" hidden="1" customHeight="1" x14ac:dyDescent="0.25">
      <c r="A547" s="32"/>
      <c r="B547" s="49" t="s">
        <v>23</v>
      </c>
      <c r="C547" s="9"/>
      <c r="D547" s="9" t="s">
        <v>15</v>
      </c>
      <c r="E547" s="9" t="s">
        <v>13</v>
      </c>
      <c r="F547" s="9" t="s">
        <v>14</v>
      </c>
      <c r="G547" s="48"/>
      <c r="H547" s="48"/>
      <c r="I547" s="9"/>
      <c r="J547" s="48">
        <f>J550</f>
        <v>0</v>
      </c>
      <c r="K547" s="47"/>
      <c r="L547" s="47">
        <f t="shared" ref="L547:R547" si="134">L550</f>
        <v>85</v>
      </c>
      <c r="M547" s="209">
        <f t="shared" si="134"/>
        <v>85</v>
      </c>
      <c r="N547" s="1986">
        <f t="shared" si="134"/>
        <v>0</v>
      </c>
      <c r="O547" s="2027">
        <f t="shared" si="134"/>
        <v>0</v>
      </c>
      <c r="P547" s="1950">
        <f t="shared" si="134"/>
        <v>0</v>
      </c>
      <c r="Q547" s="2028">
        <f t="shared" si="134"/>
        <v>0</v>
      </c>
      <c r="R547" s="2029">
        <f t="shared" si="134"/>
        <v>0</v>
      </c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</row>
    <row r="548" spans="1:256" s="2" customFormat="1" ht="60.75" hidden="1" customHeight="1" x14ac:dyDescent="0.25">
      <c r="A548" s="32"/>
      <c r="B548" s="42" t="s">
        <v>22</v>
      </c>
      <c r="C548" s="31"/>
      <c r="D548" s="31" t="s">
        <v>15</v>
      </c>
      <c r="E548" s="31" t="s">
        <v>13</v>
      </c>
      <c r="F548" s="31" t="s">
        <v>21</v>
      </c>
      <c r="G548" s="3373" t="s">
        <v>20</v>
      </c>
      <c r="H548" s="3374"/>
      <c r="I548" s="3374"/>
      <c r="J548" s="3375"/>
      <c r="K548" s="45"/>
      <c r="L548" s="44"/>
      <c r="M548" s="44"/>
      <c r="N548" s="2090"/>
      <c r="O548" s="2082"/>
      <c r="P548" s="2082"/>
      <c r="Q548" s="2091"/>
      <c r="R548" s="2092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</row>
    <row r="549" spans="1:256" s="2" customFormat="1" ht="48" hidden="1" customHeight="1" x14ac:dyDescent="0.25">
      <c r="A549" s="32"/>
      <c r="B549" s="42" t="s">
        <v>19</v>
      </c>
      <c r="C549" s="31"/>
      <c r="D549" s="31" t="s">
        <v>15</v>
      </c>
      <c r="E549" s="31" t="s">
        <v>13</v>
      </c>
      <c r="F549" s="31" t="s">
        <v>18</v>
      </c>
      <c r="G549" s="3373" t="s">
        <v>17</v>
      </c>
      <c r="H549" s="3374"/>
      <c r="I549" s="3374"/>
      <c r="J549" s="3375"/>
      <c r="K549" s="41"/>
      <c r="N549" s="2090"/>
      <c r="O549" s="2082"/>
      <c r="P549" s="2082"/>
      <c r="Q549" s="2091"/>
      <c r="R549" s="2092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</row>
    <row r="550" spans="1:256" s="2" customFormat="1" ht="16.899999999999999" hidden="1" customHeight="1" x14ac:dyDescent="0.3">
      <c r="A550" s="32"/>
      <c r="B550" s="2108" t="s">
        <v>16</v>
      </c>
      <c r="C550" s="31"/>
      <c r="D550" s="9" t="s">
        <v>15</v>
      </c>
      <c r="E550" s="9" t="s">
        <v>13</v>
      </c>
      <c r="F550" s="9" t="s">
        <v>14</v>
      </c>
      <c r="G550" s="33" t="s">
        <v>1</v>
      </c>
      <c r="H550" s="33"/>
      <c r="I550" s="9" t="s">
        <v>13</v>
      </c>
      <c r="J550" s="515"/>
      <c r="K550" s="30"/>
      <c r="L550" s="29">
        <v>85</v>
      </c>
      <c r="M550" s="1569">
        <v>85</v>
      </c>
      <c r="N550" s="1998"/>
      <c r="O550" s="1961"/>
      <c r="P550" s="1961"/>
      <c r="Q550" s="2093"/>
      <c r="R550" s="2094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</row>
    <row r="551" spans="1:256" ht="26.5" hidden="1" customHeight="1" x14ac:dyDescent="0.3">
      <c r="A551" s="32"/>
      <c r="B551" s="538" t="s">
        <v>525</v>
      </c>
      <c r="C551" s="31"/>
      <c r="D551" s="9"/>
      <c r="E551" s="9"/>
      <c r="F551" s="37" t="s">
        <v>524</v>
      </c>
      <c r="G551" s="33"/>
      <c r="H551" s="33"/>
      <c r="I551" s="9"/>
      <c r="J551" s="515"/>
      <c r="K551" s="30"/>
      <c r="L551" s="29"/>
      <c r="M551" s="1569"/>
      <c r="N551" s="1989">
        <f>N552</f>
        <v>0</v>
      </c>
      <c r="O551" s="1961"/>
      <c r="P551" s="1961"/>
      <c r="Q551" s="2097">
        <f>Q552</f>
        <v>0</v>
      </c>
      <c r="R551" s="2098">
        <f>R552</f>
        <v>0</v>
      </c>
    </row>
    <row r="552" spans="1:256" ht="16.899999999999999" hidden="1" customHeight="1" x14ac:dyDescent="0.3">
      <c r="A552" s="32"/>
      <c r="B552" s="58" t="s">
        <v>28</v>
      </c>
      <c r="C552" s="31"/>
      <c r="D552" s="9"/>
      <c r="E552" s="9"/>
      <c r="F552" s="10" t="s">
        <v>524</v>
      </c>
      <c r="G552" s="33" t="s">
        <v>26</v>
      </c>
      <c r="H552" s="33"/>
      <c r="I552" s="9"/>
      <c r="J552" s="515"/>
      <c r="K552" s="30"/>
      <c r="L552" s="29"/>
      <c r="M552" s="1569"/>
      <c r="N552" s="1998">
        <f>N553</f>
        <v>0</v>
      </c>
      <c r="O552" s="1961"/>
      <c r="P552" s="1961"/>
      <c r="Q552" s="2093">
        <f>Q553</f>
        <v>0</v>
      </c>
      <c r="R552" s="2094">
        <f>R553</f>
        <v>0</v>
      </c>
    </row>
    <row r="553" spans="1:256" ht="16.899999999999999" hidden="1" customHeight="1" x14ac:dyDescent="0.3">
      <c r="A553" s="32"/>
      <c r="B553" s="744" t="s">
        <v>39</v>
      </c>
      <c r="C553" s="31"/>
      <c r="D553" s="9"/>
      <c r="E553" s="9"/>
      <c r="F553" s="10" t="s">
        <v>524</v>
      </c>
      <c r="G553" s="33" t="s">
        <v>26</v>
      </c>
      <c r="H553" s="33" t="s">
        <v>463</v>
      </c>
      <c r="I553" s="9" t="s">
        <v>488</v>
      </c>
      <c r="J553" s="515"/>
      <c r="K553" s="30"/>
      <c r="L553" s="29"/>
      <c r="M553" s="1569"/>
      <c r="N553" s="1998">
        <f>4900-4900</f>
        <v>0</v>
      </c>
      <c r="O553" s="1961"/>
      <c r="P553" s="1961"/>
      <c r="Q553" s="2093">
        <f>4900-4900</f>
        <v>0</v>
      </c>
      <c r="R553" s="2094">
        <f>4900-4900</f>
        <v>0</v>
      </c>
    </row>
    <row r="554" spans="1:256" ht="52" hidden="1" x14ac:dyDescent="0.3">
      <c r="A554" s="32"/>
      <c r="B554" s="38" t="s">
        <v>922</v>
      </c>
      <c r="C554" s="911"/>
      <c r="D554" s="11"/>
      <c r="E554" s="11"/>
      <c r="F554" s="37" t="s">
        <v>923</v>
      </c>
      <c r="G554" s="522"/>
      <c r="H554" s="522"/>
      <c r="I554" s="522"/>
      <c r="J554" s="1135">
        <f>J555+J557</f>
        <v>600.79999999999995</v>
      </c>
      <c r="K554" s="30"/>
      <c r="L554" s="29"/>
      <c r="M554" s="1569"/>
      <c r="N554" s="2109">
        <f>N555+N557</f>
        <v>0</v>
      </c>
      <c r="O554" s="2110">
        <f>O555+O557</f>
        <v>0</v>
      </c>
      <c r="P554" s="2111">
        <f>P555+P557</f>
        <v>0</v>
      </c>
      <c r="Q554" s="2112">
        <f>Q555+Q557</f>
        <v>0</v>
      </c>
      <c r="R554" s="2113">
        <f>R555+R557</f>
        <v>0</v>
      </c>
    </row>
    <row r="555" spans="1:256" ht="37.5" hidden="1" customHeight="1" x14ac:dyDescent="0.3">
      <c r="A555" s="32"/>
      <c r="B555" s="2114" t="s">
        <v>916</v>
      </c>
      <c r="C555" s="911"/>
      <c r="D555" s="11"/>
      <c r="E555" s="11"/>
      <c r="F555" s="10" t="s">
        <v>923</v>
      </c>
      <c r="G555" s="9" t="s">
        <v>521</v>
      </c>
      <c r="H555" s="9"/>
      <c r="I555" s="522"/>
      <c r="J555" s="1126">
        <f>J556</f>
        <v>493.39</v>
      </c>
      <c r="K555" s="30"/>
      <c r="L555" s="29"/>
      <c r="M555" s="1569"/>
      <c r="N555" s="1986">
        <f>N556</f>
        <v>0</v>
      </c>
      <c r="O555" s="1947">
        <f>O556</f>
        <v>0</v>
      </c>
      <c r="P555" s="1941">
        <f>P556</f>
        <v>0</v>
      </c>
      <c r="Q555" s="1987">
        <f>Q556</f>
        <v>0</v>
      </c>
      <c r="R555" s="1988">
        <f>R556</f>
        <v>0</v>
      </c>
    </row>
    <row r="556" spans="1:256" ht="16.899999999999999" hidden="1" customHeight="1" x14ac:dyDescent="0.3">
      <c r="A556" s="32"/>
      <c r="B556" s="744" t="s">
        <v>39</v>
      </c>
      <c r="C556" s="911"/>
      <c r="D556" s="11"/>
      <c r="E556" s="11"/>
      <c r="F556" s="10" t="s">
        <v>923</v>
      </c>
      <c r="G556" s="9" t="s">
        <v>521</v>
      </c>
      <c r="H556" s="9" t="s">
        <v>463</v>
      </c>
      <c r="I556" s="9" t="s">
        <v>488</v>
      </c>
      <c r="J556" s="1126">
        <f>378.948+114.442</f>
        <v>493.39</v>
      </c>
      <c r="K556" s="30"/>
      <c r="L556" s="29"/>
      <c r="M556" s="1569"/>
      <c r="N556" s="1986">
        <v>0</v>
      </c>
      <c r="O556" s="1947"/>
      <c r="P556" s="1941"/>
      <c r="Q556" s="1987">
        <v>0</v>
      </c>
      <c r="R556" s="1988">
        <v>0</v>
      </c>
    </row>
    <row r="557" spans="1:256" ht="16.899999999999999" hidden="1" customHeight="1" x14ac:dyDescent="0.3">
      <c r="A557" s="32"/>
      <c r="B557" s="1993"/>
      <c r="C557" s="911"/>
      <c r="D557" s="11"/>
      <c r="E557" s="11"/>
      <c r="F557" s="10" t="s">
        <v>2</v>
      </c>
      <c r="G557" s="9" t="s">
        <v>1</v>
      </c>
      <c r="H557" s="9"/>
      <c r="I557" s="9"/>
      <c r="J557" s="1139">
        <f>J558</f>
        <v>107.41</v>
      </c>
      <c r="K557" s="30"/>
      <c r="L557" s="29"/>
      <c r="M557" s="1569"/>
      <c r="N557" s="2075">
        <f>N558</f>
        <v>0</v>
      </c>
      <c r="O557" s="2115">
        <f>O558</f>
        <v>0</v>
      </c>
      <c r="P557" s="2116">
        <f>P558</f>
        <v>0</v>
      </c>
      <c r="Q557" s="2117">
        <f>Q558</f>
        <v>0</v>
      </c>
      <c r="R557" s="2118">
        <f>R558</f>
        <v>0</v>
      </c>
    </row>
    <row r="558" spans="1:256" ht="16.899999999999999" hidden="1" customHeight="1" x14ac:dyDescent="0.3">
      <c r="A558" s="32"/>
      <c r="B558" s="12"/>
      <c r="C558" s="911"/>
      <c r="D558" s="11"/>
      <c r="E558" s="11"/>
      <c r="F558" s="10" t="s">
        <v>2</v>
      </c>
      <c r="G558" s="9" t="s">
        <v>1</v>
      </c>
      <c r="H558" s="9" t="s">
        <v>488</v>
      </c>
      <c r="I558" s="9" t="s">
        <v>495</v>
      </c>
      <c r="J558" s="1126">
        <f>86.41+21</f>
        <v>107.41</v>
      </c>
      <c r="K558" s="30"/>
      <c r="L558" s="29"/>
      <c r="M558" s="1569"/>
      <c r="N558" s="1986"/>
      <c r="O558" s="1947"/>
      <c r="P558" s="1941"/>
      <c r="Q558" s="1987"/>
      <c r="R558" s="1988"/>
      <c r="X558" s="1"/>
    </row>
    <row r="559" spans="1:256" ht="27.75" hidden="1" customHeight="1" x14ac:dyDescent="0.3">
      <c r="A559" s="32"/>
      <c r="B559" s="1143" t="s">
        <v>924</v>
      </c>
      <c r="C559" s="22"/>
      <c r="D559" s="20"/>
      <c r="E559" s="20"/>
      <c r="F559" s="1144" t="s">
        <v>925</v>
      </c>
      <c r="G559" s="142"/>
      <c r="H559" s="142"/>
      <c r="I559" s="142"/>
      <c r="J559" s="1145"/>
      <c r="K559" s="741"/>
      <c r="L559" s="742"/>
      <c r="M559" s="1570"/>
      <c r="N559" s="2099">
        <f>N560</f>
        <v>0</v>
      </c>
      <c r="O559" s="1947"/>
      <c r="P559" s="1947"/>
      <c r="Q559" s="2119">
        <f>Q560</f>
        <v>0</v>
      </c>
      <c r="R559" s="2102">
        <f>R560</f>
        <v>0</v>
      </c>
      <c r="X559" s="1"/>
    </row>
    <row r="560" spans="1:256" ht="36.75" hidden="1" customHeight="1" x14ac:dyDescent="0.3">
      <c r="A560" s="32"/>
      <c r="B560" s="2114" t="s">
        <v>916</v>
      </c>
      <c r="C560" s="22"/>
      <c r="D560" s="20"/>
      <c r="E560" s="20"/>
      <c r="F560" s="1144" t="s">
        <v>925</v>
      </c>
      <c r="G560" s="142" t="s">
        <v>521</v>
      </c>
      <c r="H560" s="142"/>
      <c r="I560" s="142"/>
      <c r="J560" s="1145"/>
      <c r="K560" s="741"/>
      <c r="L560" s="742"/>
      <c r="M560" s="1570"/>
      <c r="N560" s="2021">
        <f>N561</f>
        <v>0</v>
      </c>
      <c r="O560" s="1947"/>
      <c r="P560" s="1947"/>
      <c r="Q560" s="2024">
        <f>Q561</f>
        <v>0</v>
      </c>
      <c r="R560" s="2025">
        <f>R561</f>
        <v>0</v>
      </c>
      <c r="X560" s="1"/>
    </row>
    <row r="561" spans="1:24" ht="16.899999999999999" hidden="1" customHeight="1" x14ac:dyDescent="0.3">
      <c r="A561" s="32"/>
      <c r="B561" s="744" t="s">
        <v>39</v>
      </c>
      <c r="C561" s="911"/>
      <c r="D561" s="11"/>
      <c r="E561" s="11"/>
      <c r="F561" s="10" t="s">
        <v>925</v>
      </c>
      <c r="G561" s="9" t="s">
        <v>521</v>
      </c>
      <c r="H561" s="9" t="s">
        <v>463</v>
      </c>
      <c r="I561" s="9" t="s">
        <v>488</v>
      </c>
      <c r="J561" s="1126">
        <f>378.948+114.442</f>
        <v>493.39</v>
      </c>
      <c r="K561" s="30"/>
      <c r="L561" s="29"/>
      <c r="M561" s="1569"/>
      <c r="N561" s="1986">
        <v>0</v>
      </c>
      <c r="O561" s="1947"/>
      <c r="P561" s="1947"/>
      <c r="Q561" s="1987">
        <v>0</v>
      </c>
      <c r="R561" s="1988">
        <v>0</v>
      </c>
      <c r="X561" s="1"/>
    </row>
    <row r="562" spans="1:24" ht="27.65" customHeight="1" x14ac:dyDescent="0.3">
      <c r="A562" s="32"/>
      <c r="B562" s="2120" t="s">
        <v>1007</v>
      </c>
      <c r="C562" s="22"/>
      <c r="D562" s="20"/>
      <c r="E562" s="20"/>
      <c r="F562" s="79" t="s">
        <v>30</v>
      </c>
      <c r="G562" s="142"/>
      <c r="H562" s="142"/>
      <c r="I562" s="142"/>
      <c r="J562" s="1145"/>
      <c r="K562" s="741"/>
      <c r="L562" s="742"/>
      <c r="M562" s="1570"/>
      <c r="N562" s="2099">
        <f>N563</f>
        <v>1238.3249999999998</v>
      </c>
      <c r="O562" s="1947"/>
      <c r="P562" s="1947"/>
      <c r="Q562" s="2024"/>
      <c r="R562" s="2025"/>
      <c r="X562" s="1"/>
    </row>
    <row r="563" spans="1:24" ht="16.899999999999999" customHeight="1" x14ac:dyDescent="0.3">
      <c r="A563" s="32"/>
      <c r="B563" s="724" t="s">
        <v>16</v>
      </c>
      <c r="C563" s="22"/>
      <c r="D563" s="20"/>
      <c r="E563" s="20"/>
      <c r="F563" s="77" t="s">
        <v>30</v>
      </c>
      <c r="G563" s="142" t="s">
        <v>1</v>
      </c>
      <c r="H563" s="142"/>
      <c r="I563" s="142"/>
      <c r="J563" s="1145"/>
      <c r="K563" s="741"/>
      <c r="L563" s="742"/>
      <c r="M563" s="1570"/>
      <c r="N563" s="2021">
        <f>N564</f>
        <v>1238.3249999999998</v>
      </c>
      <c r="O563" s="1947"/>
      <c r="P563" s="1947"/>
      <c r="Q563" s="2024"/>
      <c r="R563" s="2025"/>
      <c r="X563" s="1"/>
    </row>
    <row r="564" spans="1:24" ht="16.899999999999999" customHeight="1" x14ac:dyDescent="0.3">
      <c r="A564" s="32"/>
      <c r="B564" s="744" t="s">
        <v>11</v>
      </c>
      <c r="C564" s="22"/>
      <c r="D564" s="20"/>
      <c r="E564" s="20"/>
      <c r="F564" s="77" t="s">
        <v>30</v>
      </c>
      <c r="G564" s="142" t="s">
        <v>1</v>
      </c>
      <c r="H564" s="142" t="s">
        <v>463</v>
      </c>
      <c r="I564" s="142" t="s">
        <v>456</v>
      </c>
      <c r="J564" s="1145"/>
      <c r="K564" s="741"/>
      <c r="L564" s="742"/>
      <c r="M564" s="1570"/>
      <c r="N564" s="2021">
        <f>600+186.207+270+124.301+57.817</f>
        <v>1238.3249999999998</v>
      </c>
      <c r="O564" s="1947"/>
      <c r="P564" s="1947"/>
      <c r="Q564" s="2024"/>
      <c r="R564" s="2025"/>
      <c r="X564" s="1"/>
    </row>
    <row r="565" spans="1:24" ht="26.15" customHeight="1" x14ac:dyDescent="0.3">
      <c r="A565" s="32"/>
      <c r="B565" s="23" t="s">
        <v>8</v>
      </c>
      <c r="C565" s="22"/>
      <c r="D565" s="20"/>
      <c r="E565" s="20"/>
      <c r="F565" s="21" t="s">
        <v>2</v>
      </c>
      <c r="G565" s="20"/>
      <c r="H565" s="20"/>
      <c r="I565" s="20"/>
      <c r="J565" s="1146">
        <f>J566+J568</f>
        <v>600.79999999999995</v>
      </c>
      <c r="K565" s="1147"/>
      <c r="L565" s="1148">
        <f>L566+L568</f>
        <v>605.88300000000004</v>
      </c>
      <c r="M565" s="1574">
        <f>M566+M568</f>
        <v>605.88300000000004</v>
      </c>
      <c r="N565" s="2121">
        <f>N566+N568</f>
        <v>834.7</v>
      </c>
      <c r="O565" s="1947"/>
      <c r="P565" s="1947"/>
      <c r="Q565" s="2122">
        <f>Q566+Q568</f>
        <v>844.2</v>
      </c>
      <c r="R565" s="2123">
        <f>R567+R569</f>
        <v>874.4</v>
      </c>
      <c r="S565" s="2">
        <v>106.9</v>
      </c>
      <c r="T565" s="2">
        <v>88.4</v>
      </c>
      <c r="U565" s="2">
        <v>874.4</v>
      </c>
      <c r="X565" s="1"/>
    </row>
    <row r="566" spans="1:24" ht="16.899999999999999" customHeight="1" x14ac:dyDescent="0.3">
      <c r="A566" s="32"/>
      <c r="B566" s="744" t="s">
        <v>7</v>
      </c>
      <c r="C566" s="911"/>
      <c r="D566" s="11"/>
      <c r="E566" s="11"/>
      <c r="F566" s="10" t="s">
        <v>2</v>
      </c>
      <c r="G566" s="9" t="s">
        <v>5</v>
      </c>
      <c r="H566" s="9"/>
      <c r="I566" s="11"/>
      <c r="J566" s="1063">
        <f>J567</f>
        <v>493.39</v>
      </c>
      <c r="K566" s="1150"/>
      <c r="L566" s="1063">
        <v>555.32000000000005</v>
      </c>
      <c r="M566" s="1125">
        <v>555.32000000000005</v>
      </c>
      <c r="N566" s="1986">
        <f>N567</f>
        <v>807.12400000000002</v>
      </c>
      <c r="O566" s="1947"/>
      <c r="P566" s="1947"/>
      <c r="Q566" s="1987">
        <f>Q567</f>
        <v>816.62400000000002</v>
      </c>
      <c r="R566" s="1988">
        <f>R567</f>
        <v>846.82399999999996</v>
      </c>
      <c r="X566" s="1"/>
    </row>
    <row r="567" spans="1:24" ht="16.899999999999999" customHeight="1" x14ac:dyDescent="0.3">
      <c r="A567" s="32"/>
      <c r="B567" s="744" t="s">
        <v>6</v>
      </c>
      <c r="C567" s="911"/>
      <c r="D567" s="11"/>
      <c r="E567" s="11"/>
      <c r="F567" s="10" t="s">
        <v>2</v>
      </c>
      <c r="G567" s="9" t="s">
        <v>5</v>
      </c>
      <c r="H567" s="9" t="s">
        <v>488</v>
      </c>
      <c r="I567" s="9" t="s">
        <v>495</v>
      </c>
      <c r="J567" s="1063">
        <f>378.948+114.442</f>
        <v>493.39</v>
      </c>
      <c r="K567" s="1150"/>
      <c r="L567" s="1063">
        <v>555.32000000000005</v>
      </c>
      <c r="M567" s="1125">
        <v>555.32000000000005</v>
      </c>
      <c r="N567" s="1986">
        <v>807.12400000000002</v>
      </c>
      <c r="O567" s="1947"/>
      <c r="P567" s="1947"/>
      <c r="Q567" s="1987">
        <v>816.62400000000002</v>
      </c>
      <c r="R567" s="1988">
        <v>846.82399999999996</v>
      </c>
      <c r="S567" s="2">
        <v>807.13300000000004</v>
      </c>
      <c r="T567" s="2">
        <v>816.63300000000004</v>
      </c>
      <c r="U567" s="2">
        <v>846.83299999999997</v>
      </c>
      <c r="X567" s="1"/>
    </row>
    <row r="568" spans="1:24" ht="16.899999999999999" customHeight="1" x14ac:dyDescent="0.3">
      <c r="A568" s="32"/>
      <c r="B568" s="1993" t="s">
        <v>4</v>
      </c>
      <c r="C568" s="911"/>
      <c r="D568" s="11"/>
      <c r="E568" s="11"/>
      <c r="F568" s="10" t="s">
        <v>2</v>
      </c>
      <c r="G568" s="9" t="s">
        <v>1</v>
      </c>
      <c r="H568" s="9"/>
      <c r="I568" s="9"/>
      <c r="J568" s="1142">
        <f>J569</f>
        <v>107.41</v>
      </c>
      <c r="K568" s="1150"/>
      <c r="L568" s="1150">
        <v>50.563000000000002</v>
      </c>
      <c r="M568" s="1575">
        <v>50.563000000000002</v>
      </c>
      <c r="N568" s="2075">
        <f>N569</f>
        <v>27.576000000000001</v>
      </c>
      <c r="O568" s="1947"/>
      <c r="P568" s="1947"/>
      <c r="Q568" s="2117">
        <f>Q569</f>
        <v>27.576000000000001</v>
      </c>
      <c r="R568" s="2118">
        <f>R569</f>
        <v>27.576000000000001</v>
      </c>
      <c r="U568" s="2">
        <v>27.567</v>
      </c>
      <c r="X568" s="1"/>
    </row>
    <row r="569" spans="1:24" ht="16.899999999999999" customHeight="1" x14ac:dyDescent="0.25">
      <c r="A569" s="32"/>
      <c r="B569" s="754" t="s">
        <v>3</v>
      </c>
      <c r="C569" s="911"/>
      <c r="D569" s="11"/>
      <c r="E569" s="11"/>
      <c r="F569" s="10" t="s">
        <v>2</v>
      </c>
      <c r="G569" s="9" t="s">
        <v>1</v>
      </c>
      <c r="H569" s="9" t="s">
        <v>488</v>
      </c>
      <c r="I569" s="9" t="s">
        <v>495</v>
      </c>
      <c r="J569" s="1063">
        <f>86.41+21</f>
        <v>107.41</v>
      </c>
      <c r="K569" s="1150"/>
      <c r="L569" s="1150">
        <v>50.563000000000002</v>
      </c>
      <c r="M569" s="1575">
        <v>50.563000000000002</v>
      </c>
      <c r="N569" s="1986">
        <v>27.576000000000001</v>
      </c>
      <c r="O569" s="1947"/>
      <c r="P569" s="1947"/>
      <c r="Q569" s="1988">
        <v>27.576000000000001</v>
      </c>
      <c r="R569" s="1988">
        <v>27.576000000000001</v>
      </c>
      <c r="X569" s="1"/>
    </row>
    <row r="570" spans="1:24" ht="25" customHeight="1" x14ac:dyDescent="0.25">
      <c r="A570" s="32"/>
      <c r="B570" s="1151" t="s">
        <v>1035</v>
      </c>
      <c r="C570" s="142"/>
      <c r="D570" s="143"/>
      <c r="E570" s="142"/>
      <c r="F570" s="946" t="s">
        <v>1036</v>
      </c>
      <c r="G570" s="143"/>
      <c r="H570" s="143"/>
      <c r="I570" s="142"/>
      <c r="J570" s="1103"/>
      <c r="K570" s="1103"/>
      <c r="L570" s="1103"/>
      <c r="M570" s="1124"/>
      <c r="N570" s="2099">
        <f>N571</f>
        <v>100</v>
      </c>
      <c r="O570" s="1947"/>
      <c r="P570" s="1947"/>
      <c r="Q570" s="2119"/>
      <c r="R570" s="2102"/>
      <c r="X570" s="1"/>
    </row>
    <row r="571" spans="1:24" ht="16.899999999999999" customHeight="1" x14ac:dyDescent="0.3">
      <c r="A571" s="32"/>
      <c r="B571" s="1993" t="s">
        <v>4</v>
      </c>
      <c r="C571" s="89"/>
      <c r="D571" s="9" t="s">
        <v>52</v>
      </c>
      <c r="E571" s="9" t="s">
        <v>58</v>
      </c>
      <c r="F571" s="9" t="s">
        <v>1036</v>
      </c>
      <c r="G571" s="88">
        <v>240</v>
      </c>
      <c r="H571" s="88"/>
      <c r="I571" s="1063"/>
      <c r="J571" s="1061"/>
      <c r="K571" s="1063"/>
      <c r="L571" s="1063"/>
      <c r="M571" s="84"/>
      <c r="N571" s="1986">
        <f>N572</f>
        <v>100</v>
      </c>
      <c r="O571" s="1947"/>
      <c r="P571" s="1947"/>
      <c r="Q571" s="1987"/>
      <c r="R571" s="1988"/>
      <c r="X571" s="1"/>
    </row>
    <row r="572" spans="1:24" ht="16.899999999999999" customHeight="1" x14ac:dyDescent="0.3">
      <c r="A572" s="32"/>
      <c r="B572" s="90" t="s">
        <v>34</v>
      </c>
      <c r="C572" s="89"/>
      <c r="D572" s="9"/>
      <c r="E572" s="9"/>
      <c r="F572" s="9" t="s">
        <v>1036</v>
      </c>
      <c r="G572" s="88">
        <v>240</v>
      </c>
      <c r="H572" s="9" t="s">
        <v>463</v>
      </c>
      <c r="I572" s="9" t="s">
        <v>495</v>
      </c>
      <c r="J572" s="1061"/>
      <c r="K572" s="1063"/>
      <c r="L572" s="1063"/>
      <c r="M572" s="84"/>
      <c r="N572" s="1986">
        <v>100</v>
      </c>
      <c r="O572" s="1947"/>
      <c r="P572" s="1947"/>
      <c r="Q572" s="1987"/>
      <c r="R572" s="1988"/>
      <c r="X572" s="1"/>
    </row>
    <row r="573" spans="1:24" ht="39.65" customHeight="1" x14ac:dyDescent="0.3">
      <c r="A573" s="844"/>
      <c r="B573" s="1954" t="s">
        <v>1004</v>
      </c>
      <c r="C573" s="735"/>
      <c r="D573" s="77"/>
      <c r="E573" s="77"/>
      <c r="F573" s="34" t="s">
        <v>1005</v>
      </c>
      <c r="G573" s="9"/>
      <c r="H573" s="9"/>
      <c r="I573" s="656"/>
      <c r="J573" s="30"/>
      <c r="K573" s="29"/>
      <c r="L573" s="527"/>
      <c r="M573" s="1576">
        <f>M574</f>
        <v>139.6</v>
      </c>
      <c r="N573" s="1982">
        <f>N574</f>
        <v>131</v>
      </c>
      <c r="O573" s="1947"/>
      <c r="P573" s="1947"/>
      <c r="Q573" s="1984">
        <f>Q574</f>
        <v>0</v>
      </c>
      <c r="R573" s="1985">
        <f>R574</f>
        <v>0</v>
      </c>
      <c r="X573" s="1"/>
    </row>
    <row r="574" spans="1:24" ht="16" customHeight="1" x14ac:dyDescent="0.3">
      <c r="A574" s="845"/>
      <c r="B574" s="744" t="s">
        <v>7</v>
      </c>
      <c r="C574" s="738"/>
      <c r="D574" s="1815"/>
      <c r="E574" s="1815"/>
      <c r="F574" s="142" t="s">
        <v>1005</v>
      </c>
      <c r="G574" s="142" t="s">
        <v>5</v>
      </c>
      <c r="H574" s="142"/>
      <c r="I574" s="740"/>
      <c r="J574" s="741"/>
      <c r="K574" s="742"/>
      <c r="L574" s="64"/>
      <c r="M574" s="1577">
        <f>M575</f>
        <v>139.6</v>
      </c>
      <c r="N574" s="1986">
        <f>N575</f>
        <v>131</v>
      </c>
      <c r="O574" s="1947"/>
      <c r="P574" s="1947"/>
      <c r="Q574" s="2010">
        <f>Q575</f>
        <v>0</v>
      </c>
      <c r="R574" s="1988">
        <f>R575</f>
        <v>0</v>
      </c>
      <c r="X574" s="1"/>
    </row>
    <row r="575" spans="1:24" ht="16.899999999999999" customHeight="1" x14ac:dyDescent="0.3">
      <c r="A575" s="844"/>
      <c r="B575" s="744" t="s">
        <v>93</v>
      </c>
      <c r="C575" s="735"/>
      <c r="D575" s="77"/>
      <c r="E575" s="77"/>
      <c r="F575" s="9" t="s">
        <v>1005</v>
      </c>
      <c r="G575" s="9" t="s">
        <v>5</v>
      </c>
      <c r="H575" s="9" t="s">
        <v>456</v>
      </c>
      <c r="I575" s="9" t="s">
        <v>573</v>
      </c>
      <c r="J575" s="30"/>
      <c r="K575" s="29"/>
      <c r="L575" s="28"/>
      <c r="M575" s="1558">
        <v>139.6</v>
      </c>
      <c r="N575" s="1986">
        <v>131</v>
      </c>
      <c r="O575" s="1947"/>
      <c r="P575" s="1947"/>
      <c r="Q575" s="2010"/>
      <c r="R575" s="1988"/>
      <c r="X575" s="1"/>
    </row>
    <row r="576" spans="1:24" ht="22" hidden="1" customHeight="1" x14ac:dyDescent="0.3">
      <c r="A576" s="844"/>
      <c r="B576" s="1894" t="s">
        <v>830</v>
      </c>
      <c r="C576" s="735"/>
      <c r="D576" s="77"/>
      <c r="E576" s="77"/>
      <c r="F576" s="34" t="s">
        <v>958</v>
      </c>
      <c r="G576" s="9"/>
      <c r="H576" s="9"/>
      <c r="I576" s="9"/>
      <c r="J576" s="1434"/>
      <c r="K576" s="29"/>
      <c r="L576" s="28"/>
      <c r="M576" s="1558"/>
      <c r="N576" s="1986">
        <f>N577</f>
        <v>0</v>
      </c>
      <c r="O576" s="1947"/>
      <c r="P576" s="1947"/>
      <c r="Q576" s="2010">
        <f>Q577</f>
        <v>0</v>
      </c>
      <c r="R576" s="1988">
        <f>R577</f>
        <v>0</v>
      </c>
      <c r="X576" s="1"/>
    </row>
    <row r="577" spans="1:24" ht="16.899999999999999" hidden="1" customHeight="1" x14ac:dyDescent="0.3">
      <c r="A577" s="844"/>
      <c r="B577" s="737" t="s">
        <v>256</v>
      </c>
      <c r="C577" s="735"/>
      <c r="D577" s="77"/>
      <c r="E577" s="77"/>
      <c r="F577" s="9" t="s">
        <v>958</v>
      </c>
      <c r="G577" s="9" t="s">
        <v>255</v>
      </c>
      <c r="H577" s="9"/>
      <c r="I577" s="9"/>
      <c r="J577" s="1434"/>
      <c r="K577" s="29"/>
      <c r="L577" s="28"/>
      <c r="M577" s="1558"/>
      <c r="N577" s="1986">
        <f>N578</f>
        <v>0</v>
      </c>
      <c r="O577" s="1947"/>
      <c r="P577" s="1947"/>
      <c r="Q577" s="2010">
        <f>Q578</f>
        <v>0</v>
      </c>
      <c r="R577" s="1988">
        <f>R578</f>
        <v>0</v>
      </c>
      <c r="X577" s="1"/>
    </row>
    <row r="578" spans="1:24" ht="16.899999999999999" hidden="1" customHeight="1" x14ac:dyDescent="0.3">
      <c r="A578" s="844"/>
      <c r="B578" s="744" t="s">
        <v>87</v>
      </c>
      <c r="C578" s="735"/>
      <c r="D578" s="77"/>
      <c r="E578" s="77"/>
      <c r="F578" s="9" t="s">
        <v>958</v>
      </c>
      <c r="G578" s="9" t="s">
        <v>255</v>
      </c>
      <c r="H578" s="9" t="s">
        <v>453</v>
      </c>
      <c r="I578" s="9" t="s">
        <v>456</v>
      </c>
      <c r="J578" s="1434"/>
      <c r="K578" s="29"/>
      <c r="L578" s="28"/>
      <c r="M578" s="1558"/>
      <c r="N578" s="1986"/>
      <c r="O578" s="1947"/>
      <c r="P578" s="1947"/>
      <c r="Q578" s="2010"/>
      <c r="R578" s="1988"/>
      <c r="X578" s="1"/>
    </row>
    <row r="579" spans="1:24" ht="13" x14ac:dyDescent="0.3">
      <c r="A579" s="32"/>
      <c r="B579" s="2124" t="s">
        <v>12</v>
      </c>
      <c r="C579" s="31"/>
      <c r="D579" s="9"/>
      <c r="E579" s="9"/>
      <c r="F579" s="34" t="s">
        <v>10</v>
      </c>
      <c r="G579" s="33"/>
      <c r="H579" s="33"/>
      <c r="I579" s="9"/>
      <c r="J579" s="28">
        <f>J580</f>
        <v>1109.2180000000001</v>
      </c>
      <c r="K579" s="30"/>
      <c r="L579" s="29"/>
      <c r="M579" s="1569"/>
      <c r="N579" s="1989">
        <f t="shared" ref="N579:R580" si="135">N580</f>
        <v>947.01</v>
      </c>
      <c r="O579" s="1961">
        <f t="shared" si="135"/>
        <v>799.11500000000001</v>
      </c>
      <c r="P579" s="1961">
        <f t="shared" si="135"/>
        <v>895.01</v>
      </c>
      <c r="Q579" s="2097">
        <f t="shared" si="135"/>
        <v>947.01</v>
      </c>
      <c r="R579" s="2098">
        <f t="shared" si="135"/>
        <v>947.01</v>
      </c>
      <c r="X579" s="1"/>
    </row>
    <row r="580" spans="1:24" ht="16.899999999999999" customHeight="1" x14ac:dyDescent="0.3">
      <c r="A580" s="32"/>
      <c r="B580" s="1993" t="s">
        <v>4</v>
      </c>
      <c r="C580" s="31"/>
      <c r="D580" s="9"/>
      <c r="E580" s="9"/>
      <c r="F580" s="9" t="s">
        <v>10</v>
      </c>
      <c r="G580" s="9" t="s">
        <v>1</v>
      </c>
      <c r="H580" s="9"/>
      <c r="I580" s="9"/>
      <c r="J580" s="28">
        <f>J581</f>
        <v>1109.2180000000001</v>
      </c>
      <c r="K580" s="30"/>
      <c r="L580" s="29"/>
      <c r="M580" s="1569"/>
      <c r="N580" s="1998">
        <f t="shared" si="135"/>
        <v>947.01</v>
      </c>
      <c r="O580" s="1961">
        <f t="shared" si="135"/>
        <v>799.11500000000001</v>
      </c>
      <c r="P580" s="1961">
        <f t="shared" si="135"/>
        <v>895.01</v>
      </c>
      <c r="Q580" s="2093">
        <f t="shared" si="135"/>
        <v>947.01</v>
      </c>
      <c r="R580" s="2094">
        <f t="shared" si="135"/>
        <v>947.01</v>
      </c>
      <c r="X580" s="1"/>
    </row>
    <row r="581" spans="1:24" ht="12.75" customHeight="1" thickBot="1" x14ac:dyDescent="0.35">
      <c r="A581" s="26"/>
      <c r="B581" s="1488" t="s">
        <v>11</v>
      </c>
      <c r="C581" s="1778"/>
      <c r="D581" s="25"/>
      <c r="E581" s="25"/>
      <c r="F581" s="25" t="s">
        <v>10</v>
      </c>
      <c r="G581" s="25" t="s">
        <v>1</v>
      </c>
      <c r="H581" s="25" t="s">
        <v>463</v>
      </c>
      <c r="I581" s="25" t="s">
        <v>456</v>
      </c>
      <c r="J581" s="1779">
        <v>1109.2180000000001</v>
      </c>
      <c r="K581" s="1780"/>
      <c r="L581" s="1492"/>
      <c r="M581" s="1781"/>
      <c r="N581" s="2125">
        <v>947.01</v>
      </c>
      <c r="O581" s="2126">
        <v>799.11500000000001</v>
      </c>
      <c r="P581" s="2127">
        <v>895.01</v>
      </c>
      <c r="Q581" s="2128">
        <v>947.01</v>
      </c>
      <c r="R581" s="2129">
        <v>947.01</v>
      </c>
      <c r="X581" s="1"/>
    </row>
    <row r="582" spans="1:24" ht="26" hidden="1" x14ac:dyDescent="0.3">
      <c r="A582" s="145"/>
      <c r="B582" s="23" t="s">
        <v>8</v>
      </c>
      <c r="C582" s="22"/>
      <c r="D582" s="20"/>
      <c r="E582" s="20"/>
      <c r="F582" s="21" t="s">
        <v>2</v>
      </c>
      <c r="G582" s="20"/>
      <c r="H582" s="20"/>
      <c r="I582" s="20"/>
      <c r="J582" s="1146">
        <f>J583+J585</f>
        <v>600.79999999999995</v>
      </c>
      <c r="K582" s="1147"/>
      <c r="L582" s="1148">
        <f t="shared" ref="L582:R582" si="136">L583+L585</f>
        <v>605.88300000000004</v>
      </c>
      <c r="M582" s="1148">
        <f t="shared" si="136"/>
        <v>605.88300000000004</v>
      </c>
      <c r="N582" s="2130">
        <f t="shared" si="136"/>
        <v>0</v>
      </c>
      <c r="O582" s="2131">
        <f t="shared" si="136"/>
        <v>600.79999999999995</v>
      </c>
      <c r="P582" s="2132">
        <f t="shared" si="136"/>
        <v>600.79999999999995</v>
      </c>
      <c r="Q582" s="2133">
        <f t="shared" si="136"/>
        <v>0</v>
      </c>
      <c r="R582" s="2133">
        <f t="shared" si="136"/>
        <v>0</v>
      </c>
      <c r="X582" s="1"/>
    </row>
    <row r="583" spans="1:24" ht="13" hidden="1" x14ac:dyDescent="0.3">
      <c r="A583" s="32"/>
      <c r="B583" s="744" t="s">
        <v>7</v>
      </c>
      <c r="C583" s="911"/>
      <c r="D583" s="11"/>
      <c r="E583" s="11"/>
      <c r="F583" s="10" t="s">
        <v>2</v>
      </c>
      <c r="G583" s="9" t="s">
        <v>5</v>
      </c>
      <c r="H583" s="9"/>
      <c r="I583" s="11"/>
      <c r="J583" s="1063">
        <f>J584</f>
        <v>493.39</v>
      </c>
      <c r="K583" s="1150"/>
      <c r="L583" s="1063">
        <v>555.32000000000005</v>
      </c>
      <c r="M583" s="1063">
        <v>555.32000000000005</v>
      </c>
      <c r="N583" s="2134">
        <f>N584</f>
        <v>0</v>
      </c>
      <c r="O583" s="1947">
        <f>O584</f>
        <v>493.39</v>
      </c>
      <c r="P583" s="1941">
        <f>P584</f>
        <v>493.39</v>
      </c>
      <c r="Q583" s="2057">
        <f>Q584</f>
        <v>0</v>
      </c>
      <c r="R583" s="2057">
        <f>R584</f>
        <v>0</v>
      </c>
      <c r="X583" s="1"/>
    </row>
    <row r="584" spans="1:24" ht="13" hidden="1" x14ac:dyDescent="0.3">
      <c r="A584" s="32"/>
      <c r="B584" s="744" t="s">
        <v>6</v>
      </c>
      <c r="C584" s="911"/>
      <c r="D584" s="11"/>
      <c r="E584" s="11"/>
      <c r="F584" s="10" t="s">
        <v>2</v>
      </c>
      <c r="G584" s="9" t="s">
        <v>5</v>
      </c>
      <c r="H584" s="9" t="s">
        <v>488</v>
      </c>
      <c r="I584" s="9" t="s">
        <v>495</v>
      </c>
      <c r="J584" s="1063">
        <f>378.948+114.442</f>
        <v>493.39</v>
      </c>
      <c r="K584" s="1150"/>
      <c r="L584" s="1063">
        <v>555.32000000000005</v>
      </c>
      <c r="M584" s="1063">
        <v>555.32000000000005</v>
      </c>
      <c r="N584" s="2134"/>
      <c r="O584" s="1947">
        <f>378.948+114.442</f>
        <v>493.39</v>
      </c>
      <c r="P584" s="1941">
        <f>378.948+114.442</f>
        <v>493.39</v>
      </c>
      <c r="Q584" s="2057"/>
      <c r="R584" s="2057"/>
      <c r="X584" s="1"/>
    </row>
    <row r="585" spans="1:24" ht="26" hidden="1" x14ac:dyDescent="0.3">
      <c r="A585" s="32"/>
      <c r="B585" s="1993" t="s">
        <v>4</v>
      </c>
      <c r="C585" s="911"/>
      <c r="D585" s="11"/>
      <c r="E585" s="11"/>
      <c r="F585" s="10" t="s">
        <v>2</v>
      </c>
      <c r="G585" s="9" t="s">
        <v>1</v>
      </c>
      <c r="H585" s="9"/>
      <c r="I585" s="9"/>
      <c r="J585" s="1142">
        <f>J586</f>
        <v>107.41</v>
      </c>
      <c r="K585" s="1150"/>
      <c r="L585" s="1150">
        <v>50.563000000000002</v>
      </c>
      <c r="M585" s="1150">
        <v>50.563000000000002</v>
      </c>
      <c r="N585" s="2135">
        <f>N586</f>
        <v>0</v>
      </c>
      <c r="O585" s="2115">
        <f>O586</f>
        <v>107.41</v>
      </c>
      <c r="P585" s="2116">
        <f>P586</f>
        <v>107.41</v>
      </c>
      <c r="Q585" s="2136">
        <f>Q586</f>
        <v>0</v>
      </c>
      <c r="R585" s="2136">
        <f>R586</f>
        <v>0</v>
      </c>
      <c r="X585" s="1"/>
    </row>
    <row r="586" spans="1:24" ht="13.5" hidden="1" thickBot="1" x14ac:dyDescent="0.3">
      <c r="A586" s="26"/>
      <c r="B586" s="943" t="s">
        <v>3</v>
      </c>
      <c r="C586" s="896"/>
      <c r="D586" s="897"/>
      <c r="E586" s="897"/>
      <c r="F586" s="898" t="s">
        <v>2</v>
      </c>
      <c r="G586" s="25" t="s">
        <v>1</v>
      </c>
      <c r="H586" s="25" t="s">
        <v>488</v>
      </c>
      <c r="I586" s="25" t="s">
        <v>495</v>
      </c>
      <c r="J586" s="1154">
        <f>86.41+21</f>
        <v>107.41</v>
      </c>
      <c r="K586" s="1155"/>
      <c r="L586" s="1155">
        <v>50.563000000000002</v>
      </c>
      <c r="M586" s="1155">
        <v>50.563000000000002</v>
      </c>
      <c r="N586" s="2137"/>
      <c r="O586" s="1947">
        <f>86.41+21</f>
        <v>107.41</v>
      </c>
      <c r="P586" s="1941">
        <f>86.41+21</f>
        <v>107.41</v>
      </c>
      <c r="Q586" s="2138"/>
      <c r="R586" s="2138"/>
      <c r="X586" s="1"/>
    </row>
    <row r="587" spans="1:24" x14ac:dyDescent="0.25">
      <c r="X587" s="1"/>
    </row>
    <row r="588" spans="1:24" x14ac:dyDescent="0.25">
      <c r="S588" s="2">
        <v>170.6</v>
      </c>
      <c r="T588" s="2">
        <v>152.1</v>
      </c>
      <c r="U588" s="2">
        <v>938.1</v>
      </c>
    </row>
  </sheetData>
  <mergeCells count="19">
    <mergeCell ref="I2:N2"/>
    <mergeCell ref="Q2:R2"/>
    <mergeCell ref="G127:J127"/>
    <mergeCell ref="F3:N3"/>
    <mergeCell ref="Q3:R3"/>
    <mergeCell ref="Q4:R4"/>
    <mergeCell ref="G5:N5"/>
    <mergeCell ref="Q5:R5"/>
    <mergeCell ref="B12:J12"/>
    <mergeCell ref="A13:R13"/>
    <mergeCell ref="A14:R14"/>
    <mergeCell ref="A15:R15"/>
    <mergeCell ref="A16:R16"/>
    <mergeCell ref="A17:R17"/>
    <mergeCell ref="G128:J128"/>
    <mergeCell ref="G513:J513"/>
    <mergeCell ref="G514:J514"/>
    <mergeCell ref="G548:J548"/>
    <mergeCell ref="G549:J549"/>
  </mergeCells>
  <pageMargins left="0.59055118110236227" right="0.59055118110236227" top="0.31496062992125984" bottom="0.31496062992125984" header="0.31496062992125984" footer="0.31496062992125984"/>
  <pageSetup paperSize="9" scale="42" firstPageNumber="55" fitToHeight="3" orientation="portrait" useFirstPageNumber="1" r:id="rId1"/>
  <headerFooter alignWithMargins="0"/>
  <rowBreaks count="1" manualBreakCount="1">
    <brk id="231" max="17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V547"/>
  <sheetViews>
    <sheetView view="pageBreakPreview" zoomScale="78" zoomScaleNormal="76" zoomScaleSheetLayoutView="78" workbookViewId="0">
      <selection activeCell="R188" sqref="R188"/>
    </sheetView>
  </sheetViews>
  <sheetFormatPr defaultColWidth="9.1796875" defaultRowHeight="12.5" x14ac:dyDescent="0.25"/>
  <cols>
    <col min="1" max="1" width="8.81640625" style="1" customWidth="1"/>
    <col min="2" max="2" width="60.26953125" style="6" customWidth="1"/>
    <col min="3" max="3" width="10" style="5" hidden="1" customWidth="1"/>
    <col min="4" max="4" width="9.26953125" style="4" hidden="1" customWidth="1"/>
    <col min="5" max="5" width="10.453125" style="4" hidden="1" customWidth="1"/>
    <col min="6" max="6" width="13.26953125" style="4" customWidth="1"/>
    <col min="7" max="8" width="10.26953125" style="4" customWidth="1"/>
    <col min="9" max="9" width="10.453125" style="4" customWidth="1"/>
    <col min="10" max="10" width="22.1796875" style="1045" hidden="1" customWidth="1"/>
    <col min="11" max="11" width="14.7265625" style="1045" hidden="1" customWidth="1"/>
    <col min="12" max="12" width="15.81640625" style="1045" hidden="1" customWidth="1"/>
    <col min="13" max="13" width="18.7265625" style="1045" hidden="1" customWidth="1"/>
    <col min="14" max="14" width="22.1796875" style="1045" customWidth="1"/>
    <col min="15" max="16" width="22.1796875" style="1045" hidden="1" customWidth="1"/>
    <col min="17" max="18" width="22.1796875" style="1045" customWidth="1"/>
    <col min="19" max="21" width="10.26953125" style="2" hidden="1" customWidth="1"/>
    <col min="22" max="24" width="9.1796875" style="2"/>
    <col min="25" max="16384" width="9.1796875" style="1"/>
  </cols>
  <sheetData>
    <row r="1" spans="1:256" s="2" customFormat="1" ht="15.5" x14ac:dyDescent="0.35">
      <c r="A1" s="1"/>
      <c r="B1" s="6"/>
      <c r="C1" s="5"/>
      <c r="D1" s="4"/>
      <c r="E1" s="4"/>
      <c r="F1" s="4"/>
      <c r="G1" s="4"/>
      <c r="H1" s="4"/>
      <c r="I1" s="4"/>
      <c r="J1" s="1724"/>
      <c r="K1" s="1724"/>
      <c r="L1" s="1724"/>
      <c r="M1" s="1724"/>
      <c r="N1" s="1724"/>
      <c r="O1" s="1724"/>
      <c r="P1" s="261"/>
      <c r="Q1" s="261"/>
      <c r="R1" s="1724" t="s">
        <v>936</v>
      </c>
      <c r="S1" s="4"/>
      <c r="T1" s="4"/>
      <c r="U1" s="4"/>
      <c r="V1" s="1724"/>
      <c r="W1" s="1724"/>
      <c r="X1" s="1724"/>
      <c r="Y1" s="1724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s="2" customFormat="1" ht="15.5" x14ac:dyDescent="0.35">
      <c r="A2" s="1"/>
      <c r="B2" s="6"/>
      <c r="C2" s="5"/>
      <c r="D2" s="4"/>
      <c r="E2" s="4"/>
      <c r="F2" s="4"/>
      <c r="G2" s="4"/>
      <c r="H2" s="4"/>
      <c r="I2" s="3162"/>
      <c r="J2" s="3162"/>
      <c r="K2" s="3162"/>
      <c r="L2" s="3162"/>
      <c r="M2" s="3162"/>
      <c r="N2" s="3162"/>
      <c r="O2" s="5"/>
      <c r="P2" s="261"/>
      <c r="Q2" s="261"/>
      <c r="R2" s="1724" t="s">
        <v>450</v>
      </c>
      <c r="S2" s="4"/>
      <c r="T2" s="4"/>
      <c r="V2" s="261"/>
      <c r="W2" s="261"/>
      <c r="X2" s="261"/>
      <c r="Y2" s="261"/>
      <c r="Z2" s="26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 s="2" customFormat="1" ht="15.5" x14ac:dyDescent="0.35">
      <c r="A3" s="1"/>
      <c r="B3" s="6"/>
      <c r="C3" s="261"/>
      <c r="D3" s="261"/>
      <c r="E3" s="261"/>
      <c r="F3" s="3162"/>
      <c r="G3" s="3162"/>
      <c r="H3" s="3162"/>
      <c r="I3" s="3162"/>
      <c r="J3" s="3162"/>
      <c r="K3" s="3162"/>
      <c r="L3" s="3162"/>
      <c r="M3" s="3162"/>
      <c r="N3" s="3162"/>
      <c r="O3" s="261"/>
      <c r="P3" s="261"/>
      <c r="Q3" s="261"/>
      <c r="R3" s="1724" t="s">
        <v>449</v>
      </c>
      <c r="S3" s="1539"/>
      <c r="T3" s="1539"/>
      <c r="U3" s="1539"/>
      <c r="V3" s="1539"/>
      <c r="W3" s="1539"/>
      <c r="X3" s="1539"/>
      <c r="Y3" s="1539"/>
      <c r="Z3" s="1539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spans="1:256" s="2" customFormat="1" ht="15.5" x14ac:dyDescent="0.35">
      <c r="A4" s="1"/>
      <c r="B4" s="6"/>
      <c r="C4" s="5"/>
      <c r="D4" s="1724"/>
      <c r="E4" s="1724"/>
      <c r="F4" s="1724"/>
      <c r="G4" s="1724"/>
      <c r="H4" s="1724"/>
      <c r="I4" s="1724"/>
      <c r="J4" s="1724"/>
      <c r="K4" s="1045"/>
      <c r="L4" s="1045"/>
      <c r="M4" s="1724"/>
      <c r="N4" s="260"/>
      <c r="O4" s="260"/>
      <c r="P4" s="261"/>
      <c r="Q4" s="261"/>
      <c r="R4" s="1724" t="s">
        <v>448</v>
      </c>
      <c r="S4" s="1724"/>
      <c r="T4" s="1724"/>
      <c r="U4" s="1724"/>
      <c r="V4" s="1724"/>
      <c r="W4" s="1045"/>
      <c r="X4" s="1045"/>
      <c r="Z4" s="234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spans="1:256" s="2" customFormat="1" ht="15.5" x14ac:dyDescent="0.25">
      <c r="A5" s="1"/>
      <c r="B5" s="6"/>
      <c r="C5" s="5"/>
      <c r="D5" s="258" t="s">
        <v>447</v>
      </c>
      <c r="E5" s="258"/>
      <c r="F5" s="258"/>
      <c r="G5" s="3164"/>
      <c r="H5" s="3164"/>
      <c r="I5" s="3164"/>
      <c r="J5" s="3164"/>
      <c r="K5" s="3164"/>
      <c r="L5" s="3164"/>
      <c r="M5" s="3164"/>
      <c r="N5" s="3164"/>
      <c r="O5" s="449"/>
      <c r="P5" s="449"/>
      <c r="Q5" s="3164" t="s">
        <v>991</v>
      </c>
      <c r="R5" s="3164"/>
      <c r="S5" s="3164"/>
      <c r="T5" s="1725"/>
      <c r="U5" s="258"/>
      <c r="V5" s="258"/>
      <c r="W5" s="258"/>
      <c r="X5" s="258"/>
      <c r="Y5" s="258"/>
      <c r="Z5" s="258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</row>
    <row r="6" spans="1:256" s="2" customFormat="1" ht="13.15" customHeight="1" x14ac:dyDescent="0.25">
      <c r="A6" s="1"/>
      <c r="B6" s="6"/>
      <c r="C6" s="5"/>
      <c r="D6" s="4"/>
      <c r="E6" s="4"/>
      <c r="F6" s="4"/>
      <c r="G6" s="4"/>
      <c r="H6" s="4"/>
      <c r="I6" s="4"/>
      <c r="J6" s="1045"/>
      <c r="K6" s="1045"/>
      <c r="L6" s="1045"/>
      <c r="M6" s="4"/>
      <c r="N6" s="6"/>
      <c r="O6" s="6"/>
      <c r="P6" s="6"/>
      <c r="Q6" s="6"/>
      <c r="R6" s="6"/>
      <c r="S6" s="4"/>
      <c r="T6" s="4"/>
      <c r="U6" s="1045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</row>
    <row r="7" spans="1:256" s="2" customFormat="1" ht="15.5" hidden="1" x14ac:dyDescent="0.35">
      <c r="A7" s="1"/>
      <c r="B7" s="1725"/>
      <c r="C7" s="5"/>
      <c r="D7" s="4"/>
      <c r="E7" s="254"/>
      <c r="F7" s="254"/>
      <c r="G7" s="254"/>
      <c r="H7" s="254"/>
      <c r="I7" s="254"/>
      <c r="J7" s="1045"/>
      <c r="K7" s="1045"/>
      <c r="L7" s="1045"/>
      <c r="M7" s="4"/>
      <c r="N7" s="1725" t="s">
        <v>446</v>
      </c>
      <c r="O7" s="1725"/>
      <c r="P7" s="1725"/>
      <c r="Q7" s="1725" t="s">
        <v>446</v>
      </c>
      <c r="R7" s="1725" t="s">
        <v>446</v>
      </c>
      <c r="S7" s="254"/>
      <c r="T7" s="254"/>
      <c r="U7" s="1725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spans="1:256" s="2" customFormat="1" ht="15.5" hidden="1" x14ac:dyDescent="0.35">
      <c r="A8" s="1"/>
      <c r="B8" s="6"/>
      <c r="C8" s="5"/>
      <c r="D8" s="4"/>
      <c r="E8" s="254"/>
      <c r="F8" s="254"/>
      <c r="G8" s="254"/>
      <c r="H8" s="254"/>
      <c r="I8" s="254"/>
      <c r="J8" s="256"/>
      <c r="K8" s="1045"/>
      <c r="L8" s="1045"/>
      <c r="M8" s="4"/>
      <c r="N8" s="6"/>
      <c r="O8" s="6"/>
      <c r="P8" s="6"/>
      <c r="Q8" s="6"/>
      <c r="R8" s="6"/>
      <c r="S8" s="254"/>
      <c r="T8" s="254"/>
      <c r="U8" s="256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 s="2" customFormat="1" ht="15.5" hidden="1" x14ac:dyDescent="0.35">
      <c r="A9" s="1"/>
      <c r="B9" s="1725"/>
      <c r="C9" s="5"/>
      <c r="D9" s="4"/>
      <c r="E9" s="254"/>
      <c r="F9" s="254"/>
      <c r="G9" s="254"/>
      <c r="H9" s="254"/>
      <c r="I9" s="254"/>
      <c r="J9" s="1045"/>
      <c r="K9" s="1045"/>
      <c r="L9" s="1045"/>
      <c r="M9" s="4"/>
      <c r="N9" s="1725" t="s">
        <v>848</v>
      </c>
      <c r="O9" s="1725"/>
      <c r="P9" s="1725"/>
      <c r="Q9" s="1725" t="s">
        <v>848</v>
      </c>
      <c r="R9" s="1725" t="s">
        <v>848</v>
      </c>
      <c r="S9" s="254"/>
      <c r="T9" s="254"/>
      <c r="U9" s="1725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</row>
    <row r="10" spans="1:256" s="2" customFormat="1" ht="13" hidden="1" x14ac:dyDescent="0.3">
      <c r="A10" s="1"/>
      <c r="B10" s="250"/>
      <c r="C10" s="249"/>
      <c r="D10" s="247"/>
      <c r="E10" s="247"/>
      <c r="F10" s="247"/>
      <c r="G10" s="247"/>
      <c r="H10" s="247"/>
      <c r="I10" s="247"/>
      <c r="J10" s="1046">
        <v>69983.100000000006</v>
      </c>
      <c r="K10" s="1047" t="s">
        <v>444</v>
      </c>
      <c r="L10" s="1048">
        <v>72195.899999999994</v>
      </c>
      <c r="M10" s="1049">
        <v>73707.5</v>
      </c>
      <c r="N10" s="1046">
        <v>69983.100000000006</v>
      </c>
      <c r="O10" s="1046">
        <v>69983.100000000006</v>
      </c>
      <c r="P10" s="1046">
        <v>69983.100000000006</v>
      </c>
      <c r="Q10" s="1046">
        <v>69983.100000000006</v>
      </c>
      <c r="R10" s="1046">
        <v>69983.100000000006</v>
      </c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spans="1:256" ht="13" x14ac:dyDescent="0.3">
      <c r="B11" s="250"/>
      <c r="C11" s="249"/>
      <c r="D11" s="247"/>
      <c r="E11" s="247"/>
      <c r="F11" s="247"/>
      <c r="G11" s="248" t="s">
        <v>442</v>
      </c>
      <c r="H11" s="248"/>
      <c r="I11" s="247"/>
      <c r="J11" s="1050">
        <f>J10-J20</f>
        <v>0</v>
      </c>
      <c r="K11" s="1047" t="s">
        <v>443</v>
      </c>
      <c r="L11" s="1048">
        <v>1804.9</v>
      </c>
      <c r="M11" s="1051">
        <v>3685.4</v>
      </c>
      <c r="N11" s="1050">
        <f>N10-N20</f>
        <v>0</v>
      </c>
      <c r="O11" s="1050">
        <f>O10-O20</f>
        <v>0</v>
      </c>
      <c r="P11" s="1050">
        <f>P10-P20</f>
        <v>0</v>
      </c>
      <c r="Q11" s="1050">
        <f>Q10-Q20</f>
        <v>0</v>
      </c>
      <c r="R11" s="1050">
        <f>R10-R20</f>
        <v>0</v>
      </c>
    </row>
    <row r="12" spans="1:256" ht="15.5" x14ac:dyDescent="0.3">
      <c r="B12" s="3376"/>
      <c r="C12" s="3376"/>
      <c r="D12" s="3376"/>
      <c r="E12" s="3376"/>
      <c r="F12" s="3376"/>
      <c r="G12" s="3376"/>
      <c r="H12" s="3376"/>
      <c r="I12" s="3376"/>
      <c r="J12" s="3376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N12" s="1"/>
      <c r="O12" s="1"/>
      <c r="P12" s="1"/>
      <c r="Q12" s="1"/>
      <c r="R12" s="1"/>
    </row>
    <row r="13" spans="1:256" ht="15.65" customHeight="1" x14ac:dyDescent="0.3">
      <c r="A13" s="3377" t="s">
        <v>441</v>
      </c>
      <c r="B13" s="3377"/>
      <c r="C13" s="3377"/>
      <c r="D13" s="3377"/>
      <c r="E13" s="3377"/>
      <c r="F13" s="3377"/>
      <c r="G13" s="3377"/>
      <c r="H13" s="3377"/>
      <c r="I13" s="3377"/>
      <c r="J13" s="3377"/>
      <c r="K13" s="3377"/>
      <c r="L13" s="3377"/>
      <c r="M13" s="3377"/>
      <c r="N13" s="3377"/>
      <c r="O13" s="3377"/>
      <c r="P13" s="3377"/>
      <c r="Q13" s="3377"/>
      <c r="R13" s="3377"/>
    </row>
    <row r="14" spans="1:256" ht="17.5" customHeight="1" x14ac:dyDescent="0.3">
      <c r="A14" s="3377" t="s">
        <v>440</v>
      </c>
      <c r="B14" s="3377"/>
      <c r="C14" s="3377"/>
      <c r="D14" s="3377"/>
      <c r="E14" s="3377"/>
      <c r="F14" s="3377"/>
      <c r="G14" s="3377"/>
      <c r="H14" s="3377"/>
      <c r="I14" s="3377"/>
      <c r="J14" s="3377"/>
      <c r="K14" s="3377"/>
      <c r="L14" s="3377"/>
      <c r="M14" s="3377"/>
      <c r="N14" s="3377"/>
      <c r="O14" s="3377"/>
      <c r="P14" s="3377"/>
      <c r="Q14" s="3377"/>
      <c r="R14" s="3377"/>
    </row>
    <row r="15" spans="1:256" ht="15" customHeight="1" x14ac:dyDescent="0.3">
      <c r="A15" s="3377" t="s">
        <v>439</v>
      </c>
      <c r="B15" s="3377"/>
      <c r="C15" s="3377"/>
      <c r="D15" s="3377"/>
      <c r="E15" s="3377"/>
      <c r="F15" s="3377"/>
      <c r="G15" s="3377"/>
      <c r="H15" s="3377"/>
      <c r="I15" s="3377"/>
      <c r="J15" s="3377"/>
      <c r="K15" s="3377"/>
      <c r="L15" s="3377"/>
      <c r="M15" s="3377"/>
      <c r="N15" s="3377"/>
      <c r="O15" s="3377"/>
      <c r="P15" s="3377"/>
      <c r="Q15" s="3377"/>
      <c r="R15" s="3377"/>
    </row>
    <row r="16" spans="1:256" ht="13.5" customHeight="1" x14ac:dyDescent="0.3">
      <c r="A16" s="3377" t="s">
        <v>438</v>
      </c>
      <c r="B16" s="3377"/>
      <c r="C16" s="3377"/>
      <c r="D16" s="3377"/>
      <c r="E16" s="3377"/>
      <c r="F16" s="3377"/>
      <c r="G16" s="3377"/>
      <c r="H16" s="3377"/>
      <c r="I16" s="3377"/>
      <c r="J16" s="3377"/>
      <c r="K16" s="3377"/>
      <c r="L16" s="3377"/>
      <c r="M16" s="3377"/>
      <c r="N16" s="3377"/>
      <c r="O16" s="3377"/>
      <c r="P16" s="3377"/>
      <c r="Q16" s="3377"/>
      <c r="R16" s="3377"/>
    </row>
    <row r="17" spans="1:24" ht="16.149999999999999" customHeight="1" x14ac:dyDescent="0.3">
      <c r="A17" s="3377" t="s">
        <v>994</v>
      </c>
      <c r="B17" s="3377"/>
      <c r="C17" s="3377"/>
      <c r="D17" s="3377"/>
      <c r="E17" s="3377"/>
      <c r="F17" s="3377"/>
      <c r="G17" s="3377"/>
      <c r="H17" s="3377"/>
      <c r="I17" s="3377"/>
      <c r="J17" s="3377"/>
      <c r="K17" s="3377"/>
      <c r="L17" s="3377"/>
      <c r="M17" s="3377"/>
      <c r="N17" s="3377"/>
      <c r="O17" s="3377"/>
      <c r="P17" s="3377"/>
      <c r="Q17" s="3377"/>
      <c r="R17" s="3377"/>
    </row>
    <row r="18" spans="1:24" ht="16" thickBot="1" x14ac:dyDescent="0.4">
      <c r="B18" s="236"/>
      <c r="C18" s="235"/>
      <c r="D18" s="234"/>
      <c r="E18" s="234"/>
      <c r="F18" s="234"/>
      <c r="G18" s="234"/>
      <c r="H18" s="234"/>
      <c r="I18" s="234"/>
      <c r="J18" s="1052" t="s">
        <v>437</v>
      </c>
      <c r="K18" s="1052"/>
      <c r="L18" s="1052"/>
      <c r="M18" s="1052"/>
      <c r="N18" s="1052"/>
      <c r="O18" s="1052" t="s">
        <v>437</v>
      </c>
      <c r="P18" s="1052" t="s">
        <v>437</v>
      </c>
      <c r="Q18" s="1052"/>
      <c r="R18" s="1052" t="s">
        <v>829</v>
      </c>
    </row>
    <row r="19" spans="1:24" ht="65.5" hidden="1" thickBot="1" x14ac:dyDescent="0.3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1053" t="s">
        <v>319</v>
      </c>
      <c r="K19" s="1053"/>
      <c r="L19" s="231" t="s">
        <v>318</v>
      </c>
      <c r="M19" s="231" t="s">
        <v>317</v>
      </c>
      <c r="N19" s="1053" t="s">
        <v>319</v>
      </c>
      <c r="O19" s="1053" t="s">
        <v>319</v>
      </c>
      <c r="P19" s="1053" t="s">
        <v>319</v>
      </c>
      <c r="Q19" s="1053" t="s">
        <v>319</v>
      </c>
      <c r="R19" s="1053" t="s">
        <v>319</v>
      </c>
    </row>
    <row r="20" spans="1:24" s="83" customFormat="1" ht="15.5" hidden="1" thickBot="1" x14ac:dyDescent="0.35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1054">
        <f>J21+J64+J69+J83+J105+J144+J152+J166+J173</f>
        <v>69983.100000000006</v>
      </c>
      <c r="K20" s="1055"/>
      <c r="L20" s="1054">
        <f t="shared" ref="L20:R20" si="0">L21+L64+L69+L83+L105+L144+L152+L166+L173</f>
        <v>70391.000180000003</v>
      </c>
      <c r="M20" s="1054">
        <f t="shared" si="0"/>
        <v>70022.0995826</v>
      </c>
      <c r="N20" s="1054">
        <f t="shared" si="0"/>
        <v>69983.100000000006</v>
      </c>
      <c r="O20" s="1054">
        <f t="shared" si="0"/>
        <v>69983.100000000006</v>
      </c>
      <c r="P20" s="1054">
        <f t="shared" si="0"/>
        <v>69983.100000000006</v>
      </c>
      <c r="Q20" s="1054">
        <f t="shared" si="0"/>
        <v>69983.100000000006</v>
      </c>
      <c r="R20" s="1054">
        <f t="shared" si="0"/>
        <v>69983.100000000006</v>
      </c>
      <c r="S20" s="84"/>
      <c r="T20" s="84"/>
      <c r="U20" s="84"/>
      <c r="V20" s="84"/>
      <c r="W20" s="84"/>
      <c r="X20" s="84"/>
    </row>
    <row r="21" spans="1:24" s="83" customFormat="1" ht="14.5" hidden="1" thickBot="1" x14ac:dyDescent="0.35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1056">
        <f>J25+J30+J48+J55+J60</f>
        <v>16206.808000000001</v>
      </c>
      <c r="K21" s="1057"/>
      <c r="L21" s="1056">
        <f t="shared" ref="L21:R21" si="1">L25+L30+L48+L55+L60</f>
        <v>16980.082180000001</v>
      </c>
      <c r="M21" s="1056">
        <f t="shared" si="1"/>
        <v>17936.364582600003</v>
      </c>
      <c r="N21" s="1056">
        <f t="shared" si="1"/>
        <v>16206.808000000001</v>
      </c>
      <c r="O21" s="1056">
        <f t="shared" si="1"/>
        <v>16206.808000000001</v>
      </c>
      <c r="P21" s="1056">
        <f t="shared" si="1"/>
        <v>16206.808000000001</v>
      </c>
      <c r="Q21" s="1056">
        <f t="shared" si="1"/>
        <v>16206.808000000001</v>
      </c>
      <c r="R21" s="1056">
        <f t="shared" si="1"/>
        <v>16206.808000000001</v>
      </c>
      <c r="S21" s="84"/>
      <c r="T21" s="84"/>
      <c r="U21" s="84"/>
      <c r="V21" s="84"/>
      <c r="W21" s="84"/>
      <c r="X21" s="84"/>
    </row>
    <row r="22" spans="1:24" s="83" customFormat="1" ht="26.5" hidden="1" thickBot="1" x14ac:dyDescent="0.35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1058"/>
      <c r="K22" s="1058"/>
      <c r="L22" s="1058"/>
      <c r="M22" s="1058"/>
      <c r="N22" s="1058"/>
      <c r="O22" s="1058"/>
      <c r="P22" s="1058"/>
      <c r="Q22" s="1058"/>
      <c r="R22" s="1058"/>
      <c r="S22" s="84"/>
      <c r="T22" s="84"/>
      <c r="U22" s="84"/>
      <c r="V22" s="84"/>
      <c r="W22" s="84"/>
      <c r="X22" s="84"/>
    </row>
    <row r="23" spans="1:24" s="83" customFormat="1" ht="39.5" hidden="1" thickBot="1" x14ac:dyDescent="0.35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1058"/>
      <c r="K23" s="1058"/>
      <c r="L23" s="1058"/>
      <c r="M23" s="1058"/>
      <c r="N23" s="1058"/>
      <c r="O23" s="1058"/>
      <c r="P23" s="1058"/>
      <c r="Q23" s="1058"/>
      <c r="R23" s="1058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3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1058"/>
      <c r="K24" s="1058"/>
      <c r="L24" s="1058"/>
      <c r="M24" s="1058"/>
      <c r="N24" s="1058"/>
      <c r="O24" s="1058"/>
      <c r="P24" s="1058"/>
      <c r="Q24" s="1058"/>
      <c r="R24" s="1058"/>
      <c r="S24" s="84"/>
      <c r="T24" s="84"/>
      <c r="U24" s="84"/>
      <c r="V24" s="84"/>
      <c r="W24" s="84"/>
      <c r="X24" s="84"/>
    </row>
    <row r="25" spans="1:24" s="83" customFormat="1" ht="39.5" hidden="1" thickBot="1" x14ac:dyDescent="0.35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1059">
        <f>J26</f>
        <v>2155.7860000000001</v>
      </c>
      <c r="K25" s="1058"/>
      <c r="L25" s="1059">
        <f t="shared" ref="L25:R26" si="2">L26</f>
        <v>2285.1331600000003</v>
      </c>
      <c r="M25" s="1059">
        <f t="shared" si="2"/>
        <v>2445.0924812000003</v>
      </c>
      <c r="N25" s="1059">
        <f t="shared" si="2"/>
        <v>2155.7860000000001</v>
      </c>
      <c r="O25" s="1059">
        <f t="shared" si="2"/>
        <v>2155.7860000000001</v>
      </c>
      <c r="P25" s="1059">
        <f t="shared" si="2"/>
        <v>2155.7860000000001</v>
      </c>
      <c r="Q25" s="1059">
        <f t="shared" si="2"/>
        <v>2155.7860000000001</v>
      </c>
      <c r="R25" s="1059">
        <f t="shared" si="2"/>
        <v>2155.7860000000001</v>
      </c>
      <c r="S25" s="84"/>
      <c r="T25" s="84"/>
      <c r="U25" s="84"/>
      <c r="V25" s="84"/>
      <c r="W25" s="84"/>
      <c r="X25" s="84"/>
    </row>
    <row r="26" spans="1:24" s="83" customFormat="1" ht="39.5" hidden="1" thickBot="1" x14ac:dyDescent="0.35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1059">
        <f>J27</f>
        <v>2155.7860000000001</v>
      </c>
      <c r="K26" s="1059"/>
      <c r="L26" s="1059">
        <f t="shared" si="2"/>
        <v>2285.1331600000003</v>
      </c>
      <c r="M26" s="1059">
        <f t="shared" si="2"/>
        <v>2445.0924812000003</v>
      </c>
      <c r="N26" s="1059">
        <f t="shared" si="2"/>
        <v>2155.7860000000001</v>
      </c>
      <c r="O26" s="1059">
        <f t="shared" si="2"/>
        <v>2155.7860000000001</v>
      </c>
      <c r="P26" s="1059">
        <f t="shared" si="2"/>
        <v>2155.7860000000001</v>
      </c>
      <c r="Q26" s="1059">
        <f t="shared" si="2"/>
        <v>2155.7860000000001</v>
      </c>
      <c r="R26" s="1059">
        <f t="shared" si="2"/>
        <v>2155.7860000000001</v>
      </c>
      <c r="S26" s="84"/>
      <c r="T26" s="84"/>
      <c r="U26" s="84"/>
      <c r="V26" s="84"/>
      <c r="W26" s="84"/>
      <c r="X26" s="84"/>
    </row>
    <row r="27" spans="1:24" s="83" customFormat="1" ht="22.15" hidden="1" customHeight="1" x14ac:dyDescent="0.3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1059">
        <f>J28+J29</f>
        <v>2155.7860000000001</v>
      </c>
      <c r="K27" s="1058"/>
      <c r="L27" s="1059">
        <f t="shared" ref="L27:R27" si="3">L28+L29</f>
        <v>2285.1331600000003</v>
      </c>
      <c r="M27" s="1059">
        <f t="shared" si="3"/>
        <v>2445.0924812000003</v>
      </c>
      <c r="N27" s="1059">
        <f t="shared" si="3"/>
        <v>2155.7860000000001</v>
      </c>
      <c r="O27" s="1059">
        <f t="shared" si="3"/>
        <v>2155.7860000000001</v>
      </c>
      <c r="P27" s="1059">
        <f t="shared" si="3"/>
        <v>2155.7860000000001</v>
      </c>
      <c r="Q27" s="1059">
        <f t="shared" si="3"/>
        <v>2155.7860000000001</v>
      </c>
      <c r="R27" s="1059">
        <f t="shared" si="3"/>
        <v>2155.7860000000001</v>
      </c>
      <c r="S27" s="84"/>
      <c r="T27" s="84"/>
      <c r="U27" s="84"/>
      <c r="V27" s="84"/>
      <c r="W27" s="84"/>
      <c r="X27" s="84"/>
    </row>
    <row r="28" spans="1:24" s="83" customFormat="1" ht="16.149999999999999" hidden="1" customHeight="1" x14ac:dyDescent="0.3">
      <c r="B28" s="195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1060">
        <v>1300.211</v>
      </c>
      <c r="K28" s="1059"/>
      <c r="L28" s="1061">
        <f>J28*106%</f>
        <v>1378.2236600000001</v>
      </c>
      <c r="M28" s="1061">
        <f>L28*107%</f>
        <v>1474.6993162000001</v>
      </c>
      <c r="N28" s="1060">
        <v>1300.211</v>
      </c>
      <c r="O28" s="1060">
        <v>1300.211</v>
      </c>
      <c r="P28" s="1060">
        <v>1300.211</v>
      </c>
      <c r="Q28" s="1060">
        <v>1300.211</v>
      </c>
      <c r="R28" s="1060">
        <v>1300.211</v>
      </c>
      <c r="S28" s="84"/>
      <c r="T28" s="84"/>
      <c r="U28" s="84"/>
      <c r="V28" s="84"/>
      <c r="W28" s="84"/>
      <c r="X28" s="84"/>
    </row>
    <row r="29" spans="1:24" s="83" customFormat="1" ht="18.649999999999999" hidden="1" customHeight="1" x14ac:dyDescent="0.3">
      <c r="B29" s="195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1062">
        <v>855.57500000000005</v>
      </c>
      <c r="K29" s="1058"/>
      <c r="L29" s="1063">
        <f>J29*106%</f>
        <v>906.90950000000009</v>
      </c>
      <c r="M29" s="1063">
        <f>L29*107%</f>
        <v>970.39316500000018</v>
      </c>
      <c r="N29" s="1062">
        <v>855.57500000000005</v>
      </c>
      <c r="O29" s="1062">
        <v>855.57500000000005</v>
      </c>
      <c r="P29" s="1062">
        <v>855.57500000000005</v>
      </c>
      <c r="Q29" s="1062">
        <v>855.57500000000005</v>
      </c>
      <c r="R29" s="1062">
        <v>855.57500000000005</v>
      </c>
      <c r="S29" s="84"/>
      <c r="T29" s="84"/>
      <c r="U29" s="84"/>
      <c r="V29" s="84"/>
      <c r="W29" s="84"/>
      <c r="X29" s="84"/>
    </row>
    <row r="30" spans="1:24" ht="39.5" hidden="1" thickBot="1" x14ac:dyDescent="0.3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1064">
        <f>J31</f>
        <v>11843.717000000001</v>
      </c>
      <c r="K30" s="1065"/>
      <c r="L30" s="1064">
        <f t="shared" ref="L30:R30" si="4">L31</f>
        <v>12487.644020000002</v>
      </c>
      <c r="M30" s="1064">
        <f t="shared" si="4"/>
        <v>13283.967101400003</v>
      </c>
      <c r="N30" s="1064">
        <f t="shared" si="4"/>
        <v>11843.717000000001</v>
      </c>
      <c r="O30" s="1064">
        <f t="shared" si="4"/>
        <v>11843.717000000001</v>
      </c>
      <c r="P30" s="1064">
        <f t="shared" si="4"/>
        <v>11843.717000000001</v>
      </c>
      <c r="Q30" s="1064">
        <f t="shared" si="4"/>
        <v>11843.717000000001</v>
      </c>
      <c r="R30" s="1064">
        <f t="shared" si="4"/>
        <v>11843.717000000001</v>
      </c>
    </row>
    <row r="31" spans="1:24" ht="42.75" hidden="1" customHeight="1" x14ac:dyDescent="0.25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1064">
        <f>J32+J35+J37+J39+J42+J45</f>
        <v>11843.717000000001</v>
      </c>
      <c r="K31" s="1065"/>
      <c r="L31" s="1064">
        <f t="shared" ref="L31:R31" si="5">L32+L35+L37+L39+L42+L45</f>
        <v>12487.644020000002</v>
      </c>
      <c r="M31" s="1064">
        <f t="shared" si="5"/>
        <v>13283.967101400003</v>
      </c>
      <c r="N31" s="1064">
        <f t="shared" si="5"/>
        <v>11843.717000000001</v>
      </c>
      <c r="O31" s="1064">
        <f t="shared" si="5"/>
        <v>11843.717000000001</v>
      </c>
      <c r="P31" s="1064">
        <f t="shared" si="5"/>
        <v>11843.717000000001</v>
      </c>
      <c r="Q31" s="1064">
        <f t="shared" si="5"/>
        <v>11843.717000000001</v>
      </c>
      <c r="R31" s="1064">
        <f t="shared" si="5"/>
        <v>11843.717000000001</v>
      </c>
    </row>
    <row r="32" spans="1:24" ht="21" hidden="1" customHeight="1" x14ac:dyDescent="0.25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1066">
        <f>J33+J34</f>
        <v>9577.5059999999994</v>
      </c>
      <c r="K32" s="1063"/>
      <c r="L32" s="1066">
        <f t="shared" ref="L32:R32" si="6">L33+L34</f>
        <v>10152.156360000001</v>
      </c>
      <c r="M32" s="1066">
        <f t="shared" si="6"/>
        <v>10862.807305200002</v>
      </c>
      <c r="N32" s="1066">
        <f t="shared" si="6"/>
        <v>9577.5059999999994</v>
      </c>
      <c r="O32" s="1066">
        <f t="shared" si="6"/>
        <v>9577.5059999999994</v>
      </c>
      <c r="P32" s="1066">
        <f t="shared" si="6"/>
        <v>9577.5059999999994</v>
      </c>
      <c r="Q32" s="1066">
        <f t="shared" si="6"/>
        <v>9577.5059999999994</v>
      </c>
      <c r="R32" s="1066">
        <f t="shared" si="6"/>
        <v>9577.5059999999994</v>
      </c>
    </row>
    <row r="33" spans="2:18" ht="21" hidden="1" customHeight="1" x14ac:dyDescent="0.3">
      <c r="B33" s="195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1061">
        <v>7361.933</v>
      </c>
      <c r="K33" s="1061"/>
      <c r="L33" s="1061">
        <f>J33*106%</f>
        <v>7803.6489799999999</v>
      </c>
      <c r="M33" s="1061">
        <f>L33*107%</f>
        <v>8349.9044086000013</v>
      </c>
      <c r="N33" s="1061">
        <v>7361.933</v>
      </c>
      <c r="O33" s="1061">
        <v>7361.933</v>
      </c>
      <c r="P33" s="1061">
        <v>7361.933</v>
      </c>
      <c r="Q33" s="1061">
        <v>7361.933</v>
      </c>
      <c r="R33" s="1061">
        <v>7361.933</v>
      </c>
    </row>
    <row r="34" spans="2:18" ht="21" hidden="1" customHeight="1" x14ac:dyDescent="0.3">
      <c r="B34" s="195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1061">
        <v>2215.5729999999999</v>
      </c>
      <c r="K34" s="1061"/>
      <c r="L34" s="1061">
        <f>J34*106%</f>
        <v>2348.50738</v>
      </c>
      <c r="M34" s="1061">
        <f>L34*107%</f>
        <v>2512.9028966000001</v>
      </c>
      <c r="N34" s="1061">
        <v>2215.5729999999999</v>
      </c>
      <c r="O34" s="1061">
        <v>2215.5729999999999</v>
      </c>
      <c r="P34" s="1061">
        <v>2215.5729999999999</v>
      </c>
      <c r="Q34" s="1061">
        <v>2215.5729999999999</v>
      </c>
      <c r="R34" s="1061">
        <v>2215.5729999999999</v>
      </c>
    </row>
    <row r="35" spans="2:18" ht="26.5" hidden="1" thickBot="1" x14ac:dyDescent="0.3"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1060">
        <f>J36</f>
        <v>1154.6110000000001</v>
      </c>
      <c r="K35" s="1060"/>
      <c r="L35" s="1060">
        <f t="shared" ref="L35:R35" si="7">L36</f>
        <v>1223.8876600000001</v>
      </c>
      <c r="M35" s="1060">
        <f t="shared" si="7"/>
        <v>1309.5597962000002</v>
      </c>
      <c r="N35" s="1060">
        <f t="shared" si="7"/>
        <v>1154.6110000000001</v>
      </c>
      <c r="O35" s="1060">
        <f t="shared" si="7"/>
        <v>1154.6110000000001</v>
      </c>
      <c r="P35" s="1060">
        <f t="shared" si="7"/>
        <v>1154.6110000000001</v>
      </c>
      <c r="Q35" s="1060">
        <f t="shared" si="7"/>
        <v>1154.6110000000001</v>
      </c>
      <c r="R35" s="1060">
        <f t="shared" si="7"/>
        <v>1154.6110000000001</v>
      </c>
    </row>
    <row r="36" spans="2:18" ht="13.5" hidden="1" thickBot="1" x14ac:dyDescent="0.35">
      <c r="B36" s="195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1060">
        <v>1154.6110000000001</v>
      </c>
      <c r="K36" s="1060"/>
      <c r="L36" s="1061">
        <f>J36*106%</f>
        <v>1223.8876600000001</v>
      </c>
      <c r="M36" s="1061">
        <f>L36*107%</f>
        <v>1309.5597962000002</v>
      </c>
      <c r="N36" s="1060">
        <v>1154.6110000000001</v>
      </c>
      <c r="O36" s="1060">
        <v>1154.6110000000001</v>
      </c>
      <c r="P36" s="1060">
        <v>1154.6110000000001</v>
      </c>
      <c r="Q36" s="1060">
        <v>1154.6110000000001</v>
      </c>
      <c r="R36" s="1060">
        <v>1154.6110000000001</v>
      </c>
    </row>
    <row r="37" spans="2:18" ht="26.5" hidden="1" thickBot="1" x14ac:dyDescent="0.3"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1065">
        <f>J38</f>
        <v>171.8</v>
      </c>
      <c r="K37" s="1065"/>
      <c r="L37" s="1065">
        <f t="shared" ref="L37:R37" si="8">L38</f>
        <v>171.8</v>
      </c>
      <c r="M37" s="1065">
        <f t="shared" si="8"/>
        <v>171.8</v>
      </c>
      <c r="N37" s="1065">
        <f t="shared" si="8"/>
        <v>171.8</v>
      </c>
      <c r="O37" s="1065">
        <f t="shared" si="8"/>
        <v>171.8</v>
      </c>
      <c r="P37" s="1065">
        <f t="shared" si="8"/>
        <v>171.8</v>
      </c>
      <c r="Q37" s="1065">
        <f t="shared" si="8"/>
        <v>171.8</v>
      </c>
      <c r="R37" s="1065">
        <f t="shared" si="8"/>
        <v>171.8</v>
      </c>
    </row>
    <row r="38" spans="2:18" ht="13.5" hidden="1" thickBot="1" x14ac:dyDescent="0.35">
      <c r="B38" s="195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1063">
        <v>171.8</v>
      </c>
      <c r="K38" s="1063"/>
      <c r="L38" s="1063">
        <v>171.8</v>
      </c>
      <c r="M38" s="1063">
        <v>171.8</v>
      </c>
      <c r="N38" s="1063">
        <v>171.8</v>
      </c>
      <c r="O38" s="1063">
        <v>171.8</v>
      </c>
      <c r="P38" s="1063">
        <v>171.8</v>
      </c>
      <c r="Q38" s="1063">
        <v>171.8</v>
      </c>
      <c r="R38" s="1063">
        <v>171.8</v>
      </c>
    </row>
    <row r="39" spans="2:18" ht="45.75" hidden="1" customHeight="1" x14ac:dyDescent="0.25"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1065">
        <f>J41</f>
        <v>263</v>
      </c>
      <c r="K39" s="1065"/>
      <c r="L39" s="1065">
        <f t="shared" ref="L39:R39" si="9">L41</f>
        <v>263</v>
      </c>
      <c r="M39" s="1065">
        <f t="shared" si="9"/>
        <v>263</v>
      </c>
      <c r="N39" s="1065">
        <f t="shared" si="9"/>
        <v>263</v>
      </c>
      <c r="O39" s="1065">
        <f t="shared" si="9"/>
        <v>263</v>
      </c>
      <c r="P39" s="1065">
        <f t="shared" si="9"/>
        <v>263</v>
      </c>
      <c r="Q39" s="1065">
        <f t="shared" si="9"/>
        <v>263</v>
      </c>
      <c r="R39" s="1065">
        <f t="shared" si="9"/>
        <v>263</v>
      </c>
    </row>
    <row r="40" spans="2:18" ht="46.5" hidden="1" customHeight="1" x14ac:dyDescent="0.25"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1062"/>
      <c r="K40" s="1062"/>
      <c r="L40" s="1062"/>
      <c r="M40" s="1062"/>
      <c r="N40" s="1062"/>
      <c r="O40" s="1062"/>
      <c r="P40" s="1062"/>
      <c r="Q40" s="1062"/>
      <c r="R40" s="1062"/>
    </row>
    <row r="41" spans="2:18" ht="15" hidden="1" customHeight="1" x14ac:dyDescent="0.3">
      <c r="B41" s="195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1062">
        <v>263</v>
      </c>
      <c r="K41" s="1062"/>
      <c r="L41" s="1062">
        <v>263</v>
      </c>
      <c r="M41" s="1062">
        <v>263</v>
      </c>
      <c r="N41" s="1062">
        <v>263</v>
      </c>
      <c r="O41" s="1062">
        <v>263</v>
      </c>
      <c r="P41" s="1062">
        <v>263</v>
      </c>
      <c r="Q41" s="1062">
        <v>263</v>
      </c>
      <c r="R41" s="1062">
        <v>263</v>
      </c>
    </row>
    <row r="42" spans="2:18" ht="67.5" hidden="1" customHeight="1" x14ac:dyDescent="0.25"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1058">
        <f>J43</f>
        <v>130.1</v>
      </c>
      <c r="K42" s="1058"/>
      <c r="L42" s="1058">
        <f t="shared" ref="L42:R42" si="10">L43</f>
        <v>130.1</v>
      </c>
      <c r="M42" s="1058">
        <f t="shared" si="10"/>
        <v>130.1</v>
      </c>
      <c r="N42" s="1058">
        <f t="shared" si="10"/>
        <v>130.1</v>
      </c>
      <c r="O42" s="1058">
        <f t="shared" si="10"/>
        <v>130.1</v>
      </c>
      <c r="P42" s="1058">
        <f t="shared" si="10"/>
        <v>130.1</v>
      </c>
      <c r="Q42" s="1058">
        <f t="shared" si="10"/>
        <v>130.1</v>
      </c>
      <c r="R42" s="1058">
        <f t="shared" si="10"/>
        <v>130.1</v>
      </c>
    </row>
    <row r="43" spans="2:18" ht="15" hidden="1" customHeight="1" x14ac:dyDescent="0.3">
      <c r="B43" s="195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1062">
        <v>130.1</v>
      </c>
      <c r="K43" s="1062"/>
      <c r="L43" s="1062">
        <v>130.1</v>
      </c>
      <c r="M43" s="1062">
        <v>130.1</v>
      </c>
      <c r="N43" s="1062">
        <v>130.1</v>
      </c>
      <c r="O43" s="1062">
        <v>130.1</v>
      </c>
      <c r="P43" s="1062">
        <v>130.1</v>
      </c>
      <c r="Q43" s="1062">
        <v>130.1</v>
      </c>
      <c r="R43" s="1062">
        <v>130.1</v>
      </c>
    </row>
    <row r="44" spans="2:18" ht="60.65" hidden="1" customHeight="1" x14ac:dyDescent="0.25"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1062"/>
      <c r="K44" s="1062"/>
      <c r="L44" s="1062"/>
      <c r="M44" s="1062"/>
      <c r="N44" s="1062"/>
      <c r="O44" s="1062"/>
      <c r="P44" s="1062"/>
      <c r="Q44" s="1062"/>
      <c r="R44" s="1062"/>
    </row>
    <row r="45" spans="2:18" ht="52.5" hidden="1" thickBot="1" x14ac:dyDescent="0.3"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1058">
        <f>J46+J47</f>
        <v>546.70000000000005</v>
      </c>
      <c r="K45" s="1058"/>
      <c r="L45" s="1058">
        <f t="shared" ref="L45:R45" si="11">L46+L47</f>
        <v>546.70000000000005</v>
      </c>
      <c r="M45" s="1058">
        <f t="shared" si="11"/>
        <v>546.70000000000005</v>
      </c>
      <c r="N45" s="1058">
        <f t="shared" si="11"/>
        <v>546.70000000000005</v>
      </c>
      <c r="O45" s="1058">
        <f t="shared" si="11"/>
        <v>546.70000000000005</v>
      </c>
      <c r="P45" s="1058">
        <f t="shared" si="11"/>
        <v>546.70000000000005</v>
      </c>
      <c r="Q45" s="1058">
        <f t="shared" si="11"/>
        <v>546.70000000000005</v>
      </c>
      <c r="R45" s="1058">
        <f t="shared" si="11"/>
        <v>546.70000000000005</v>
      </c>
    </row>
    <row r="46" spans="2:18" ht="13.5" hidden="1" thickBot="1" x14ac:dyDescent="0.35">
      <c r="B46" s="16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1062">
        <f>546.7-45.2</f>
        <v>501.50000000000006</v>
      </c>
      <c r="K46" s="1062"/>
      <c r="L46" s="1062">
        <f t="shared" ref="L46:R46" si="12">546.7-45.2</f>
        <v>501.50000000000006</v>
      </c>
      <c r="M46" s="1062">
        <f t="shared" si="12"/>
        <v>501.50000000000006</v>
      </c>
      <c r="N46" s="1062">
        <f t="shared" si="12"/>
        <v>501.50000000000006</v>
      </c>
      <c r="O46" s="1062">
        <f t="shared" si="12"/>
        <v>501.50000000000006</v>
      </c>
      <c r="P46" s="1062">
        <f t="shared" si="12"/>
        <v>501.50000000000006</v>
      </c>
      <c r="Q46" s="1062">
        <f t="shared" si="12"/>
        <v>501.50000000000006</v>
      </c>
      <c r="R46" s="1062">
        <f t="shared" si="12"/>
        <v>501.50000000000006</v>
      </c>
    </row>
    <row r="47" spans="2:18" ht="13.5" hidden="1" thickBot="1" x14ac:dyDescent="0.35">
      <c r="B47" s="195" t="s">
        <v>16</v>
      </c>
      <c r="C47" s="88"/>
      <c r="D47" s="88"/>
      <c r="E47" s="88"/>
      <c r="F47" s="9"/>
      <c r="G47" s="9" t="s">
        <v>1</v>
      </c>
      <c r="H47" s="9"/>
      <c r="I47" s="88"/>
      <c r="J47" s="1062">
        <v>45.2</v>
      </c>
      <c r="K47" s="1062"/>
      <c r="L47" s="1062">
        <v>45.2</v>
      </c>
      <c r="M47" s="1062">
        <v>45.2</v>
      </c>
      <c r="N47" s="1062">
        <v>45.2</v>
      </c>
      <c r="O47" s="1062">
        <v>45.2</v>
      </c>
      <c r="P47" s="1062">
        <v>45.2</v>
      </c>
      <c r="Q47" s="1062">
        <v>45.2</v>
      </c>
      <c r="R47" s="1062">
        <v>45.2</v>
      </c>
    </row>
    <row r="48" spans="2:18" ht="42" hidden="1" customHeight="1" x14ac:dyDescent="0.25"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1065">
        <f>J49</f>
        <v>99.305000000000007</v>
      </c>
      <c r="K48" s="1065"/>
      <c r="L48" s="1065">
        <f t="shared" ref="L48:R50" si="13">L49</f>
        <v>99.305000000000007</v>
      </c>
      <c r="M48" s="1065">
        <f t="shared" si="13"/>
        <v>99.305000000000007</v>
      </c>
      <c r="N48" s="1065">
        <f t="shared" si="13"/>
        <v>99.305000000000007</v>
      </c>
      <c r="O48" s="1065">
        <f t="shared" si="13"/>
        <v>99.305000000000007</v>
      </c>
      <c r="P48" s="1065">
        <f t="shared" si="13"/>
        <v>99.305000000000007</v>
      </c>
      <c r="Q48" s="1065">
        <f t="shared" si="13"/>
        <v>99.305000000000007</v>
      </c>
      <c r="R48" s="1065">
        <f t="shared" si="13"/>
        <v>99.305000000000007</v>
      </c>
    </row>
    <row r="49" spans="1:256" ht="39.5" hidden="1" thickBot="1" x14ac:dyDescent="0.3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1065">
        <f>J50</f>
        <v>99.305000000000007</v>
      </c>
      <c r="K49" s="1065"/>
      <c r="L49" s="1065">
        <f t="shared" si="13"/>
        <v>99.305000000000007</v>
      </c>
      <c r="M49" s="1065">
        <f t="shared" si="13"/>
        <v>99.305000000000007</v>
      </c>
      <c r="N49" s="1065">
        <f t="shared" si="13"/>
        <v>99.305000000000007</v>
      </c>
      <c r="O49" s="1065">
        <f t="shared" si="13"/>
        <v>99.305000000000007</v>
      </c>
      <c r="P49" s="1065">
        <f t="shared" si="13"/>
        <v>99.305000000000007</v>
      </c>
      <c r="Q49" s="1065">
        <f t="shared" si="13"/>
        <v>99.305000000000007</v>
      </c>
      <c r="R49" s="1065">
        <f t="shared" si="13"/>
        <v>99.305000000000007</v>
      </c>
    </row>
    <row r="50" spans="1:256" ht="45.75" hidden="1" customHeight="1" x14ac:dyDescent="0.25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1062">
        <f>J51</f>
        <v>99.305000000000007</v>
      </c>
      <c r="K50" s="1062"/>
      <c r="L50" s="1062">
        <f t="shared" si="13"/>
        <v>99.305000000000007</v>
      </c>
      <c r="M50" s="1062">
        <f t="shared" si="13"/>
        <v>99.305000000000007</v>
      </c>
      <c r="N50" s="1062">
        <f t="shared" si="13"/>
        <v>99.305000000000007</v>
      </c>
      <c r="O50" s="1062">
        <f t="shared" si="13"/>
        <v>99.305000000000007</v>
      </c>
      <c r="P50" s="1062">
        <f t="shared" si="13"/>
        <v>99.305000000000007</v>
      </c>
      <c r="Q50" s="1062">
        <f t="shared" si="13"/>
        <v>99.305000000000007</v>
      </c>
      <c r="R50" s="1062">
        <f t="shared" si="13"/>
        <v>99.305000000000007</v>
      </c>
    </row>
    <row r="51" spans="1:256" ht="13.9" hidden="1" customHeight="1" x14ac:dyDescent="0.3">
      <c r="B51" s="195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1062">
        <v>99.305000000000007</v>
      </c>
      <c r="K51" s="1062"/>
      <c r="L51" s="1062">
        <v>99.305000000000007</v>
      </c>
      <c r="M51" s="1062">
        <v>99.305000000000007</v>
      </c>
      <c r="N51" s="1062">
        <v>99.305000000000007</v>
      </c>
      <c r="O51" s="1062">
        <v>99.305000000000007</v>
      </c>
      <c r="P51" s="1062">
        <v>99.305000000000007</v>
      </c>
      <c r="Q51" s="1062">
        <v>99.305000000000007</v>
      </c>
      <c r="R51" s="1062">
        <v>99.305000000000007</v>
      </c>
    </row>
    <row r="52" spans="1:256" ht="14.5" hidden="1" thickBot="1" x14ac:dyDescent="0.3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1062"/>
      <c r="K52" s="1062"/>
      <c r="L52" s="1062"/>
      <c r="M52" s="1062"/>
      <c r="N52" s="1062"/>
      <c r="O52" s="1062"/>
      <c r="P52" s="1062"/>
      <c r="Q52" s="1062"/>
      <c r="R52" s="1062"/>
    </row>
    <row r="53" spans="1:256" ht="39.5" hidden="1" thickBot="1" x14ac:dyDescent="0.3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1062"/>
      <c r="K53" s="1062"/>
      <c r="L53" s="1062"/>
      <c r="M53" s="1062"/>
      <c r="N53" s="1062"/>
      <c r="O53" s="1062"/>
      <c r="P53" s="1062"/>
      <c r="Q53" s="1062"/>
      <c r="R53" s="1062"/>
    </row>
    <row r="54" spans="1:256" ht="26.5" hidden="1" thickBot="1" x14ac:dyDescent="0.3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1062"/>
      <c r="K54" s="1062"/>
      <c r="L54" s="1062"/>
      <c r="M54" s="1062"/>
      <c r="N54" s="1062"/>
      <c r="O54" s="1062"/>
      <c r="P54" s="1062"/>
      <c r="Q54" s="1062"/>
      <c r="R54" s="1062"/>
    </row>
    <row r="55" spans="1:256" ht="13.5" hidden="1" thickBot="1" x14ac:dyDescent="0.3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1064">
        <f>J56</f>
        <v>2000</v>
      </c>
      <c r="K55" s="1064"/>
      <c r="L55" s="1064">
        <f t="shared" ref="L55:R57" si="14">L56</f>
        <v>2000</v>
      </c>
      <c r="M55" s="1064">
        <f t="shared" si="14"/>
        <v>2000</v>
      </c>
      <c r="N55" s="1064">
        <f t="shared" si="14"/>
        <v>2000</v>
      </c>
      <c r="O55" s="1064">
        <f t="shared" si="14"/>
        <v>2000</v>
      </c>
      <c r="P55" s="1064">
        <f t="shared" si="14"/>
        <v>2000</v>
      </c>
      <c r="Q55" s="1064">
        <f t="shared" si="14"/>
        <v>2000</v>
      </c>
      <c r="R55" s="1064">
        <f t="shared" si="14"/>
        <v>2000</v>
      </c>
    </row>
    <row r="56" spans="1:256" s="83" customFormat="1" ht="39.5" hidden="1" thickBot="1" x14ac:dyDescent="0.35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1061">
        <f>J57</f>
        <v>2000</v>
      </c>
      <c r="K56" s="1061"/>
      <c r="L56" s="1061">
        <f t="shared" si="14"/>
        <v>2000</v>
      </c>
      <c r="M56" s="1061">
        <f t="shared" si="14"/>
        <v>2000</v>
      </c>
      <c r="N56" s="1061">
        <f t="shared" si="14"/>
        <v>2000</v>
      </c>
      <c r="O56" s="1061">
        <f t="shared" si="14"/>
        <v>2000</v>
      </c>
      <c r="P56" s="1061">
        <f t="shared" si="14"/>
        <v>2000</v>
      </c>
      <c r="Q56" s="1061">
        <f t="shared" si="14"/>
        <v>2000</v>
      </c>
      <c r="R56" s="1061">
        <f t="shared" si="14"/>
        <v>2000</v>
      </c>
      <c r="S56" s="84"/>
      <c r="T56" s="84"/>
      <c r="U56" s="84"/>
      <c r="V56" s="84"/>
      <c r="W56" s="84"/>
      <c r="X56" s="84"/>
    </row>
    <row r="57" spans="1:256" ht="26.5" hidden="1" thickBot="1" x14ac:dyDescent="0.3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1061">
        <f>J58</f>
        <v>2000</v>
      </c>
      <c r="K57" s="1061"/>
      <c r="L57" s="1061">
        <f t="shared" si="14"/>
        <v>2000</v>
      </c>
      <c r="M57" s="1061">
        <f t="shared" si="14"/>
        <v>2000</v>
      </c>
      <c r="N57" s="1061">
        <f t="shared" si="14"/>
        <v>2000</v>
      </c>
      <c r="O57" s="1061">
        <f t="shared" si="14"/>
        <v>2000</v>
      </c>
      <c r="P57" s="1061">
        <f t="shared" si="14"/>
        <v>2000</v>
      </c>
      <c r="Q57" s="1061">
        <f t="shared" si="14"/>
        <v>2000</v>
      </c>
      <c r="R57" s="1061">
        <f t="shared" si="14"/>
        <v>2000</v>
      </c>
    </row>
    <row r="58" spans="1:256" ht="13.5" hidden="1" thickBot="1" x14ac:dyDescent="0.35">
      <c r="B58" s="195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1061">
        <v>2000</v>
      </c>
      <c r="K58" s="1061"/>
      <c r="L58" s="1061">
        <v>2000</v>
      </c>
      <c r="M58" s="1061">
        <v>2000</v>
      </c>
      <c r="N58" s="1061">
        <v>2000</v>
      </c>
      <c r="O58" s="1061">
        <v>2000</v>
      </c>
      <c r="P58" s="1061">
        <v>2000</v>
      </c>
      <c r="Q58" s="1061">
        <v>2000</v>
      </c>
      <c r="R58" s="1061">
        <v>2000</v>
      </c>
    </row>
    <row r="59" spans="1:256" s="2" customFormat="1" ht="13.5" hidden="1" thickBot="1" x14ac:dyDescent="0.3">
      <c r="A59" s="1"/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1058">
        <f>J60</f>
        <v>108</v>
      </c>
      <c r="K59" s="1058"/>
      <c r="L59" s="1058">
        <f t="shared" ref="L59:R60" si="15">L60</f>
        <v>108</v>
      </c>
      <c r="M59" s="1058">
        <f t="shared" si="15"/>
        <v>108</v>
      </c>
      <c r="N59" s="1058">
        <f t="shared" si="15"/>
        <v>108</v>
      </c>
      <c r="O59" s="1058">
        <f t="shared" si="15"/>
        <v>108</v>
      </c>
      <c r="P59" s="1058">
        <f t="shared" si="15"/>
        <v>108</v>
      </c>
      <c r="Q59" s="1058">
        <f t="shared" si="15"/>
        <v>108</v>
      </c>
      <c r="R59" s="1058">
        <f t="shared" si="15"/>
        <v>108</v>
      </c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spans="1:256" s="2" customFormat="1" ht="26.5" hidden="1" thickBot="1" x14ac:dyDescent="0.3">
      <c r="A60" s="1"/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1065">
        <f>J61</f>
        <v>108</v>
      </c>
      <c r="K60" s="1065"/>
      <c r="L60" s="1065">
        <f t="shared" si="15"/>
        <v>108</v>
      </c>
      <c r="M60" s="1065">
        <f t="shared" si="15"/>
        <v>108</v>
      </c>
      <c r="N60" s="1065">
        <f t="shared" si="15"/>
        <v>108</v>
      </c>
      <c r="O60" s="1065">
        <f t="shared" si="15"/>
        <v>108</v>
      </c>
      <c r="P60" s="1065">
        <f t="shared" si="15"/>
        <v>108</v>
      </c>
      <c r="Q60" s="1065">
        <f t="shared" si="15"/>
        <v>108</v>
      </c>
      <c r="R60" s="1065">
        <f t="shared" si="15"/>
        <v>108</v>
      </c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spans="1:256" s="2" customFormat="1" ht="13.5" hidden="1" thickBot="1" x14ac:dyDescent="0.3">
      <c r="A61" s="1"/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1063">
        <f>J62+J63</f>
        <v>108</v>
      </c>
      <c r="K61" s="1063"/>
      <c r="L61" s="1063">
        <f t="shared" ref="L61:R61" si="16">L62+L63</f>
        <v>108</v>
      </c>
      <c r="M61" s="1063">
        <f t="shared" si="16"/>
        <v>108</v>
      </c>
      <c r="N61" s="1063">
        <f t="shared" si="16"/>
        <v>108</v>
      </c>
      <c r="O61" s="1063">
        <f t="shared" si="16"/>
        <v>108</v>
      </c>
      <c r="P61" s="1063">
        <f t="shared" si="16"/>
        <v>108</v>
      </c>
      <c r="Q61" s="1063">
        <f t="shared" si="16"/>
        <v>108</v>
      </c>
      <c r="R61" s="1063">
        <f t="shared" si="16"/>
        <v>108</v>
      </c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spans="1:256" s="2" customFormat="1" ht="13.5" hidden="1" thickBot="1" x14ac:dyDescent="0.35">
      <c r="A62" s="1"/>
      <c r="B62" s="195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1063">
        <v>105</v>
      </c>
      <c r="K62" s="1063"/>
      <c r="L62" s="1063">
        <v>105</v>
      </c>
      <c r="M62" s="1063">
        <v>105</v>
      </c>
      <c r="N62" s="1063">
        <v>105</v>
      </c>
      <c r="O62" s="1063">
        <v>105</v>
      </c>
      <c r="P62" s="1063">
        <v>105</v>
      </c>
      <c r="Q62" s="1063">
        <v>105</v>
      </c>
      <c r="R62" s="1063">
        <v>105</v>
      </c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spans="1:256" s="2" customFormat="1" ht="13.5" hidden="1" thickBot="1" x14ac:dyDescent="0.35">
      <c r="A63" s="1"/>
      <c r="B63" s="195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1063">
        <v>3</v>
      </c>
      <c r="K63" s="1063"/>
      <c r="L63" s="1063">
        <v>3</v>
      </c>
      <c r="M63" s="1063">
        <v>3</v>
      </c>
      <c r="N63" s="1063">
        <v>3</v>
      </c>
      <c r="O63" s="1063">
        <v>3</v>
      </c>
      <c r="P63" s="1063">
        <v>3</v>
      </c>
      <c r="Q63" s="1063">
        <v>3</v>
      </c>
      <c r="R63" s="1063">
        <v>3</v>
      </c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spans="1:256" s="2" customFormat="1" ht="14.5" hidden="1" thickBot="1" x14ac:dyDescent="0.3">
      <c r="A64" s="1"/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1067">
        <f>J65</f>
        <v>605.88300000000004</v>
      </c>
      <c r="K64" s="1067"/>
      <c r="L64" s="1067">
        <f t="shared" ref="L64:R65" si="17">L65</f>
        <v>605.88300000000004</v>
      </c>
      <c r="M64" s="1067">
        <f t="shared" si="17"/>
        <v>605.88300000000004</v>
      </c>
      <c r="N64" s="1067">
        <f t="shared" si="17"/>
        <v>605.88300000000004</v>
      </c>
      <c r="O64" s="1067">
        <f t="shared" si="17"/>
        <v>605.88300000000004</v>
      </c>
      <c r="P64" s="1067">
        <f t="shared" si="17"/>
        <v>605.88300000000004</v>
      </c>
      <c r="Q64" s="1067">
        <f t="shared" si="17"/>
        <v>605.88300000000004</v>
      </c>
      <c r="R64" s="1067">
        <f t="shared" si="17"/>
        <v>605.88300000000004</v>
      </c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spans="1:256" s="2" customFormat="1" ht="13.5" hidden="1" thickBot="1" x14ac:dyDescent="0.3">
      <c r="A65" s="1"/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1063">
        <f>J66</f>
        <v>605.88300000000004</v>
      </c>
      <c r="K65" s="1063"/>
      <c r="L65" s="1063">
        <f t="shared" si="17"/>
        <v>605.88300000000004</v>
      </c>
      <c r="M65" s="1063">
        <f t="shared" si="17"/>
        <v>605.88300000000004</v>
      </c>
      <c r="N65" s="1063">
        <f t="shared" si="17"/>
        <v>605.88300000000004</v>
      </c>
      <c r="O65" s="1063">
        <f t="shared" si="17"/>
        <v>605.88300000000004</v>
      </c>
      <c r="P65" s="1063">
        <f t="shared" si="17"/>
        <v>605.88300000000004</v>
      </c>
      <c r="Q65" s="1063">
        <f t="shared" si="17"/>
        <v>605.88300000000004</v>
      </c>
      <c r="R65" s="1063">
        <f t="shared" si="17"/>
        <v>605.88300000000004</v>
      </c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 s="2" customFormat="1" ht="26.5" hidden="1" thickBot="1" x14ac:dyDescent="0.3">
      <c r="A66" s="1"/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1063">
        <f>J67+J68</f>
        <v>605.88300000000004</v>
      </c>
      <c r="K66" s="1063"/>
      <c r="L66" s="1063">
        <f t="shared" ref="L66:R66" si="18">L67+L68</f>
        <v>605.88300000000004</v>
      </c>
      <c r="M66" s="1063">
        <f t="shared" si="18"/>
        <v>605.88300000000004</v>
      </c>
      <c r="N66" s="1063">
        <f t="shared" si="18"/>
        <v>605.88300000000004</v>
      </c>
      <c r="O66" s="1063">
        <f t="shared" si="18"/>
        <v>605.88300000000004</v>
      </c>
      <c r="P66" s="1063">
        <f t="shared" si="18"/>
        <v>605.88300000000004</v>
      </c>
      <c r="Q66" s="1063">
        <f t="shared" si="18"/>
        <v>605.88300000000004</v>
      </c>
      <c r="R66" s="1063">
        <f t="shared" si="18"/>
        <v>605.88300000000004</v>
      </c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 s="2" customFormat="1" ht="13.5" hidden="1" thickBot="1" x14ac:dyDescent="0.35">
      <c r="A67" s="1"/>
      <c r="B67" s="16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1063">
        <v>555.32000000000005</v>
      </c>
      <c r="K67" s="1063"/>
      <c r="L67" s="1063">
        <v>555.32000000000005</v>
      </c>
      <c r="M67" s="1063">
        <v>555.32000000000005</v>
      </c>
      <c r="N67" s="1063">
        <v>555.32000000000005</v>
      </c>
      <c r="O67" s="1063">
        <v>555.32000000000005</v>
      </c>
      <c r="P67" s="1063">
        <v>555.32000000000005</v>
      </c>
      <c r="Q67" s="1063">
        <v>555.32000000000005</v>
      </c>
      <c r="R67" s="1063">
        <v>555.32000000000005</v>
      </c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 s="2" customFormat="1" ht="13.5" hidden="1" thickBot="1" x14ac:dyDescent="0.35">
      <c r="A68" s="1"/>
      <c r="B68" s="195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1063">
        <v>50.563000000000002</v>
      </c>
      <c r="K68" s="1063"/>
      <c r="L68" s="1063">
        <v>50.563000000000002</v>
      </c>
      <c r="M68" s="1063">
        <v>50.563000000000002</v>
      </c>
      <c r="N68" s="1063">
        <v>50.563000000000002</v>
      </c>
      <c r="O68" s="1063">
        <v>50.563000000000002</v>
      </c>
      <c r="P68" s="1063">
        <v>50.563000000000002</v>
      </c>
      <c r="Q68" s="1063">
        <v>50.563000000000002</v>
      </c>
      <c r="R68" s="1063">
        <v>50.563000000000002</v>
      </c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2" customFormat="1" ht="32.25" hidden="1" customHeight="1" x14ac:dyDescent="0.25">
      <c r="A69" s="1"/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1068">
        <f>J70</f>
        <v>1397</v>
      </c>
      <c r="K69" s="1068"/>
      <c r="L69" s="1068">
        <f t="shared" ref="L69:R70" si="19">L70</f>
        <v>1182</v>
      </c>
      <c r="M69" s="1068">
        <f t="shared" si="19"/>
        <v>1022</v>
      </c>
      <c r="N69" s="1068">
        <f t="shared" si="19"/>
        <v>1397</v>
      </c>
      <c r="O69" s="1068">
        <f t="shared" si="19"/>
        <v>1397</v>
      </c>
      <c r="P69" s="1068">
        <f t="shared" si="19"/>
        <v>1397</v>
      </c>
      <c r="Q69" s="1068">
        <f t="shared" si="19"/>
        <v>1397</v>
      </c>
      <c r="R69" s="1068">
        <f t="shared" si="19"/>
        <v>1397</v>
      </c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 s="2" customFormat="1" ht="26.5" hidden="1" thickBot="1" x14ac:dyDescent="0.3">
      <c r="A70" s="1"/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1061">
        <f>J71</f>
        <v>1397</v>
      </c>
      <c r="K70" s="1061"/>
      <c r="L70" s="1061">
        <f t="shared" si="19"/>
        <v>1182</v>
      </c>
      <c r="M70" s="1061">
        <f t="shared" si="19"/>
        <v>1022</v>
      </c>
      <c r="N70" s="1061">
        <f t="shared" si="19"/>
        <v>1397</v>
      </c>
      <c r="O70" s="1061">
        <f t="shared" si="19"/>
        <v>1397</v>
      </c>
      <c r="P70" s="1061">
        <f t="shared" si="19"/>
        <v>1397</v>
      </c>
      <c r="Q70" s="1061">
        <f t="shared" si="19"/>
        <v>1397</v>
      </c>
      <c r="R70" s="1061">
        <f t="shared" si="19"/>
        <v>1397</v>
      </c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2" customFormat="1" ht="39.65" hidden="1" customHeight="1" x14ac:dyDescent="0.25">
      <c r="A71" s="1"/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 t="shared" ref="L71:R71" si="20">L72+L77</f>
        <v>1182</v>
      </c>
      <c r="M71" s="51">
        <f t="shared" si="20"/>
        <v>1022</v>
      </c>
      <c r="N71" s="51">
        <f t="shared" si="20"/>
        <v>1397</v>
      </c>
      <c r="O71" s="51">
        <f t="shared" si="20"/>
        <v>1397</v>
      </c>
      <c r="P71" s="51">
        <f t="shared" si="20"/>
        <v>1397</v>
      </c>
      <c r="Q71" s="51">
        <f t="shared" si="20"/>
        <v>1397</v>
      </c>
      <c r="R71" s="51">
        <f t="shared" si="20"/>
        <v>1397</v>
      </c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 s="2" customFormat="1" ht="91.5" hidden="1" thickBot="1" x14ac:dyDescent="0.3">
      <c r="A72" s="1"/>
      <c r="B72" s="157" t="s">
        <v>746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1063">
        <f>J73+J75</f>
        <v>711</v>
      </c>
      <c r="K72" s="1063"/>
      <c r="L72" s="1063">
        <f t="shared" ref="L72:R72" si="21">L73+L75</f>
        <v>496</v>
      </c>
      <c r="M72" s="1063">
        <f t="shared" si="21"/>
        <v>336</v>
      </c>
      <c r="N72" s="1063">
        <f t="shared" si="21"/>
        <v>711</v>
      </c>
      <c r="O72" s="1063">
        <f t="shared" si="21"/>
        <v>711</v>
      </c>
      <c r="P72" s="1063">
        <f t="shared" si="21"/>
        <v>711</v>
      </c>
      <c r="Q72" s="1063">
        <f t="shared" si="21"/>
        <v>711</v>
      </c>
      <c r="R72" s="1063">
        <f t="shared" si="21"/>
        <v>711</v>
      </c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 s="2" customFormat="1" ht="91.5" hidden="1" thickBot="1" x14ac:dyDescent="0.3">
      <c r="A73" s="1"/>
      <c r="B73" s="49" t="s">
        <v>747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1063">
        <f>J74</f>
        <v>426</v>
      </c>
      <c r="K73" s="1063"/>
      <c r="L73" s="1063">
        <f t="shared" ref="L73:R73" si="22">L74</f>
        <v>296</v>
      </c>
      <c r="M73" s="1063">
        <f t="shared" si="22"/>
        <v>136</v>
      </c>
      <c r="N73" s="1063">
        <f t="shared" si="22"/>
        <v>426</v>
      </c>
      <c r="O73" s="1063">
        <f t="shared" si="22"/>
        <v>426</v>
      </c>
      <c r="P73" s="1063">
        <f t="shared" si="22"/>
        <v>426</v>
      </c>
      <c r="Q73" s="1063">
        <f t="shared" si="22"/>
        <v>426</v>
      </c>
      <c r="R73" s="1063">
        <f t="shared" si="22"/>
        <v>426</v>
      </c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 s="2" customFormat="1" ht="13.5" hidden="1" thickBot="1" x14ac:dyDescent="0.35">
      <c r="A74" s="1"/>
      <c r="B74" s="195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1063">
        <v>426</v>
      </c>
      <c r="K74" s="1063"/>
      <c r="L74" s="1063">
        <v>296</v>
      </c>
      <c r="M74" s="1063">
        <v>136</v>
      </c>
      <c r="N74" s="1063">
        <v>426</v>
      </c>
      <c r="O74" s="1063">
        <v>426</v>
      </c>
      <c r="P74" s="1063">
        <v>426</v>
      </c>
      <c r="Q74" s="1063">
        <v>426</v>
      </c>
      <c r="R74" s="1063">
        <v>426</v>
      </c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 ht="78.5" hidden="1" thickBot="1" x14ac:dyDescent="0.3">
      <c r="B75" s="49" t="s">
        <v>748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1063">
        <f>J76</f>
        <v>285</v>
      </c>
      <c r="K75" s="1063"/>
      <c r="L75" s="1063">
        <f t="shared" ref="L75:R75" si="23">L76</f>
        <v>200</v>
      </c>
      <c r="M75" s="1063">
        <f t="shared" si="23"/>
        <v>200</v>
      </c>
      <c r="N75" s="1063">
        <f t="shared" si="23"/>
        <v>285</v>
      </c>
      <c r="O75" s="1063">
        <f t="shared" si="23"/>
        <v>285</v>
      </c>
      <c r="P75" s="1063">
        <f t="shared" si="23"/>
        <v>285</v>
      </c>
      <c r="Q75" s="1063">
        <f t="shared" si="23"/>
        <v>285</v>
      </c>
      <c r="R75" s="1063">
        <f t="shared" si="23"/>
        <v>285</v>
      </c>
    </row>
    <row r="76" spans="1:256" ht="13.5" hidden="1" thickBot="1" x14ac:dyDescent="0.35">
      <c r="B76" s="195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1063">
        <v>285</v>
      </c>
      <c r="K76" s="1063"/>
      <c r="L76" s="1063">
        <v>200</v>
      </c>
      <c r="M76" s="1063">
        <v>200</v>
      </c>
      <c r="N76" s="1063">
        <v>285</v>
      </c>
      <c r="O76" s="1063">
        <v>285</v>
      </c>
      <c r="P76" s="1063">
        <v>285</v>
      </c>
      <c r="Q76" s="1063">
        <v>285</v>
      </c>
      <c r="R76" s="1063">
        <v>285</v>
      </c>
    </row>
    <row r="77" spans="1:256" ht="91.5" hidden="1" thickBot="1" x14ac:dyDescent="0.3">
      <c r="B77" s="157" t="s">
        <v>749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1065">
        <f>J78</f>
        <v>686</v>
      </c>
      <c r="K77" s="1065"/>
      <c r="L77" s="1065">
        <f t="shared" ref="L77:R77" si="24">L78</f>
        <v>686</v>
      </c>
      <c r="M77" s="1065">
        <f t="shared" si="24"/>
        <v>686</v>
      </c>
      <c r="N77" s="1065">
        <f t="shared" si="24"/>
        <v>686</v>
      </c>
      <c r="O77" s="1065">
        <f t="shared" si="24"/>
        <v>686</v>
      </c>
      <c r="P77" s="1065">
        <f t="shared" si="24"/>
        <v>686</v>
      </c>
      <c r="Q77" s="1065">
        <f t="shared" si="24"/>
        <v>686</v>
      </c>
      <c r="R77" s="1065">
        <f t="shared" si="24"/>
        <v>686</v>
      </c>
    </row>
    <row r="78" spans="1:256" ht="104.5" hidden="1" thickBot="1" x14ac:dyDescent="0.3">
      <c r="B78" s="49" t="s">
        <v>750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1063">
        <f>J80</f>
        <v>686</v>
      </c>
      <c r="K78" s="1063"/>
      <c r="L78" s="1063">
        <f t="shared" ref="L78:R78" si="25">L80</f>
        <v>686</v>
      </c>
      <c r="M78" s="1063">
        <f t="shared" si="25"/>
        <v>686</v>
      </c>
      <c r="N78" s="1063">
        <f t="shared" si="25"/>
        <v>686</v>
      </c>
      <c r="O78" s="1063">
        <f t="shared" si="25"/>
        <v>686</v>
      </c>
      <c r="P78" s="1063">
        <f t="shared" si="25"/>
        <v>686</v>
      </c>
      <c r="Q78" s="1063">
        <f t="shared" si="25"/>
        <v>686</v>
      </c>
      <c r="R78" s="1063">
        <f t="shared" si="25"/>
        <v>686</v>
      </c>
    </row>
    <row r="79" spans="1:256" ht="40.5" hidden="1" customHeight="1" x14ac:dyDescent="0.25"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1069"/>
      <c r="K79" s="1069"/>
      <c r="L79" s="1069"/>
      <c r="M79" s="1069"/>
      <c r="N79" s="1069"/>
      <c r="O79" s="1069"/>
      <c r="P79" s="1069"/>
      <c r="Q79" s="1069"/>
      <c r="R79" s="1069"/>
    </row>
    <row r="80" spans="1:256" ht="17.5" hidden="1" customHeight="1" x14ac:dyDescent="0.3">
      <c r="B80" s="195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1063">
        <v>686</v>
      </c>
      <c r="K80" s="1069"/>
      <c r="L80" s="1063">
        <v>686</v>
      </c>
      <c r="M80" s="1063">
        <v>686</v>
      </c>
      <c r="N80" s="1063">
        <v>686</v>
      </c>
      <c r="O80" s="1063">
        <v>686</v>
      </c>
      <c r="P80" s="1063">
        <v>686</v>
      </c>
      <c r="Q80" s="1063">
        <v>686</v>
      </c>
      <c r="R80" s="1063">
        <v>686</v>
      </c>
    </row>
    <row r="81" spans="2:24" ht="44.25" hidden="1" customHeight="1" x14ac:dyDescent="0.25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31"/>
      <c r="O81" s="131"/>
      <c r="P81" s="131"/>
      <c r="Q81" s="131"/>
      <c r="R81" s="131"/>
    </row>
    <row r="82" spans="2:24" ht="39.5" hidden="1" thickBot="1" x14ac:dyDescent="0.3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1063"/>
      <c r="K82" s="1063"/>
      <c r="L82" s="1063"/>
      <c r="M82" s="1063"/>
      <c r="N82" s="1063"/>
      <c r="O82" s="1063"/>
      <c r="P82" s="1063"/>
      <c r="Q82" s="1063"/>
      <c r="R82" s="1063"/>
    </row>
    <row r="83" spans="2:24" s="83" customFormat="1" ht="14.5" hidden="1" thickBot="1" x14ac:dyDescent="0.35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1070">
        <f>J84+J93</f>
        <v>18097.09</v>
      </c>
      <c r="K83" s="1071"/>
      <c r="L83" s="1070">
        <f t="shared" ref="L83:R83" si="26">L84+L93</f>
        <v>11814.485000000001</v>
      </c>
      <c r="M83" s="1070">
        <f t="shared" si="26"/>
        <v>14413.347</v>
      </c>
      <c r="N83" s="1070">
        <f t="shared" si="26"/>
        <v>18097.09</v>
      </c>
      <c r="O83" s="1070">
        <f t="shared" si="26"/>
        <v>18097.09</v>
      </c>
      <c r="P83" s="1070">
        <f t="shared" si="26"/>
        <v>18097.09</v>
      </c>
      <c r="Q83" s="1070">
        <f t="shared" si="26"/>
        <v>18097.09</v>
      </c>
      <c r="R83" s="1070">
        <f t="shared" si="26"/>
        <v>18097.09</v>
      </c>
      <c r="S83" s="84"/>
      <c r="T83" s="84"/>
      <c r="U83" s="84"/>
      <c r="V83" s="84"/>
      <c r="W83" s="84"/>
      <c r="X83" s="84"/>
    </row>
    <row r="84" spans="2:24" s="83" customFormat="1" ht="13.5" hidden="1" thickBot="1" x14ac:dyDescent="0.35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1064">
        <f>J85</f>
        <v>17447.29</v>
      </c>
      <c r="K84" s="1063"/>
      <c r="L84" s="1064">
        <f t="shared" ref="L84:R84" si="27">L85</f>
        <v>11444.685000000001</v>
      </c>
      <c r="M84" s="1064">
        <f t="shared" si="27"/>
        <v>14038.547</v>
      </c>
      <c r="N84" s="1064">
        <f t="shared" si="27"/>
        <v>17447.29</v>
      </c>
      <c r="O84" s="1064">
        <f t="shared" si="27"/>
        <v>17447.29</v>
      </c>
      <c r="P84" s="1064">
        <f t="shared" si="27"/>
        <v>17447.29</v>
      </c>
      <c r="Q84" s="1064">
        <f t="shared" si="27"/>
        <v>17447.29</v>
      </c>
      <c r="R84" s="1064">
        <f t="shared" si="27"/>
        <v>17447.29</v>
      </c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3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 t="shared" ref="L85:R85" si="28">L86+L90</f>
        <v>11444.685000000001</v>
      </c>
      <c r="M85" s="51">
        <f t="shared" si="28"/>
        <v>14038.547</v>
      </c>
      <c r="N85" s="51">
        <f t="shared" si="28"/>
        <v>17447.29</v>
      </c>
      <c r="O85" s="51">
        <f t="shared" si="28"/>
        <v>17447.29</v>
      </c>
      <c r="P85" s="51">
        <f t="shared" si="28"/>
        <v>17447.29</v>
      </c>
      <c r="Q85" s="51">
        <f t="shared" si="28"/>
        <v>17447.29</v>
      </c>
      <c r="R85" s="51">
        <f t="shared" si="28"/>
        <v>17447.29</v>
      </c>
      <c r="S85" s="84"/>
      <c r="T85" s="84"/>
      <c r="U85" s="84"/>
      <c r="V85" s="84"/>
      <c r="W85" s="84"/>
      <c r="X85" s="84"/>
    </row>
    <row r="86" spans="2:24" s="83" customFormat="1" ht="65.5" hidden="1" thickBot="1" x14ac:dyDescent="0.35">
      <c r="B86" s="157" t="s">
        <v>751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1064">
        <f>J87</f>
        <v>16806.29</v>
      </c>
      <c r="K86" s="1065"/>
      <c r="L86" s="1065">
        <f t="shared" ref="L86:R87" si="29">L87</f>
        <v>10777.685000000001</v>
      </c>
      <c r="M86" s="1064">
        <f t="shared" si="29"/>
        <v>13305.547</v>
      </c>
      <c r="N86" s="1064">
        <f t="shared" si="29"/>
        <v>16806.29</v>
      </c>
      <c r="O86" s="1064">
        <f t="shared" si="29"/>
        <v>16806.29</v>
      </c>
      <c r="P86" s="1064">
        <f t="shared" si="29"/>
        <v>16806.29</v>
      </c>
      <c r="Q86" s="1064">
        <f t="shared" si="29"/>
        <v>16806.29</v>
      </c>
      <c r="R86" s="1064">
        <f t="shared" si="29"/>
        <v>16806.29</v>
      </c>
      <c r="S86" s="84"/>
      <c r="T86" s="84"/>
      <c r="U86" s="84"/>
      <c r="V86" s="84"/>
      <c r="W86" s="84"/>
      <c r="X86" s="84"/>
    </row>
    <row r="87" spans="2:24" s="83" customFormat="1" ht="78.5" hidden="1" thickBot="1" x14ac:dyDescent="0.35">
      <c r="B87" s="90" t="s">
        <v>752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1061">
        <f>J88</f>
        <v>16806.29</v>
      </c>
      <c r="K87" s="1063"/>
      <c r="L87" s="1061">
        <f t="shared" si="29"/>
        <v>10777.685000000001</v>
      </c>
      <c r="M87" s="1061">
        <f t="shared" si="29"/>
        <v>13305.547</v>
      </c>
      <c r="N87" s="1061">
        <f t="shared" si="29"/>
        <v>16806.29</v>
      </c>
      <c r="O87" s="1061">
        <f t="shared" si="29"/>
        <v>16806.29</v>
      </c>
      <c r="P87" s="1061">
        <f t="shared" si="29"/>
        <v>16806.29</v>
      </c>
      <c r="Q87" s="1061">
        <f t="shared" si="29"/>
        <v>16806.29</v>
      </c>
      <c r="R87" s="1061">
        <f t="shared" si="29"/>
        <v>16806.29</v>
      </c>
      <c r="S87" s="84"/>
      <c r="T87" s="84"/>
      <c r="U87" s="84"/>
      <c r="V87" s="84"/>
      <c r="W87" s="84"/>
      <c r="X87" s="84"/>
    </row>
    <row r="88" spans="2:24" s="83" customFormat="1" ht="13.5" hidden="1" thickBot="1" x14ac:dyDescent="0.35">
      <c r="B88" s="195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1061">
        <f>7156.753+13430-3780.463</f>
        <v>16806.29</v>
      </c>
      <c r="K88" s="1063"/>
      <c r="L88" s="1061">
        <f>22480.2-11702.515</f>
        <v>10777.685000000001</v>
      </c>
      <c r="M88" s="1061">
        <v>13305.547</v>
      </c>
      <c r="N88" s="1061">
        <f>7156.753+13430-3780.463</f>
        <v>16806.29</v>
      </c>
      <c r="O88" s="1061">
        <f>7156.753+13430-3780.463</f>
        <v>16806.29</v>
      </c>
      <c r="P88" s="1061">
        <f>7156.753+13430-3780.463</f>
        <v>16806.29</v>
      </c>
      <c r="Q88" s="1061">
        <f>7156.753+13430-3780.463</f>
        <v>16806.29</v>
      </c>
      <c r="R88" s="1061">
        <f>7156.753+13430-3780.463</f>
        <v>16806.29</v>
      </c>
      <c r="S88" s="84"/>
      <c r="T88" s="84"/>
      <c r="U88" s="84"/>
      <c r="V88" s="84"/>
      <c r="W88" s="84"/>
      <c r="X88" s="84"/>
    </row>
    <row r="89" spans="2:24" s="83" customFormat="1" ht="52.5" hidden="1" thickBot="1" x14ac:dyDescent="0.35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1063"/>
      <c r="K89" s="1063"/>
      <c r="L89" s="1063"/>
      <c r="M89" s="1063"/>
      <c r="N89" s="1063"/>
      <c r="O89" s="1063"/>
      <c r="P89" s="1063"/>
      <c r="Q89" s="1063"/>
      <c r="R89" s="1063"/>
      <c r="S89" s="84"/>
      <c r="T89" s="84"/>
      <c r="U89" s="84"/>
      <c r="V89" s="84"/>
      <c r="W89" s="84"/>
      <c r="X89" s="84"/>
    </row>
    <row r="90" spans="2:24" s="83" customFormat="1" ht="65.5" hidden="1" thickBot="1" x14ac:dyDescent="0.35">
      <c r="B90" s="157" t="s">
        <v>753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1065">
        <f>J91</f>
        <v>641</v>
      </c>
      <c r="K90" s="1065"/>
      <c r="L90" s="1065">
        <f t="shared" ref="L90:R91" si="30">L91</f>
        <v>667</v>
      </c>
      <c r="M90" s="1065">
        <f t="shared" si="30"/>
        <v>733</v>
      </c>
      <c r="N90" s="1065">
        <f t="shared" si="30"/>
        <v>641</v>
      </c>
      <c r="O90" s="1065">
        <f t="shared" si="30"/>
        <v>641</v>
      </c>
      <c r="P90" s="1065">
        <f t="shared" si="30"/>
        <v>641</v>
      </c>
      <c r="Q90" s="1065">
        <f t="shared" si="30"/>
        <v>641</v>
      </c>
      <c r="R90" s="1065">
        <f t="shared" si="30"/>
        <v>641</v>
      </c>
      <c r="S90" s="84"/>
      <c r="T90" s="84"/>
      <c r="U90" s="84"/>
      <c r="V90" s="84"/>
      <c r="W90" s="84"/>
      <c r="X90" s="84"/>
    </row>
    <row r="91" spans="2:24" s="83" customFormat="1" ht="78.5" hidden="1" thickBot="1" x14ac:dyDescent="0.35">
      <c r="B91" s="49" t="s">
        <v>754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1063">
        <f>J92</f>
        <v>641</v>
      </c>
      <c r="K91" s="1063"/>
      <c r="L91" s="1063">
        <f t="shared" si="30"/>
        <v>667</v>
      </c>
      <c r="M91" s="1063">
        <f t="shared" si="30"/>
        <v>733</v>
      </c>
      <c r="N91" s="1063">
        <f t="shared" si="30"/>
        <v>641</v>
      </c>
      <c r="O91" s="1063">
        <f t="shared" si="30"/>
        <v>641</v>
      </c>
      <c r="P91" s="1063">
        <f t="shared" si="30"/>
        <v>641</v>
      </c>
      <c r="Q91" s="1063">
        <f t="shared" si="30"/>
        <v>641</v>
      </c>
      <c r="R91" s="1063">
        <f t="shared" si="30"/>
        <v>641</v>
      </c>
      <c r="S91" s="84"/>
      <c r="T91" s="84"/>
      <c r="U91" s="84"/>
      <c r="V91" s="84"/>
      <c r="W91" s="84"/>
      <c r="X91" s="84"/>
    </row>
    <row r="92" spans="2:24" s="83" customFormat="1" ht="13.5" hidden="1" thickBot="1" x14ac:dyDescent="0.35">
      <c r="B92" s="195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1063">
        <v>641</v>
      </c>
      <c r="K92" s="1063"/>
      <c r="L92" s="1063">
        <v>667</v>
      </c>
      <c r="M92" s="1063">
        <v>733</v>
      </c>
      <c r="N92" s="1063">
        <v>641</v>
      </c>
      <c r="O92" s="1063">
        <v>641</v>
      </c>
      <c r="P92" s="1063">
        <v>641</v>
      </c>
      <c r="Q92" s="1063">
        <v>641</v>
      </c>
      <c r="R92" s="1063">
        <v>641</v>
      </c>
      <c r="S92" s="84"/>
      <c r="T92" s="84"/>
      <c r="U92" s="84"/>
      <c r="V92" s="84"/>
      <c r="W92" s="84"/>
      <c r="X92" s="84"/>
    </row>
    <row r="93" spans="2:24" s="83" customFormat="1" ht="13.5" hidden="1" thickBot="1" x14ac:dyDescent="0.35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1072">
        <f>J94+J98</f>
        <v>649.79999999999995</v>
      </c>
      <c r="K93" s="1072"/>
      <c r="L93" s="1072">
        <f t="shared" ref="L93:R93" si="31">L94+L98</f>
        <v>369.8</v>
      </c>
      <c r="M93" s="1072">
        <f t="shared" si="31"/>
        <v>374.8</v>
      </c>
      <c r="N93" s="1072">
        <f t="shared" si="31"/>
        <v>649.79999999999995</v>
      </c>
      <c r="O93" s="1072">
        <f t="shared" si="31"/>
        <v>649.79999999999995</v>
      </c>
      <c r="P93" s="1072">
        <f t="shared" si="31"/>
        <v>649.79999999999995</v>
      </c>
      <c r="Q93" s="1072">
        <f t="shared" si="31"/>
        <v>649.79999999999995</v>
      </c>
      <c r="R93" s="1072">
        <f t="shared" si="31"/>
        <v>649.79999999999995</v>
      </c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3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 t="shared" ref="L94:R94" si="32">L96</f>
        <v>305</v>
      </c>
      <c r="M94" s="51">
        <f t="shared" si="32"/>
        <v>310</v>
      </c>
      <c r="N94" s="51">
        <f t="shared" si="32"/>
        <v>300</v>
      </c>
      <c r="O94" s="51">
        <f t="shared" si="32"/>
        <v>300</v>
      </c>
      <c r="P94" s="51">
        <f t="shared" si="32"/>
        <v>300</v>
      </c>
      <c r="Q94" s="51">
        <f t="shared" si="32"/>
        <v>300</v>
      </c>
      <c r="R94" s="51">
        <f t="shared" si="32"/>
        <v>300</v>
      </c>
      <c r="S94" s="84"/>
      <c r="T94" s="84"/>
      <c r="U94" s="84"/>
      <c r="V94" s="84"/>
      <c r="W94" s="84"/>
      <c r="X94" s="84"/>
    </row>
    <row r="95" spans="2:24" s="83" customFormat="1" ht="78" hidden="1" customHeight="1" x14ac:dyDescent="0.3">
      <c r="B95" s="170" t="s">
        <v>755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1065"/>
      <c r="K95" s="1065"/>
      <c r="L95" s="1065"/>
      <c r="M95" s="1065"/>
      <c r="N95" s="1065"/>
      <c r="O95" s="1065"/>
      <c r="P95" s="1065"/>
      <c r="Q95" s="1065"/>
      <c r="R95" s="1065"/>
      <c r="S95" s="84"/>
      <c r="T95" s="84"/>
      <c r="U95" s="84"/>
      <c r="V95" s="84"/>
      <c r="W95" s="84"/>
      <c r="X95" s="84"/>
    </row>
    <row r="96" spans="2:24" s="83" customFormat="1" ht="112.5" hidden="1" thickBot="1" x14ac:dyDescent="0.35">
      <c r="B96" s="214" t="s">
        <v>756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1065">
        <f>J97</f>
        <v>300</v>
      </c>
      <c r="K96" s="1065"/>
      <c r="L96" s="1065">
        <f t="shared" ref="L96:R96" si="33">L97</f>
        <v>305</v>
      </c>
      <c r="M96" s="1065">
        <f t="shared" si="33"/>
        <v>310</v>
      </c>
      <c r="N96" s="1065">
        <f t="shared" si="33"/>
        <v>300</v>
      </c>
      <c r="O96" s="1065">
        <f t="shared" si="33"/>
        <v>300</v>
      </c>
      <c r="P96" s="1065">
        <f t="shared" si="33"/>
        <v>300</v>
      </c>
      <c r="Q96" s="1065">
        <f t="shared" si="33"/>
        <v>300</v>
      </c>
      <c r="R96" s="1065">
        <f t="shared" si="33"/>
        <v>300</v>
      </c>
      <c r="S96" s="84"/>
      <c r="T96" s="84"/>
      <c r="U96" s="84"/>
      <c r="V96" s="84"/>
      <c r="W96" s="84"/>
      <c r="X96" s="84"/>
    </row>
    <row r="97" spans="1:256" s="83" customFormat="1" ht="13.5" hidden="1" thickBot="1" x14ac:dyDescent="0.35">
      <c r="B97" s="195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1063">
        <v>300</v>
      </c>
      <c r="K97" s="1065"/>
      <c r="L97" s="1063">
        <v>305</v>
      </c>
      <c r="M97" s="1063">
        <v>310</v>
      </c>
      <c r="N97" s="1063">
        <v>300</v>
      </c>
      <c r="O97" s="1063">
        <v>300</v>
      </c>
      <c r="P97" s="1063">
        <v>300</v>
      </c>
      <c r="Q97" s="1063">
        <v>300</v>
      </c>
      <c r="R97" s="1063">
        <v>300</v>
      </c>
      <c r="S97" s="84"/>
      <c r="T97" s="84"/>
      <c r="U97" s="84"/>
      <c r="V97" s="84"/>
      <c r="W97" s="84"/>
      <c r="X97" s="84"/>
    </row>
    <row r="98" spans="1:256" s="83" customFormat="1" ht="39.5" hidden="1" thickBot="1" x14ac:dyDescent="0.35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1065">
        <f>J99+J101+J103</f>
        <v>349.8</v>
      </c>
      <c r="K98" s="1065"/>
      <c r="L98" s="1065">
        <f t="shared" ref="L98:R98" si="34">L99+L101+L103</f>
        <v>64.8</v>
      </c>
      <c r="M98" s="1065">
        <f t="shared" si="34"/>
        <v>64.8</v>
      </c>
      <c r="N98" s="1065">
        <f t="shared" si="34"/>
        <v>349.8</v>
      </c>
      <c r="O98" s="1065">
        <f t="shared" si="34"/>
        <v>349.8</v>
      </c>
      <c r="P98" s="1065">
        <f t="shared" si="34"/>
        <v>349.8</v>
      </c>
      <c r="Q98" s="1065">
        <f t="shared" si="34"/>
        <v>349.8</v>
      </c>
      <c r="R98" s="1065">
        <f t="shared" si="34"/>
        <v>349.8</v>
      </c>
      <c r="S98" s="84"/>
      <c r="T98" s="84"/>
      <c r="U98" s="84"/>
      <c r="V98" s="84"/>
      <c r="W98" s="84"/>
      <c r="X98" s="84"/>
    </row>
    <row r="99" spans="1:256" s="83" customFormat="1" ht="13.5" hidden="1" thickBot="1" x14ac:dyDescent="0.35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1065">
        <f>J100</f>
        <v>195</v>
      </c>
      <c r="K99" s="1065"/>
      <c r="L99" s="1065">
        <f t="shared" ref="L99:R99" si="35">L100</f>
        <v>0</v>
      </c>
      <c r="M99" s="1065">
        <f t="shared" si="35"/>
        <v>0</v>
      </c>
      <c r="N99" s="1065">
        <f t="shared" si="35"/>
        <v>195</v>
      </c>
      <c r="O99" s="1065">
        <f t="shared" si="35"/>
        <v>195</v>
      </c>
      <c r="P99" s="1065">
        <f t="shared" si="35"/>
        <v>195</v>
      </c>
      <c r="Q99" s="1065">
        <f t="shared" si="35"/>
        <v>195</v>
      </c>
      <c r="R99" s="1065">
        <f t="shared" si="35"/>
        <v>195</v>
      </c>
      <c r="S99" s="84"/>
      <c r="T99" s="84"/>
      <c r="U99" s="84"/>
      <c r="V99" s="84"/>
      <c r="W99" s="84"/>
      <c r="X99" s="84"/>
    </row>
    <row r="100" spans="1:256" s="83" customFormat="1" ht="13.5" hidden="1" thickBot="1" x14ac:dyDescent="0.35">
      <c r="B100" s="195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1063">
        <v>195</v>
      </c>
      <c r="K100" s="1063"/>
      <c r="L100" s="1063"/>
      <c r="M100" s="1063"/>
      <c r="N100" s="1063">
        <v>195</v>
      </c>
      <c r="O100" s="1063">
        <v>195</v>
      </c>
      <c r="P100" s="1063">
        <v>195</v>
      </c>
      <c r="Q100" s="1063">
        <v>195</v>
      </c>
      <c r="R100" s="1063">
        <v>195</v>
      </c>
      <c r="S100" s="84"/>
      <c r="T100" s="84"/>
      <c r="U100" s="84"/>
      <c r="V100" s="84"/>
      <c r="W100" s="84"/>
      <c r="X100" s="84"/>
    </row>
    <row r="101" spans="1:256" s="83" customFormat="1" ht="13.5" hidden="1" thickBot="1" x14ac:dyDescent="0.35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1065">
        <f>J102</f>
        <v>64.8</v>
      </c>
      <c r="K101" s="1065"/>
      <c r="L101" s="1065">
        <f t="shared" ref="L101:R101" si="36">L102</f>
        <v>64.8</v>
      </c>
      <c r="M101" s="1065">
        <f t="shared" si="36"/>
        <v>64.8</v>
      </c>
      <c r="N101" s="1065">
        <f t="shared" si="36"/>
        <v>64.8</v>
      </c>
      <c r="O101" s="1065">
        <f t="shared" si="36"/>
        <v>64.8</v>
      </c>
      <c r="P101" s="1065">
        <f t="shared" si="36"/>
        <v>64.8</v>
      </c>
      <c r="Q101" s="1065">
        <f t="shared" si="36"/>
        <v>64.8</v>
      </c>
      <c r="R101" s="1065">
        <f t="shared" si="36"/>
        <v>64.8</v>
      </c>
      <c r="S101" s="84"/>
      <c r="T101" s="84"/>
      <c r="U101" s="84"/>
      <c r="V101" s="84"/>
      <c r="W101" s="84"/>
      <c r="X101" s="84"/>
    </row>
    <row r="102" spans="1:256" s="83" customFormat="1" ht="13.5" hidden="1" thickBot="1" x14ac:dyDescent="0.35">
      <c r="B102" s="195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1063">
        <v>64.8</v>
      </c>
      <c r="K102" s="1063"/>
      <c r="L102" s="1063">
        <v>64.8</v>
      </c>
      <c r="M102" s="1063">
        <v>64.8</v>
      </c>
      <c r="N102" s="1063">
        <v>64.8</v>
      </c>
      <c r="O102" s="1063">
        <v>64.8</v>
      </c>
      <c r="P102" s="1063">
        <v>64.8</v>
      </c>
      <c r="Q102" s="1063">
        <v>64.8</v>
      </c>
      <c r="R102" s="1063">
        <v>64.8</v>
      </c>
      <c r="S102" s="84"/>
      <c r="T102" s="84"/>
      <c r="U102" s="84"/>
      <c r="V102" s="84"/>
      <c r="W102" s="84"/>
      <c r="X102" s="84"/>
    </row>
    <row r="103" spans="1:256" s="83" customFormat="1" ht="13.5" hidden="1" thickBot="1" x14ac:dyDescent="0.35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1065">
        <f>J104</f>
        <v>90</v>
      </c>
      <c r="K103" s="1065"/>
      <c r="L103" s="1065">
        <f t="shared" ref="L103:R103" si="37">L104</f>
        <v>0</v>
      </c>
      <c r="M103" s="1065">
        <f t="shared" si="37"/>
        <v>0</v>
      </c>
      <c r="N103" s="1065">
        <f t="shared" si="37"/>
        <v>90</v>
      </c>
      <c r="O103" s="1065">
        <f t="shared" si="37"/>
        <v>90</v>
      </c>
      <c r="P103" s="1065">
        <f t="shared" si="37"/>
        <v>90</v>
      </c>
      <c r="Q103" s="1065">
        <f t="shared" si="37"/>
        <v>90</v>
      </c>
      <c r="R103" s="1065">
        <f t="shared" si="37"/>
        <v>90</v>
      </c>
      <c r="S103" s="84"/>
      <c r="T103" s="84"/>
      <c r="U103" s="84"/>
      <c r="V103" s="84"/>
      <c r="W103" s="84"/>
      <c r="X103" s="84"/>
    </row>
    <row r="104" spans="1:256" s="83" customFormat="1" ht="13.5" hidden="1" thickBot="1" x14ac:dyDescent="0.35">
      <c r="B104" s="195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1063">
        <v>90</v>
      </c>
      <c r="K104" s="1065"/>
      <c r="L104" s="1065"/>
      <c r="M104" s="1065"/>
      <c r="N104" s="1063">
        <v>90</v>
      </c>
      <c r="O104" s="1063">
        <v>90</v>
      </c>
      <c r="P104" s="1063">
        <v>90</v>
      </c>
      <c r="Q104" s="1063">
        <v>90</v>
      </c>
      <c r="R104" s="1063">
        <v>90</v>
      </c>
      <c r="S104" s="84"/>
      <c r="T104" s="84"/>
      <c r="U104" s="84"/>
      <c r="V104" s="84"/>
      <c r="W104" s="84"/>
      <c r="X104" s="84"/>
    </row>
    <row r="105" spans="1:256" s="83" customFormat="1" ht="14.5" hidden="1" thickBot="1" x14ac:dyDescent="0.35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1073">
        <f>J106+J117+J130+J139</f>
        <v>22021.318999999996</v>
      </c>
      <c r="K105" s="1067"/>
      <c r="L105" s="1073">
        <f t="shared" ref="L105:R105" si="38">L106+L117+L130+L139</f>
        <v>27710.55</v>
      </c>
      <c r="M105" s="1073">
        <f t="shared" si="38"/>
        <v>26064.505000000001</v>
      </c>
      <c r="N105" s="1073">
        <f t="shared" si="38"/>
        <v>22021.318999999996</v>
      </c>
      <c r="O105" s="1073">
        <f t="shared" si="38"/>
        <v>22021.318999999996</v>
      </c>
      <c r="P105" s="1073">
        <f t="shared" si="38"/>
        <v>22021.318999999996</v>
      </c>
      <c r="Q105" s="1073">
        <f t="shared" si="38"/>
        <v>22021.318999999996</v>
      </c>
      <c r="R105" s="1073">
        <f t="shared" si="38"/>
        <v>22021.318999999996</v>
      </c>
      <c r="S105" s="84"/>
      <c r="T105" s="84"/>
      <c r="U105" s="84"/>
      <c r="V105" s="84"/>
      <c r="W105" s="84"/>
      <c r="X105" s="84"/>
    </row>
    <row r="106" spans="1:256" ht="13.5" hidden="1" thickBot="1" x14ac:dyDescent="0.3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1061">
        <f>J107+J112</f>
        <v>9048</v>
      </c>
      <c r="K106" s="1061"/>
      <c r="L106" s="1061">
        <f t="shared" ref="L106:R106" si="39">L107+L112</f>
        <v>10000</v>
      </c>
      <c r="M106" s="1061">
        <f t="shared" si="39"/>
        <v>10000</v>
      </c>
      <c r="N106" s="1061">
        <f t="shared" si="39"/>
        <v>9048</v>
      </c>
      <c r="O106" s="1061">
        <f t="shared" si="39"/>
        <v>9048</v>
      </c>
      <c r="P106" s="1061">
        <f t="shared" si="39"/>
        <v>9048</v>
      </c>
      <c r="Q106" s="1061">
        <f t="shared" si="39"/>
        <v>9048</v>
      </c>
      <c r="R106" s="1061">
        <f t="shared" si="39"/>
        <v>9048</v>
      </c>
    </row>
    <row r="107" spans="1:256" s="2" customFormat="1" ht="53.5" hidden="1" customHeight="1" x14ac:dyDescent="0.25">
      <c r="A107" s="1"/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31"/>
      <c r="O107" s="131"/>
      <c r="P107" s="131"/>
      <c r="Q107" s="131"/>
      <c r="R107" s="13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spans="1:256" s="2" customFormat="1" ht="65.5" hidden="1" thickBot="1" x14ac:dyDescent="0.35">
      <c r="A108" s="1"/>
      <c r="B108" s="211" t="s">
        <v>757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1058"/>
      <c r="K108" s="1058"/>
      <c r="L108" s="1058"/>
      <c r="M108" s="1058"/>
      <c r="N108" s="1058"/>
      <c r="O108" s="1058"/>
      <c r="P108" s="1058"/>
      <c r="Q108" s="1058"/>
      <c r="R108" s="1058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spans="1:256" s="2" customFormat="1" ht="81.650000000000006" hidden="1" customHeight="1" x14ac:dyDescent="0.3">
      <c r="A109" s="1"/>
      <c r="B109" s="210" t="s">
        <v>758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1058"/>
      <c r="K109" s="1058"/>
      <c r="L109" s="1058"/>
      <c r="M109" s="1058"/>
      <c r="N109" s="1058"/>
      <c r="O109" s="1058"/>
      <c r="P109" s="1058"/>
      <c r="Q109" s="1058"/>
      <c r="R109" s="1058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spans="1:256" s="2" customFormat="1" ht="81" hidden="1" customHeight="1" x14ac:dyDescent="0.3">
      <c r="A110" s="1"/>
      <c r="B110" s="211" t="s">
        <v>759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1065"/>
      <c r="K110" s="1065"/>
      <c r="L110" s="1065"/>
      <c r="M110" s="1065"/>
      <c r="N110" s="1065"/>
      <c r="O110" s="1065"/>
      <c r="P110" s="1065"/>
      <c r="Q110" s="1065"/>
      <c r="R110" s="1065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spans="1:256" s="2" customFormat="1" ht="52.5" hidden="1" thickBot="1" x14ac:dyDescent="0.35">
      <c r="A111" s="1"/>
      <c r="B111" s="210" t="s">
        <v>760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1065"/>
      <c r="K111" s="1065"/>
      <c r="L111" s="1065"/>
      <c r="M111" s="1065"/>
      <c r="N111" s="1065"/>
      <c r="O111" s="1065"/>
      <c r="P111" s="1065"/>
      <c r="Q111" s="1065"/>
      <c r="R111" s="1065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spans="1:256" s="2" customFormat="1" ht="39.65" hidden="1" customHeight="1" x14ac:dyDescent="0.25">
      <c r="A112" s="1"/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 t="shared" ref="L112:R112" si="40">L113+L115</f>
        <v>10000</v>
      </c>
      <c r="M112" s="47">
        <f t="shared" si="40"/>
        <v>10000</v>
      </c>
      <c r="N112" s="47">
        <f t="shared" si="40"/>
        <v>9048</v>
      </c>
      <c r="O112" s="47">
        <f t="shared" si="40"/>
        <v>9048</v>
      </c>
      <c r="P112" s="47">
        <f t="shared" si="40"/>
        <v>9048</v>
      </c>
      <c r="Q112" s="47">
        <f t="shared" si="40"/>
        <v>9048</v>
      </c>
      <c r="R112" s="47">
        <f t="shared" si="40"/>
        <v>9048</v>
      </c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spans="1:256" s="2" customFormat="1" ht="26.5" hidden="1" thickBot="1" x14ac:dyDescent="0.3">
      <c r="A113" s="1"/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 t="shared" ref="L113:R113" si="41">L114</f>
        <v>0</v>
      </c>
      <c r="M113" s="47">
        <f t="shared" si="41"/>
        <v>0</v>
      </c>
      <c r="N113" s="47">
        <f t="shared" si="41"/>
        <v>420</v>
      </c>
      <c r="O113" s="47">
        <f t="shared" si="41"/>
        <v>420</v>
      </c>
      <c r="P113" s="47">
        <f t="shared" si="41"/>
        <v>420</v>
      </c>
      <c r="Q113" s="47">
        <f t="shared" si="41"/>
        <v>420</v>
      </c>
      <c r="R113" s="47">
        <f t="shared" si="41"/>
        <v>420</v>
      </c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 s="2" customFormat="1" ht="13.5" hidden="1" thickBot="1" x14ac:dyDescent="0.35">
      <c r="A114" s="1"/>
      <c r="B114" s="195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57">
        <v>420</v>
      </c>
      <c r="O114" s="57">
        <v>420</v>
      </c>
      <c r="P114" s="57">
        <v>420</v>
      </c>
      <c r="Q114" s="57">
        <v>420</v>
      </c>
      <c r="R114" s="57">
        <v>420</v>
      </c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 s="2" customFormat="1" ht="18.75" hidden="1" customHeight="1" x14ac:dyDescent="0.25">
      <c r="A115" s="1"/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 t="shared" ref="L115:R115" si="42">L116</f>
        <v>10000</v>
      </c>
      <c r="M115" s="57">
        <f t="shared" si="42"/>
        <v>10000</v>
      </c>
      <c r="N115" s="57">
        <f t="shared" si="42"/>
        <v>8628</v>
      </c>
      <c r="O115" s="57">
        <f t="shared" si="42"/>
        <v>8628</v>
      </c>
      <c r="P115" s="57">
        <f t="shared" si="42"/>
        <v>8628</v>
      </c>
      <c r="Q115" s="57">
        <f t="shared" si="42"/>
        <v>8628</v>
      </c>
      <c r="R115" s="57">
        <f t="shared" si="42"/>
        <v>8628</v>
      </c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 s="2" customFormat="1" ht="25.9" hidden="1" customHeight="1" x14ac:dyDescent="0.3">
      <c r="A116" s="1"/>
      <c r="B116" s="208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1074">
        <v>8628</v>
      </c>
      <c r="K116" s="207"/>
      <c r="L116" s="54">
        <v>10000</v>
      </c>
      <c r="M116" s="206">
        <v>10000</v>
      </c>
      <c r="N116" s="1074">
        <v>8628</v>
      </c>
      <c r="O116" s="1074">
        <v>8628</v>
      </c>
      <c r="P116" s="1074">
        <v>8628</v>
      </c>
      <c r="Q116" s="1074">
        <v>8628</v>
      </c>
      <c r="R116" s="1074">
        <v>8628</v>
      </c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 s="2" customFormat="1" ht="13.5" hidden="1" thickBot="1" x14ac:dyDescent="0.3">
      <c r="A117" s="1"/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1064">
        <f>J118+J125</f>
        <v>1214.55</v>
      </c>
      <c r="K117" s="1065"/>
      <c r="L117" s="1075">
        <f t="shared" ref="L117:R117" si="43">L118+L125</f>
        <v>4085</v>
      </c>
      <c r="M117" s="1065">
        <f t="shared" si="43"/>
        <v>85</v>
      </c>
      <c r="N117" s="1064">
        <f t="shared" si="43"/>
        <v>1214.55</v>
      </c>
      <c r="O117" s="1064">
        <f t="shared" si="43"/>
        <v>1214.55</v>
      </c>
      <c r="P117" s="1064">
        <f t="shared" si="43"/>
        <v>1214.55</v>
      </c>
      <c r="Q117" s="1064">
        <f t="shared" si="43"/>
        <v>1214.55</v>
      </c>
      <c r="R117" s="1064">
        <f t="shared" si="43"/>
        <v>1214.55</v>
      </c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s="2" customFormat="1" ht="58.15" hidden="1" customHeight="1" x14ac:dyDescent="0.25">
      <c r="A118" s="1"/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R119" si="44">L119</f>
        <v>4000</v>
      </c>
      <c r="M118" s="205">
        <f t="shared" si="44"/>
        <v>0</v>
      </c>
      <c r="N118" s="205">
        <f t="shared" si="44"/>
        <v>1129.55</v>
      </c>
      <c r="O118" s="205">
        <f t="shared" si="44"/>
        <v>1129.55</v>
      </c>
      <c r="P118" s="205">
        <f t="shared" si="44"/>
        <v>1129.55</v>
      </c>
      <c r="Q118" s="205">
        <f t="shared" si="44"/>
        <v>1129.55</v>
      </c>
      <c r="R118" s="205">
        <f t="shared" si="44"/>
        <v>1129.55</v>
      </c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 s="2" customFormat="1" ht="78.5" hidden="1" thickBot="1" x14ac:dyDescent="0.3">
      <c r="A119" s="1"/>
      <c r="B119" s="58" t="s">
        <v>761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1075">
        <f>J120</f>
        <v>1129.55</v>
      </c>
      <c r="K119" s="1075"/>
      <c r="L119" s="1075">
        <f t="shared" si="44"/>
        <v>4000</v>
      </c>
      <c r="M119" s="1065">
        <f t="shared" si="44"/>
        <v>0</v>
      </c>
      <c r="N119" s="1075">
        <f t="shared" si="44"/>
        <v>1129.55</v>
      </c>
      <c r="O119" s="1075">
        <f t="shared" si="44"/>
        <v>1129.55</v>
      </c>
      <c r="P119" s="1075">
        <f t="shared" si="44"/>
        <v>1129.55</v>
      </c>
      <c r="Q119" s="1075">
        <f t="shared" si="44"/>
        <v>1129.55</v>
      </c>
      <c r="R119" s="1075">
        <f t="shared" si="44"/>
        <v>1129.55</v>
      </c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 s="2" customFormat="1" ht="26.5" hidden="1" thickBot="1" x14ac:dyDescent="0.3">
      <c r="A120" s="1"/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1066">
        <v>1129.55</v>
      </c>
      <c r="K120" s="1075"/>
      <c r="L120" s="1066">
        <v>4000</v>
      </c>
      <c r="M120" s="1065"/>
      <c r="N120" s="1066">
        <v>1129.55</v>
      </c>
      <c r="O120" s="1066">
        <v>1129.55</v>
      </c>
      <c r="P120" s="1066">
        <v>1129.55</v>
      </c>
      <c r="Q120" s="1066">
        <v>1129.55</v>
      </c>
      <c r="R120" s="1066">
        <v>1129.55</v>
      </c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 s="2" customFormat="1" ht="52.5" hidden="1" thickBot="1" x14ac:dyDescent="0.3">
      <c r="A121" s="1"/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1065"/>
      <c r="K121" s="1065"/>
      <c r="L121" s="1065"/>
      <c r="M121" s="1065"/>
      <c r="N121" s="1065"/>
      <c r="O121" s="1065"/>
      <c r="P121" s="1065"/>
      <c r="Q121" s="1065"/>
      <c r="R121" s="1065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 s="2" customFormat="1" ht="42.75" hidden="1" customHeight="1" x14ac:dyDescent="0.25">
      <c r="A122" s="1"/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31"/>
      <c r="O122" s="131"/>
      <c r="P122" s="131"/>
      <c r="Q122" s="131"/>
      <c r="R122" s="13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s="2" customFormat="1" ht="72.75" hidden="1" customHeight="1" x14ac:dyDescent="0.25">
      <c r="A123" s="1"/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1065"/>
      <c r="K123" s="1065"/>
      <c r="L123" s="1065"/>
      <c r="M123" s="1065"/>
      <c r="N123" s="1065"/>
      <c r="O123" s="1065"/>
      <c r="P123" s="1065"/>
      <c r="Q123" s="1065"/>
      <c r="R123" s="1065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 s="2" customFormat="1" ht="57" hidden="1" customHeight="1" x14ac:dyDescent="0.25">
      <c r="A124" s="1"/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1065"/>
      <c r="K124" s="1065"/>
      <c r="L124" s="1065"/>
      <c r="M124" s="1065"/>
      <c r="N124" s="1065"/>
      <c r="O124" s="1065"/>
      <c r="P124" s="1065"/>
      <c r="Q124" s="1065"/>
      <c r="R124" s="1065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 s="2" customFormat="1" ht="39.65" hidden="1" customHeight="1" x14ac:dyDescent="0.25">
      <c r="A125" s="1"/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 t="shared" ref="L125:R125" si="45">L126</f>
        <v>85</v>
      </c>
      <c r="M125" s="51">
        <f t="shared" si="45"/>
        <v>85</v>
      </c>
      <c r="N125" s="51">
        <f t="shared" si="45"/>
        <v>85</v>
      </c>
      <c r="O125" s="51">
        <f t="shared" si="45"/>
        <v>85</v>
      </c>
      <c r="P125" s="51">
        <f t="shared" si="45"/>
        <v>85</v>
      </c>
      <c r="Q125" s="51">
        <f t="shared" si="45"/>
        <v>85</v>
      </c>
      <c r="R125" s="51">
        <f t="shared" si="45"/>
        <v>85</v>
      </c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 s="2" customFormat="1" ht="43.5" hidden="1" customHeight="1" x14ac:dyDescent="0.25">
      <c r="A126" s="1"/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 t="shared" ref="L126:R126" si="46">L129</f>
        <v>85</v>
      </c>
      <c r="M126" s="47">
        <f t="shared" si="46"/>
        <v>85</v>
      </c>
      <c r="N126" s="47">
        <f t="shared" si="46"/>
        <v>85</v>
      </c>
      <c r="O126" s="47">
        <f t="shared" si="46"/>
        <v>85</v>
      </c>
      <c r="P126" s="47">
        <f t="shared" si="46"/>
        <v>85</v>
      </c>
      <c r="Q126" s="47">
        <f t="shared" si="46"/>
        <v>85</v>
      </c>
      <c r="R126" s="47">
        <f t="shared" si="46"/>
        <v>85</v>
      </c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 s="2" customFormat="1" ht="60.75" hidden="1" customHeight="1" x14ac:dyDescent="0.25">
      <c r="A127" s="1"/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3379" t="s">
        <v>20</v>
      </c>
      <c r="H127" s="3380"/>
      <c r="I127" s="3380"/>
      <c r="J127" s="3381"/>
      <c r="K127" s="41"/>
      <c r="L127" s="1"/>
      <c r="M127" s="1"/>
      <c r="N127" s="1"/>
      <c r="O127" s="1"/>
      <c r="P127" s="1"/>
      <c r="Q127" s="1"/>
      <c r="R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 s="2" customFormat="1" ht="48" hidden="1" customHeight="1" x14ac:dyDescent="0.25">
      <c r="A128" s="1"/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3373" t="s">
        <v>17</v>
      </c>
      <c r="H128" s="3374"/>
      <c r="I128" s="3374"/>
      <c r="J128" s="3375"/>
      <c r="K128" s="41"/>
      <c r="L128" s="1"/>
      <c r="M128" s="1"/>
      <c r="N128" s="1"/>
      <c r="O128" s="1"/>
      <c r="P128" s="1"/>
      <c r="Q128" s="1"/>
      <c r="R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 s="2" customFormat="1" ht="16.899999999999999" hidden="1" customHeight="1" x14ac:dyDescent="0.3">
      <c r="A129" s="1"/>
      <c r="B129" s="195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28">
        <v>85</v>
      </c>
      <c r="O129" s="28">
        <v>85</v>
      </c>
      <c r="P129" s="28">
        <v>85</v>
      </c>
      <c r="Q129" s="28">
        <v>85</v>
      </c>
      <c r="R129" s="28">
        <v>85</v>
      </c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 s="2" customFormat="1" ht="20.25" hidden="1" customHeight="1" x14ac:dyDescent="0.25">
      <c r="A130" s="1"/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1076">
        <f>J131+J134</f>
        <v>11758.768999999998</v>
      </c>
      <c r="K130" s="1065"/>
      <c r="L130" s="1076">
        <f t="shared" ref="L130:R130" si="47">L131+L134</f>
        <v>13625.55</v>
      </c>
      <c r="M130" s="1076">
        <f t="shared" si="47"/>
        <v>15979.505000000001</v>
      </c>
      <c r="N130" s="1076">
        <f t="shared" si="47"/>
        <v>11758.768999999998</v>
      </c>
      <c r="O130" s="1076">
        <f t="shared" si="47"/>
        <v>11758.768999999998</v>
      </c>
      <c r="P130" s="1076">
        <f t="shared" si="47"/>
        <v>11758.768999999998</v>
      </c>
      <c r="Q130" s="1076">
        <f t="shared" si="47"/>
        <v>11758.768999999998</v>
      </c>
      <c r="R130" s="1076">
        <f t="shared" si="47"/>
        <v>11758.768999999998</v>
      </c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s="2" customFormat="1" ht="55.15" hidden="1" customHeight="1" x14ac:dyDescent="0.25">
      <c r="A131" s="1"/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R132" si="48">L132</f>
        <v>6008.35</v>
      </c>
      <c r="M131" s="51">
        <f t="shared" si="48"/>
        <v>8515.7049999999999</v>
      </c>
      <c r="N131" s="51">
        <f t="shared" si="48"/>
        <v>2275.0059999999999</v>
      </c>
      <c r="O131" s="51">
        <f t="shared" si="48"/>
        <v>2275.0059999999999</v>
      </c>
      <c r="P131" s="51">
        <f t="shared" si="48"/>
        <v>2275.0059999999999</v>
      </c>
      <c r="Q131" s="51">
        <f t="shared" si="48"/>
        <v>2275.0059999999999</v>
      </c>
      <c r="R131" s="51">
        <f t="shared" si="48"/>
        <v>2275.0059999999999</v>
      </c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 s="2" customFormat="1" ht="70.150000000000006" hidden="1" customHeight="1" x14ac:dyDescent="0.25">
      <c r="A132" s="1"/>
      <c r="B132" s="58" t="s">
        <v>762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1064">
        <f>J133</f>
        <v>2275.0059999999999</v>
      </c>
      <c r="K132" s="1065"/>
      <c r="L132" s="1064">
        <f t="shared" si="48"/>
        <v>6008.35</v>
      </c>
      <c r="M132" s="1064">
        <f t="shared" si="48"/>
        <v>8515.7049999999999</v>
      </c>
      <c r="N132" s="1064">
        <f t="shared" si="48"/>
        <v>2275.0059999999999</v>
      </c>
      <c r="O132" s="1064">
        <f t="shared" si="48"/>
        <v>2275.0059999999999</v>
      </c>
      <c r="P132" s="1064">
        <f t="shared" si="48"/>
        <v>2275.0059999999999</v>
      </c>
      <c r="Q132" s="1064">
        <f t="shared" si="48"/>
        <v>2275.0059999999999</v>
      </c>
      <c r="R132" s="1064">
        <f t="shared" si="48"/>
        <v>2275.0059999999999</v>
      </c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 s="2" customFormat="1" ht="12.65" hidden="1" customHeight="1" x14ac:dyDescent="0.3">
      <c r="A133" s="1"/>
      <c r="B133" s="195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1064">
        <v>2275.0059999999999</v>
      </c>
      <c r="K133" s="1065"/>
      <c r="L133" s="1064">
        <v>6008.35</v>
      </c>
      <c r="M133" s="1064">
        <v>8515.7049999999999</v>
      </c>
      <c r="N133" s="1064">
        <v>2275.0059999999999</v>
      </c>
      <c r="O133" s="1064">
        <v>2275.0059999999999</v>
      </c>
      <c r="P133" s="1064">
        <v>2275.0059999999999</v>
      </c>
      <c r="Q133" s="1064">
        <v>2275.0059999999999</v>
      </c>
      <c r="R133" s="1064">
        <v>2275.0059999999999</v>
      </c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 s="2" customFormat="1" ht="56.5" hidden="1" customHeight="1" x14ac:dyDescent="0.25">
      <c r="A134" s="1"/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 t="shared" ref="L134:R134" si="49">L135+L137</f>
        <v>7617.2</v>
      </c>
      <c r="M134" s="1076">
        <f t="shared" si="49"/>
        <v>7463.8</v>
      </c>
      <c r="N134" s="51">
        <f t="shared" si="49"/>
        <v>9483.762999999999</v>
      </c>
      <c r="O134" s="51">
        <f t="shared" si="49"/>
        <v>9483.762999999999</v>
      </c>
      <c r="P134" s="51">
        <f t="shared" si="49"/>
        <v>9483.762999999999</v>
      </c>
      <c r="Q134" s="51">
        <f t="shared" si="49"/>
        <v>9483.762999999999</v>
      </c>
      <c r="R134" s="51">
        <f t="shared" si="49"/>
        <v>9483.762999999999</v>
      </c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 s="2" customFormat="1" ht="78.5" hidden="1" thickBot="1" x14ac:dyDescent="0.3">
      <c r="A135" s="1"/>
      <c r="B135" s="49" t="s">
        <v>763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1064">
        <f>J136</f>
        <v>5353.7750000000005</v>
      </c>
      <c r="K135" s="1065"/>
      <c r="L135" s="1065">
        <f t="shared" ref="L135:R135" si="50">L136</f>
        <v>5406.2</v>
      </c>
      <c r="M135" s="1065">
        <f t="shared" si="50"/>
        <v>5230.3</v>
      </c>
      <c r="N135" s="1064">
        <f t="shared" si="50"/>
        <v>5353.7750000000005</v>
      </c>
      <c r="O135" s="1064">
        <f t="shared" si="50"/>
        <v>5353.7750000000005</v>
      </c>
      <c r="P135" s="1064">
        <f t="shared" si="50"/>
        <v>5353.7750000000005</v>
      </c>
      <c r="Q135" s="1064">
        <f t="shared" si="50"/>
        <v>5353.7750000000005</v>
      </c>
      <c r="R135" s="1064">
        <f t="shared" si="50"/>
        <v>5353.7750000000005</v>
      </c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 s="2" customFormat="1" ht="13.5" hidden="1" thickBot="1" x14ac:dyDescent="0.35">
      <c r="A136" s="1"/>
      <c r="B136" s="195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1061">
        <f>5356.1-4835.3+2500.3+2332.675</f>
        <v>5353.7750000000005</v>
      </c>
      <c r="K136" s="1065"/>
      <c r="L136" s="1061">
        <v>5406.2</v>
      </c>
      <c r="M136" s="1061">
        <v>5230.3</v>
      </c>
      <c r="N136" s="1061">
        <f>5356.1-4835.3+2500.3+2332.675</f>
        <v>5353.7750000000005</v>
      </c>
      <c r="O136" s="1061">
        <f>5356.1-4835.3+2500.3+2332.675</f>
        <v>5353.7750000000005</v>
      </c>
      <c r="P136" s="1061">
        <f>5356.1-4835.3+2500.3+2332.675</f>
        <v>5353.7750000000005</v>
      </c>
      <c r="Q136" s="1061">
        <f>5356.1-4835.3+2500.3+2332.675</f>
        <v>5353.7750000000005</v>
      </c>
      <c r="R136" s="1061">
        <f>5356.1-4835.3+2500.3+2332.675</f>
        <v>5353.7750000000005</v>
      </c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 s="2" customFormat="1" ht="79.150000000000006" hidden="1" customHeight="1" x14ac:dyDescent="0.25">
      <c r="A137" s="1"/>
      <c r="B137" s="49" t="s">
        <v>764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1064">
        <f>J138</f>
        <v>4129.9879999999994</v>
      </c>
      <c r="K137" s="1064"/>
      <c r="L137" s="1064">
        <f t="shared" ref="L137:R137" si="51">L138</f>
        <v>2211</v>
      </c>
      <c r="M137" s="1064">
        <f t="shared" si="51"/>
        <v>2233.5</v>
      </c>
      <c r="N137" s="1064">
        <f t="shared" si="51"/>
        <v>4129.9879999999994</v>
      </c>
      <c r="O137" s="1064">
        <f t="shared" si="51"/>
        <v>4129.9879999999994</v>
      </c>
      <c r="P137" s="1064">
        <f t="shared" si="51"/>
        <v>4129.9879999999994</v>
      </c>
      <c r="Q137" s="1064">
        <f t="shared" si="51"/>
        <v>4129.9879999999994</v>
      </c>
      <c r="R137" s="1064">
        <f t="shared" si="51"/>
        <v>4129.9879999999994</v>
      </c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 s="2" customFormat="1" ht="18.649999999999999" hidden="1" customHeight="1" x14ac:dyDescent="0.3">
      <c r="A138" s="1"/>
      <c r="B138" s="195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1064">
        <f>2142.2+1447.788+540</f>
        <v>4129.9879999999994</v>
      </c>
      <c r="K138" s="1064"/>
      <c r="L138" s="1064">
        <v>2211</v>
      </c>
      <c r="M138" s="1064">
        <v>2233.5</v>
      </c>
      <c r="N138" s="1064">
        <f>2142.2+1447.788+540</f>
        <v>4129.9879999999994</v>
      </c>
      <c r="O138" s="1064">
        <f>2142.2+1447.788+540</f>
        <v>4129.9879999999994</v>
      </c>
      <c r="P138" s="1064">
        <f>2142.2+1447.788+540</f>
        <v>4129.9879999999994</v>
      </c>
      <c r="Q138" s="1064">
        <f>2142.2+1447.788+540</f>
        <v>4129.9879999999994</v>
      </c>
      <c r="R138" s="1064">
        <f>2142.2+1447.788+540</f>
        <v>4129.9879999999994</v>
      </c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 s="2" customFormat="1" ht="19.5" hidden="1" customHeight="1" x14ac:dyDescent="0.25">
      <c r="A139" s="1"/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1065">
        <f>J140</f>
        <v>0</v>
      </c>
      <c r="K139" s="1065"/>
      <c r="L139" s="1065">
        <f t="shared" ref="L139:R142" si="52">L140</f>
        <v>0</v>
      </c>
      <c r="M139" s="1065">
        <f t="shared" si="52"/>
        <v>0</v>
      </c>
      <c r="N139" s="1065">
        <f t="shared" si="52"/>
        <v>0</v>
      </c>
      <c r="O139" s="1065">
        <f t="shared" si="52"/>
        <v>0</v>
      </c>
      <c r="P139" s="1065">
        <f t="shared" si="52"/>
        <v>0</v>
      </c>
      <c r="Q139" s="1065">
        <f t="shared" si="52"/>
        <v>0</v>
      </c>
      <c r="R139" s="1065">
        <f t="shared" si="52"/>
        <v>0</v>
      </c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 s="2" customFormat="1" ht="39.5" hidden="1" thickBot="1" x14ac:dyDescent="0.3">
      <c r="A140" s="1"/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1065">
        <f>J141</f>
        <v>0</v>
      </c>
      <c r="K140" s="1065"/>
      <c r="L140" s="1065">
        <f t="shared" si="52"/>
        <v>0</v>
      </c>
      <c r="M140" s="1065">
        <f t="shared" si="52"/>
        <v>0</v>
      </c>
      <c r="N140" s="1065">
        <f t="shared" si="52"/>
        <v>0</v>
      </c>
      <c r="O140" s="1065">
        <f t="shared" si="52"/>
        <v>0</v>
      </c>
      <c r="P140" s="1065">
        <f t="shared" si="52"/>
        <v>0</v>
      </c>
      <c r="Q140" s="1065">
        <f t="shared" si="52"/>
        <v>0</v>
      </c>
      <c r="R140" s="1065">
        <f t="shared" si="52"/>
        <v>0</v>
      </c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 s="2" customFormat="1" ht="30.75" hidden="1" customHeight="1" x14ac:dyDescent="0.25">
      <c r="A141" s="1"/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1077">
        <f>J142</f>
        <v>0</v>
      </c>
      <c r="K141" s="1077"/>
      <c r="L141" s="1077">
        <f t="shared" si="52"/>
        <v>0</v>
      </c>
      <c r="M141" s="1077">
        <f t="shared" si="52"/>
        <v>0</v>
      </c>
      <c r="N141" s="1077">
        <f t="shared" si="52"/>
        <v>0</v>
      </c>
      <c r="O141" s="1077">
        <f t="shared" si="52"/>
        <v>0</v>
      </c>
      <c r="P141" s="1077">
        <f t="shared" si="52"/>
        <v>0</v>
      </c>
      <c r="Q141" s="1077">
        <f t="shared" si="52"/>
        <v>0</v>
      </c>
      <c r="R141" s="1077">
        <f t="shared" si="52"/>
        <v>0</v>
      </c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 s="2" customFormat="1" ht="26.5" hidden="1" thickBot="1" x14ac:dyDescent="0.3">
      <c r="A142" s="1"/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1077">
        <f>J143</f>
        <v>0</v>
      </c>
      <c r="K142" s="1077"/>
      <c r="L142" s="1077">
        <f t="shared" si="52"/>
        <v>0</v>
      </c>
      <c r="M142" s="1077">
        <f t="shared" si="52"/>
        <v>0</v>
      </c>
      <c r="N142" s="1077">
        <f t="shared" si="52"/>
        <v>0</v>
      </c>
      <c r="O142" s="1077">
        <f t="shared" si="52"/>
        <v>0</v>
      </c>
      <c r="P142" s="1077">
        <f t="shared" si="52"/>
        <v>0</v>
      </c>
      <c r="Q142" s="1077">
        <f t="shared" si="52"/>
        <v>0</v>
      </c>
      <c r="R142" s="1077">
        <f t="shared" si="52"/>
        <v>0</v>
      </c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 s="2" customFormat="1" ht="13.5" hidden="1" thickBot="1" x14ac:dyDescent="0.3">
      <c r="A143" s="1"/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1077"/>
      <c r="K143" s="1077"/>
      <c r="L143" s="1077"/>
      <c r="M143" s="1077"/>
      <c r="N143" s="1077"/>
      <c r="O143" s="1077"/>
      <c r="P143" s="1077"/>
      <c r="Q143" s="1077"/>
      <c r="R143" s="1077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 s="2" customFormat="1" ht="14.5" hidden="1" thickBot="1" x14ac:dyDescent="0.3">
      <c r="A144" s="1"/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1057">
        <f>J145</f>
        <v>160</v>
      </c>
      <c r="K144" s="1057"/>
      <c r="L144" s="1057">
        <f t="shared" ref="L144:R146" si="53">L145</f>
        <v>172</v>
      </c>
      <c r="M144" s="1057">
        <f t="shared" si="53"/>
        <v>184</v>
      </c>
      <c r="N144" s="1057">
        <f t="shared" si="53"/>
        <v>160</v>
      </c>
      <c r="O144" s="1057">
        <f t="shared" si="53"/>
        <v>160</v>
      </c>
      <c r="P144" s="1057">
        <f t="shared" si="53"/>
        <v>160</v>
      </c>
      <c r="Q144" s="1057">
        <f t="shared" si="53"/>
        <v>160</v>
      </c>
      <c r="R144" s="1057">
        <f t="shared" si="53"/>
        <v>160</v>
      </c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 s="2" customFormat="1" ht="13.5" hidden="1" thickBot="1" x14ac:dyDescent="0.3">
      <c r="A145" s="1"/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1062">
        <f>J146</f>
        <v>160</v>
      </c>
      <c r="K145" s="1062"/>
      <c r="L145" s="1062">
        <f t="shared" si="53"/>
        <v>172</v>
      </c>
      <c r="M145" s="1062">
        <f t="shared" si="53"/>
        <v>184</v>
      </c>
      <c r="N145" s="1062">
        <f t="shared" si="53"/>
        <v>160</v>
      </c>
      <c r="O145" s="1062">
        <f t="shared" si="53"/>
        <v>160</v>
      </c>
      <c r="P145" s="1062">
        <f t="shared" si="53"/>
        <v>160</v>
      </c>
      <c r="Q145" s="1062">
        <f t="shared" si="53"/>
        <v>160</v>
      </c>
      <c r="R145" s="1062">
        <f t="shared" si="53"/>
        <v>160</v>
      </c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 s="2" customFormat="1" ht="53.25" hidden="1" customHeight="1" x14ac:dyDescent="0.25">
      <c r="A146" s="1"/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53"/>
        <v>172</v>
      </c>
      <c r="M146" s="51">
        <f t="shared" si="53"/>
        <v>184</v>
      </c>
      <c r="N146" s="51">
        <f t="shared" si="53"/>
        <v>160</v>
      </c>
      <c r="O146" s="51">
        <f t="shared" si="53"/>
        <v>160</v>
      </c>
      <c r="P146" s="51">
        <f t="shared" si="53"/>
        <v>160</v>
      </c>
      <c r="Q146" s="51">
        <f t="shared" si="53"/>
        <v>160</v>
      </c>
      <c r="R146" s="51">
        <f t="shared" si="53"/>
        <v>160</v>
      </c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 s="2" customFormat="1" ht="65.5" hidden="1" thickBot="1" x14ac:dyDescent="0.3">
      <c r="A147" s="1"/>
      <c r="B147" s="157" t="s">
        <v>765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1062">
        <f>J150</f>
        <v>160</v>
      </c>
      <c r="K147" s="1062"/>
      <c r="L147" s="1062">
        <f t="shared" ref="L147:R147" si="54">L150</f>
        <v>172</v>
      </c>
      <c r="M147" s="1062">
        <f t="shared" si="54"/>
        <v>184</v>
      </c>
      <c r="N147" s="1062">
        <f t="shared" si="54"/>
        <v>160</v>
      </c>
      <c r="O147" s="1062">
        <f t="shared" si="54"/>
        <v>160</v>
      </c>
      <c r="P147" s="1062">
        <f t="shared" si="54"/>
        <v>160</v>
      </c>
      <c r="Q147" s="1062">
        <f t="shared" si="54"/>
        <v>160</v>
      </c>
      <c r="R147" s="1062">
        <f t="shared" si="54"/>
        <v>160</v>
      </c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 s="2" customFormat="1" ht="75" hidden="1" customHeight="1" x14ac:dyDescent="0.25">
      <c r="A148" s="1"/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1062"/>
      <c r="K148" s="1062"/>
      <c r="L148" s="1062"/>
      <c r="M148" s="1062"/>
      <c r="N148" s="1062"/>
      <c r="O148" s="1062"/>
      <c r="P148" s="1062"/>
      <c r="Q148" s="1062"/>
      <c r="R148" s="1062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 s="2" customFormat="1" ht="16.149999999999999" hidden="1" customHeight="1" x14ac:dyDescent="0.3">
      <c r="A149" s="1"/>
      <c r="B149" s="195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1062"/>
      <c r="K149" s="1062"/>
      <c r="L149" s="1062"/>
      <c r="M149" s="1062"/>
      <c r="N149" s="1062"/>
      <c r="O149" s="1062"/>
      <c r="P149" s="1062"/>
      <c r="Q149" s="1062"/>
      <c r="R149" s="1062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 s="2" customFormat="1" ht="77.25" hidden="1" customHeight="1" x14ac:dyDescent="0.25">
      <c r="A150" s="1"/>
      <c r="B150" s="49" t="s">
        <v>766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1062">
        <f>J151</f>
        <v>160</v>
      </c>
      <c r="K150" s="1062"/>
      <c r="L150" s="1062">
        <f t="shared" ref="L150:R150" si="55">L151</f>
        <v>172</v>
      </c>
      <c r="M150" s="1062">
        <f t="shared" si="55"/>
        <v>184</v>
      </c>
      <c r="N150" s="1062">
        <f t="shared" si="55"/>
        <v>160</v>
      </c>
      <c r="O150" s="1062">
        <f t="shared" si="55"/>
        <v>160</v>
      </c>
      <c r="P150" s="1062">
        <f t="shared" si="55"/>
        <v>160</v>
      </c>
      <c r="Q150" s="1062">
        <f t="shared" si="55"/>
        <v>160</v>
      </c>
      <c r="R150" s="1062">
        <f t="shared" si="55"/>
        <v>160</v>
      </c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 s="2" customFormat="1" ht="16.899999999999999" hidden="1" customHeight="1" x14ac:dyDescent="0.3">
      <c r="A151" s="1"/>
      <c r="B151" s="195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1062">
        <v>160</v>
      </c>
      <c r="K151" s="1062"/>
      <c r="L151" s="1062">
        <v>172</v>
      </c>
      <c r="M151" s="1062">
        <v>184</v>
      </c>
      <c r="N151" s="1062">
        <v>160</v>
      </c>
      <c r="O151" s="1062">
        <v>160</v>
      </c>
      <c r="P151" s="1062">
        <v>160</v>
      </c>
      <c r="Q151" s="1062">
        <v>160</v>
      </c>
      <c r="R151" s="1062">
        <v>160</v>
      </c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 s="2" customFormat="1" ht="14.5" hidden="1" thickBot="1" x14ac:dyDescent="0.3">
      <c r="A152" s="1"/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1057">
        <f>J153+J160</f>
        <v>7152.5</v>
      </c>
      <c r="K152" s="1057"/>
      <c r="L152" s="1057">
        <f t="shared" ref="L152:R152" si="56">L153+L160</f>
        <v>7583.5</v>
      </c>
      <c r="M152" s="1057">
        <f t="shared" si="56"/>
        <v>8198.5</v>
      </c>
      <c r="N152" s="1057">
        <f t="shared" si="56"/>
        <v>7152.5</v>
      </c>
      <c r="O152" s="1057">
        <f t="shared" si="56"/>
        <v>7152.5</v>
      </c>
      <c r="P152" s="1057">
        <f t="shared" si="56"/>
        <v>7152.5</v>
      </c>
      <c r="Q152" s="1057">
        <f t="shared" si="56"/>
        <v>7152.5</v>
      </c>
      <c r="R152" s="1057">
        <f t="shared" si="56"/>
        <v>7152.5</v>
      </c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 s="2" customFormat="1" ht="13.5" hidden="1" thickBot="1" x14ac:dyDescent="0.3">
      <c r="A153" s="1"/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1058">
        <f>J154</f>
        <v>5947</v>
      </c>
      <c r="K153" s="1058"/>
      <c r="L153" s="1058">
        <f t="shared" ref="L153:R155" si="57">L154</f>
        <v>6305</v>
      </c>
      <c r="M153" s="1058">
        <f t="shared" si="57"/>
        <v>6960</v>
      </c>
      <c r="N153" s="1058">
        <f t="shared" si="57"/>
        <v>5947</v>
      </c>
      <c r="O153" s="1058">
        <f t="shared" si="57"/>
        <v>5947</v>
      </c>
      <c r="P153" s="1058">
        <f t="shared" si="57"/>
        <v>5947</v>
      </c>
      <c r="Q153" s="1058">
        <f t="shared" si="57"/>
        <v>5947</v>
      </c>
      <c r="R153" s="1058">
        <f t="shared" si="57"/>
        <v>5947</v>
      </c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 s="2" customFormat="1" ht="55.5" hidden="1" customHeight="1" x14ac:dyDescent="0.25">
      <c r="A154" s="1"/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57"/>
        <v>6305</v>
      </c>
      <c r="M154" s="51">
        <f t="shared" si="57"/>
        <v>6960</v>
      </c>
      <c r="N154" s="51">
        <f t="shared" si="57"/>
        <v>5947</v>
      </c>
      <c r="O154" s="51">
        <f t="shared" si="57"/>
        <v>5947</v>
      </c>
      <c r="P154" s="51">
        <f t="shared" si="57"/>
        <v>5947</v>
      </c>
      <c r="Q154" s="51">
        <f t="shared" si="57"/>
        <v>5947</v>
      </c>
      <c r="R154" s="51">
        <f t="shared" si="57"/>
        <v>5947</v>
      </c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 ht="83.5" hidden="1" customHeight="1" x14ac:dyDescent="0.25">
      <c r="B155" s="157" t="s">
        <v>767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1060">
        <f>J156</f>
        <v>5947</v>
      </c>
      <c r="K155" s="1060"/>
      <c r="L155" s="1060">
        <f t="shared" si="57"/>
        <v>6305</v>
      </c>
      <c r="M155" s="1060">
        <f t="shared" si="57"/>
        <v>6960</v>
      </c>
      <c r="N155" s="1060">
        <f t="shared" si="57"/>
        <v>5947</v>
      </c>
      <c r="O155" s="1060">
        <f t="shared" si="57"/>
        <v>5947</v>
      </c>
      <c r="P155" s="1060">
        <f t="shared" si="57"/>
        <v>5947</v>
      </c>
      <c r="Q155" s="1060">
        <f t="shared" si="57"/>
        <v>5947</v>
      </c>
      <c r="R155" s="1060">
        <f t="shared" si="57"/>
        <v>5947</v>
      </c>
    </row>
    <row r="156" spans="1:256" ht="91.5" hidden="1" thickBot="1" x14ac:dyDescent="0.3">
      <c r="B156" s="49" t="s">
        <v>768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1060">
        <f>J157+J158+J159</f>
        <v>5947</v>
      </c>
      <c r="K156" s="1060"/>
      <c r="L156" s="1060">
        <f t="shared" ref="L156:R156" si="58">L157+L158+L159</f>
        <v>6305</v>
      </c>
      <c r="M156" s="1060">
        <f t="shared" si="58"/>
        <v>6960</v>
      </c>
      <c r="N156" s="1060">
        <f t="shared" si="58"/>
        <v>5947</v>
      </c>
      <c r="O156" s="1060">
        <f t="shared" si="58"/>
        <v>5947</v>
      </c>
      <c r="P156" s="1060">
        <f t="shared" si="58"/>
        <v>5947</v>
      </c>
      <c r="Q156" s="1060">
        <f t="shared" si="58"/>
        <v>5947</v>
      </c>
      <c r="R156" s="1060">
        <f t="shared" si="58"/>
        <v>5947</v>
      </c>
    </row>
    <row r="157" spans="1:256" ht="13.5" hidden="1" thickBot="1" x14ac:dyDescent="0.35">
      <c r="B157" s="195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1078">
        <v>4171.2870000000003</v>
      </c>
      <c r="K157" s="1078"/>
      <c r="L157" s="1060">
        <v>5305.1139999999996</v>
      </c>
      <c r="M157" s="1060">
        <v>6631.482</v>
      </c>
      <c r="N157" s="1078">
        <v>4171.2870000000003</v>
      </c>
      <c r="O157" s="1078">
        <v>4171.2870000000003</v>
      </c>
      <c r="P157" s="1078">
        <v>4171.2870000000003</v>
      </c>
      <c r="Q157" s="1078">
        <v>4171.2870000000003</v>
      </c>
      <c r="R157" s="1078">
        <v>4171.2870000000003</v>
      </c>
    </row>
    <row r="158" spans="1:256" ht="13.5" hidden="1" thickBot="1" x14ac:dyDescent="0.35">
      <c r="B158" s="195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1060">
        <f>1775.713-0.713</f>
        <v>1775</v>
      </c>
      <c r="K158" s="1060"/>
      <c r="L158" s="1060">
        <f>999.886-0.886</f>
        <v>999</v>
      </c>
      <c r="M158" s="1060">
        <v>328</v>
      </c>
      <c r="N158" s="1060">
        <f>1775.713-0.713</f>
        <v>1775</v>
      </c>
      <c r="O158" s="1060">
        <f>1775.713-0.713</f>
        <v>1775</v>
      </c>
      <c r="P158" s="1060">
        <f>1775.713-0.713</f>
        <v>1775</v>
      </c>
      <c r="Q158" s="1060">
        <f>1775.713-0.713</f>
        <v>1775</v>
      </c>
      <c r="R158" s="1060">
        <f>1775.713-0.713</f>
        <v>1775</v>
      </c>
    </row>
    <row r="159" spans="1:256" ht="13.5" hidden="1" thickBot="1" x14ac:dyDescent="0.35">
      <c r="B159" s="195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1062">
        <v>0.71299999999999997</v>
      </c>
      <c r="K159" s="1062"/>
      <c r="L159" s="1062">
        <v>0.88600000000000001</v>
      </c>
      <c r="M159" s="1062">
        <v>0.51800000000000002</v>
      </c>
      <c r="N159" s="1062">
        <v>0.71299999999999997</v>
      </c>
      <c r="O159" s="1062">
        <v>0.71299999999999997</v>
      </c>
      <c r="P159" s="1062">
        <v>0.71299999999999997</v>
      </c>
      <c r="Q159" s="1062">
        <v>0.71299999999999997</v>
      </c>
      <c r="R159" s="1062">
        <v>0.71299999999999997</v>
      </c>
    </row>
    <row r="160" spans="1:256" ht="30.75" hidden="1" customHeight="1" x14ac:dyDescent="0.25"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1058">
        <f>J161</f>
        <v>1205.5</v>
      </c>
      <c r="K160" s="1058"/>
      <c r="L160" s="1058">
        <f t="shared" ref="L160:R163" si="59">L161</f>
        <v>1278.5</v>
      </c>
      <c r="M160" s="1058">
        <f t="shared" si="59"/>
        <v>1238.5</v>
      </c>
      <c r="N160" s="1058">
        <f t="shared" si="59"/>
        <v>1205.5</v>
      </c>
      <c r="O160" s="1058">
        <f t="shared" si="59"/>
        <v>1205.5</v>
      </c>
      <c r="P160" s="1058">
        <f t="shared" si="59"/>
        <v>1205.5</v>
      </c>
      <c r="Q160" s="1058">
        <f t="shared" si="59"/>
        <v>1205.5</v>
      </c>
      <c r="R160" s="1058">
        <f t="shared" si="59"/>
        <v>1205.5</v>
      </c>
    </row>
    <row r="161" spans="1:256" ht="39.65" hidden="1" customHeight="1" x14ac:dyDescent="0.25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59"/>
        <v>1278.5</v>
      </c>
      <c r="M161" s="51">
        <f t="shared" si="59"/>
        <v>1238.5</v>
      </c>
      <c r="N161" s="51">
        <f t="shared" si="59"/>
        <v>1205.5</v>
      </c>
      <c r="O161" s="51">
        <f t="shared" si="59"/>
        <v>1205.5</v>
      </c>
      <c r="P161" s="51">
        <f t="shared" si="59"/>
        <v>1205.5</v>
      </c>
      <c r="Q161" s="51">
        <f t="shared" si="59"/>
        <v>1205.5</v>
      </c>
      <c r="R161" s="51">
        <f t="shared" si="59"/>
        <v>1205.5</v>
      </c>
    </row>
    <row r="162" spans="1:256" ht="85.9" hidden="1" customHeight="1" x14ac:dyDescent="0.25">
      <c r="B162" s="157" t="s">
        <v>769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1060">
        <f>J163</f>
        <v>1205.5</v>
      </c>
      <c r="K162" s="1060"/>
      <c r="L162" s="1060">
        <f t="shared" si="59"/>
        <v>1278.5</v>
      </c>
      <c r="M162" s="1060">
        <f t="shared" si="59"/>
        <v>1238.5</v>
      </c>
      <c r="N162" s="1060">
        <f t="shared" si="59"/>
        <v>1205.5</v>
      </c>
      <c r="O162" s="1060">
        <f t="shared" si="59"/>
        <v>1205.5</v>
      </c>
      <c r="P162" s="1060">
        <f t="shared" si="59"/>
        <v>1205.5</v>
      </c>
      <c r="Q162" s="1060">
        <f t="shared" si="59"/>
        <v>1205.5</v>
      </c>
      <c r="R162" s="1060">
        <f t="shared" si="59"/>
        <v>1205.5</v>
      </c>
    </row>
    <row r="163" spans="1:256" ht="91.5" hidden="1" thickBot="1" x14ac:dyDescent="0.3">
      <c r="B163" s="49" t="s">
        <v>770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1060">
        <f>J164</f>
        <v>1205.5</v>
      </c>
      <c r="K163" s="1060"/>
      <c r="L163" s="1060">
        <f t="shared" si="59"/>
        <v>1278.5</v>
      </c>
      <c r="M163" s="1060">
        <f t="shared" si="59"/>
        <v>1238.5</v>
      </c>
      <c r="N163" s="1060">
        <f t="shared" si="59"/>
        <v>1205.5</v>
      </c>
      <c r="O163" s="1060">
        <f t="shared" si="59"/>
        <v>1205.5</v>
      </c>
      <c r="P163" s="1060">
        <f t="shared" si="59"/>
        <v>1205.5</v>
      </c>
      <c r="Q163" s="1060">
        <f t="shared" si="59"/>
        <v>1205.5</v>
      </c>
      <c r="R163" s="1060">
        <f t="shared" si="59"/>
        <v>1205.5</v>
      </c>
    </row>
    <row r="164" spans="1:256" ht="13.5" hidden="1" thickBot="1" x14ac:dyDescent="0.35">
      <c r="B164" s="195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1060">
        <v>1205.5</v>
      </c>
      <c r="K164" s="1060"/>
      <c r="L164" s="1060">
        <v>1278.5</v>
      </c>
      <c r="M164" s="1060">
        <v>1238.5</v>
      </c>
      <c r="N164" s="1060">
        <v>1205.5</v>
      </c>
      <c r="O164" s="1060">
        <v>1205.5</v>
      </c>
      <c r="P164" s="1060">
        <v>1205.5</v>
      </c>
      <c r="Q164" s="1060">
        <v>1205.5</v>
      </c>
      <c r="R164" s="1060">
        <v>1205.5</v>
      </c>
    </row>
    <row r="165" spans="1:256" s="162" customFormat="1" ht="52.5" hidden="1" thickBot="1" x14ac:dyDescent="0.35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1062"/>
      <c r="K165" s="1062"/>
      <c r="L165" s="1062"/>
      <c r="M165" s="1062"/>
      <c r="N165" s="1062"/>
      <c r="O165" s="1062"/>
      <c r="P165" s="1062"/>
      <c r="Q165" s="1062"/>
      <c r="R165" s="1062"/>
      <c r="S165" s="163"/>
      <c r="T165" s="163"/>
      <c r="U165" s="163"/>
      <c r="V165" s="163"/>
      <c r="W165" s="163"/>
      <c r="X165" s="163"/>
    </row>
    <row r="166" spans="1:256" ht="14.5" hidden="1" thickBot="1" x14ac:dyDescent="0.3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1067">
        <f>J167+J170</f>
        <v>412.5</v>
      </c>
      <c r="K166" s="1067"/>
      <c r="L166" s="1067">
        <f t="shared" ref="L166:R166" si="60">L167+L170</f>
        <v>412.5</v>
      </c>
      <c r="M166" s="1067">
        <f t="shared" si="60"/>
        <v>412.5</v>
      </c>
      <c r="N166" s="1067">
        <f t="shared" si="60"/>
        <v>412.5</v>
      </c>
      <c r="O166" s="1067">
        <f t="shared" si="60"/>
        <v>412.5</v>
      </c>
      <c r="P166" s="1067">
        <f t="shared" si="60"/>
        <v>412.5</v>
      </c>
      <c r="Q166" s="1067">
        <f t="shared" si="60"/>
        <v>412.5</v>
      </c>
      <c r="R166" s="1067">
        <f t="shared" si="60"/>
        <v>412.5</v>
      </c>
    </row>
    <row r="167" spans="1:256" ht="13.5" hidden="1" thickBot="1" x14ac:dyDescent="0.3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1065">
        <f>J168</f>
        <v>240.5</v>
      </c>
      <c r="K167" s="1065"/>
      <c r="L167" s="1065">
        <f t="shared" ref="L167:R168" si="61">L168</f>
        <v>240.5</v>
      </c>
      <c r="M167" s="1065">
        <f t="shared" si="61"/>
        <v>240.5</v>
      </c>
      <c r="N167" s="1065">
        <f t="shared" si="61"/>
        <v>240.5</v>
      </c>
      <c r="O167" s="1065">
        <f t="shared" si="61"/>
        <v>240.5</v>
      </c>
      <c r="P167" s="1065">
        <f t="shared" si="61"/>
        <v>240.5</v>
      </c>
      <c r="Q167" s="1065">
        <f t="shared" si="61"/>
        <v>240.5</v>
      </c>
      <c r="R167" s="1065">
        <f t="shared" si="61"/>
        <v>240.5</v>
      </c>
    </row>
    <row r="168" spans="1:256" ht="21" hidden="1" customHeight="1" x14ac:dyDescent="0.25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1063">
        <f>J169</f>
        <v>240.5</v>
      </c>
      <c r="K168" s="1063"/>
      <c r="L168" s="1063">
        <f t="shared" si="61"/>
        <v>240.5</v>
      </c>
      <c r="M168" s="1063">
        <f t="shared" si="61"/>
        <v>240.5</v>
      </c>
      <c r="N168" s="1063">
        <f t="shared" si="61"/>
        <v>240.5</v>
      </c>
      <c r="O168" s="1063">
        <f t="shared" si="61"/>
        <v>240.5</v>
      </c>
      <c r="P168" s="1063">
        <f t="shared" si="61"/>
        <v>240.5</v>
      </c>
      <c r="Q168" s="1063">
        <f t="shared" si="61"/>
        <v>240.5</v>
      </c>
      <c r="R168" s="1063">
        <f t="shared" si="61"/>
        <v>240.5</v>
      </c>
    </row>
    <row r="169" spans="1:256" ht="21" hidden="1" customHeight="1" x14ac:dyDescent="0.3">
      <c r="B169" s="195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1063">
        <v>240.5</v>
      </c>
      <c r="K169" s="1063"/>
      <c r="L169" s="1063">
        <v>240.5</v>
      </c>
      <c r="M169" s="1063">
        <v>240.5</v>
      </c>
      <c r="N169" s="1063">
        <v>240.5</v>
      </c>
      <c r="O169" s="1063">
        <v>240.5</v>
      </c>
      <c r="P169" s="1063">
        <v>240.5</v>
      </c>
      <c r="Q169" s="1063">
        <v>240.5</v>
      </c>
      <c r="R169" s="1063">
        <v>240.5</v>
      </c>
    </row>
    <row r="170" spans="1:256" ht="13.5" hidden="1" thickBot="1" x14ac:dyDescent="0.3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1065">
        <f>J171</f>
        <v>172</v>
      </c>
      <c r="K170" s="1065"/>
      <c r="L170" s="1065">
        <f t="shared" ref="L170:R171" si="62">L171</f>
        <v>172</v>
      </c>
      <c r="M170" s="1065">
        <f t="shared" si="62"/>
        <v>172</v>
      </c>
      <c r="N170" s="1065">
        <f t="shared" si="62"/>
        <v>172</v>
      </c>
      <c r="O170" s="1065">
        <f t="shared" si="62"/>
        <v>172</v>
      </c>
      <c r="P170" s="1065">
        <f t="shared" si="62"/>
        <v>172</v>
      </c>
      <c r="Q170" s="1065">
        <f t="shared" si="62"/>
        <v>172</v>
      </c>
      <c r="R170" s="1065">
        <f t="shared" si="62"/>
        <v>172</v>
      </c>
    </row>
    <row r="171" spans="1:256" s="2" customFormat="1" ht="21" hidden="1" customHeight="1" x14ac:dyDescent="0.25">
      <c r="A171" s="1"/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1063">
        <f>J172</f>
        <v>172</v>
      </c>
      <c r="K171" s="1063"/>
      <c r="L171" s="1063">
        <f t="shared" si="62"/>
        <v>172</v>
      </c>
      <c r="M171" s="1063">
        <f t="shared" si="62"/>
        <v>172</v>
      </c>
      <c r="N171" s="1063">
        <f t="shared" si="62"/>
        <v>172</v>
      </c>
      <c r="O171" s="1063">
        <f t="shared" si="62"/>
        <v>172</v>
      </c>
      <c r="P171" s="1063">
        <f t="shared" si="62"/>
        <v>172</v>
      </c>
      <c r="Q171" s="1063">
        <f t="shared" si="62"/>
        <v>172</v>
      </c>
      <c r="R171" s="1063">
        <f t="shared" si="62"/>
        <v>172</v>
      </c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spans="1:256" s="2" customFormat="1" ht="21" hidden="1" customHeight="1" x14ac:dyDescent="0.3">
      <c r="A172" s="1"/>
      <c r="B172" s="195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1063">
        <v>172</v>
      </c>
      <c r="K172" s="1063"/>
      <c r="L172" s="1063">
        <v>172</v>
      </c>
      <c r="M172" s="1063">
        <v>172</v>
      </c>
      <c r="N172" s="1063">
        <v>172</v>
      </c>
      <c r="O172" s="1063">
        <v>172</v>
      </c>
      <c r="P172" s="1063">
        <v>172</v>
      </c>
      <c r="Q172" s="1063">
        <v>172</v>
      </c>
      <c r="R172" s="1063">
        <v>172</v>
      </c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spans="1:256" s="2" customFormat="1" ht="14.5" hidden="1" thickBot="1" x14ac:dyDescent="0.3">
      <c r="A173" s="1"/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1068">
        <f>J175</f>
        <v>3930</v>
      </c>
      <c r="K173" s="1068"/>
      <c r="L173" s="1068">
        <f t="shared" ref="L173:R173" si="63">L175</f>
        <v>3930</v>
      </c>
      <c r="M173" s="1068">
        <f t="shared" si="63"/>
        <v>1185</v>
      </c>
      <c r="N173" s="1068">
        <f t="shared" si="63"/>
        <v>3930</v>
      </c>
      <c r="O173" s="1068">
        <f t="shared" si="63"/>
        <v>3930</v>
      </c>
      <c r="P173" s="1068">
        <f t="shared" si="63"/>
        <v>3930</v>
      </c>
      <c r="Q173" s="1068">
        <f t="shared" si="63"/>
        <v>3930</v>
      </c>
      <c r="R173" s="1068">
        <f t="shared" si="63"/>
        <v>3930</v>
      </c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spans="1:256" s="2" customFormat="1" ht="24" hidden="1" customHeight="1" x14ac:dyDescent="0.25">
      <c r="A174" s="1"/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1061">
        <f>J175</f>
        <v>3930</v>
      </c>
      <c r="K174" s="1061"/>
      <c r="L174" s="1061">
        <f t="shared" ref="L174:R174" si="64">L175</f>
        <v>3930</v>
      </c>
      <c r="M174" s="1061">
        <f t="shared" si="64"/>
        <v>1185</v>
      </c>
      <c r="N174" s="1061">
        <f t="shared" si="64"/>
        <v>3930</v>
      </c>
      <c r="O174" s="1061">
        <f t="shared" si="64"/>
        <v>3930</v>
      </c>
      <c r="P174" s="1061">
        <f t="shared" si="64"/>
        <v>3930</v>
      </c>
      <c r="Q174" s="1061">
        <f t="shared" si="64"/>
        <v>3930</v>
      </c>
      <c r="R174" s="1061">
        <f t="shared" si="64"/>
        <v>3930</v>
      </c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spans="1:256" s="2" customFormat="1" ht="58.5" hidden="1" customHeight="1" x14ac:dyDescent="0.25">
      <c r="A175" s="1"/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1079">
        <f>J178+J182</f>
        <v>3930</v>
      </c>
      <c r="K175" s="1079"/>
      <c r="L175" s="1079">
        <f t="shared" ref="L175:R175" si="65">L178+L182</f>
        <v>3930</v>
      </c>
      <c r="M175" s="1079">
        <f t="shared" si="65"/>
        <v>1185</v>
      </c>
      <c r="N175" s="1079">
        <f t="shared" si="65"/>
        <v>3930</v>
      </c>
      <c r="O175" s="1079">
        <f t="shared" si="65"/>
        <v>3930</v>
      </c>
      <c r="P175" s="1079">
        <f t="shared" si="65"/>
        <v>3930</v>
      </c>
      <c r="Q175" s="1079">
        <f t="shared" si="65"/>
        <v>3930</v>
      </c>
      <c r="R175" s="1079">
        <f t="shared" si="65"/>
        <v>3930</v>
      </c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spans="1:256" s="2" customFormat="1" ht="52.5" hidden="1" thickBot="1" x14ac:dyDescent="0.3">
      <c r="A176" s="1"/>
      <c r="B176" s="157" t="s">
        <v>771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1061"/>
      <c r="K176" s="1061"/>
      <c r="L176" s="1061"/>
      <c r="M176" s="1061"/>
      <c r="N176" s="1061"/>
      <c r="O176" s="1061"/>
      <c r="P176" s="1061"/>
      <c r="Q176" s="1061"/>
      <c r="R176" s="106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spans="1:256" s="2" customFormat="1" ht="52.5" hidden="1" thickBot="1" x14ac:dyDescent="0.3">
      <c r="A177" s="1"/>
      <c r="B177" s="76" t="s">
        <v>772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1061"/>
      <c r="K177" s="1061"/>
      <c r="L177" s="1061"/>
      <c r="M177" s="1061"/>
      <c r="N177" s="1061"/>
      <c r="O177" s="1061"/>
      <c r="P177" s="1061"/>
      <c r="Q177" s="1061"/>
      <c r="R177" s="106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 s="2" customFormat="1" ht="78.5" hidden="1" thickBot="1" x14ac:dyDescent="0.3">
      <c r="A178" s="1"/>
      <c r="B178" s="157" t="s">
        <v>773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1059">
        <f>J179</f>
        <v>3600</v>
      </c>
      <c r="K178" s="1059"/>
      <c r="L178" s="1059">
        <f t="shared" ref="L178:R179" si="66">L179</f>
        <v>3600</v>
      </c>
      <c r="M178" s="1059">
        <f t="shared" si="66"/>
        <v>850</v>
      </c>
      <c r="N178" s="1059">
        <f t="shared" si="66"/>
        <v>3600</v>
      </c>
      <c r="O178" s="1059">
        <f t="shared" si="66"/>
        <v>3600</v>
      </c>
      <c r="P178" s="1059">
        <f t="shared" si="66"/>
        <v>3600</v>
      </c>
      <c r="Q178" s="1059">
        <f t="shared" si="66"/>
        <v>3600</v>
      </c>
      <c r="R178" s="1059">
        <f t="shared" si="66"/>
        <v>3600</v>
      </c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 s="2" customFormat="1" ht="80.5" hidden="1" customHeight="1" x14ac:dyDescent="0.25">
      <c r="A179" s="1"/>
      <c r="B179" s="49" t="s">
        <v>774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1061">
        <f>J180</f>
        <v>3600</v>
      </c>
      <c r="K179" s="1061"/>
      <c r="L179" s="1061">
        <f t="shared" si="66"/>
        <v>3600</v>
      </c>
      <c r="M179" s="1061">
        <f t="shared" si="66"/>
        <v>850</v>
      </c>
      <c r="N179" s="1061">
        <f t="shared" si="66"/>
        <v>3600</v>
      </c>
      <c r="O179" s="1061">
        <f t="shared" si="66"/>
        <v>3600</v>
      </c>
      <c r="P179" s="1061">
        <f t="shared" si="66"/>
        <v>3600</v>
      </c>
      <c r="Q179" s="1061">
        <f t="shared" si="66"/>
        <v>3600</v>
      </c>
      <c r="R179" s="1061">
        <f t="shared" si="66"/>
        <v>3600</v>
      </c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 s="2" customFormat="1" ht="13.5" hidden="1" thickBot="1" x14ac:dyDescent="0.35">
      <c r="A180" s="1"/>
      <c r="B180" s="16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1061">
        <v>3600</v>
      </c>
      <c r="K180" s="1061"/>
      <c r="L180" s="1061">
        <v>3600</v>
      </c>
      <c r="M180" s="1061">
        <v>850</v>
      </c>
      <c r="N180" s="1061">
        <v>3600</v>
      </c>
      <c r="O180" s="1061">
        <v>3600</v>
      </c>
      <c r="P180" s="1061">
        <v>3600</v>
      </c>
      <c r="Q180" s="1061">
        <v>3600</v>
      </c>
      <c r="R180" s="1061">
        <v>3600</v>
      </c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 s="2" customFormat="1" ht="52.5" hidden="1" thickBot="1" x14ac:dyDescent="0.3">
      <c r="A181" s="1"/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1063"/>
      <c r="K181" s="1063"/>
      <c r="L181" s="1063"/>
      <c r="M181" s="1063"/>
      <c r="N181" s="1063"/>
      <c r="O181" s="1063"/>
      <c r="P181" s="1063"/>
      <c r="Q181" s="1063"/>
      <c r="R181" s="1063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 s="2" customFormat="1" ht="78.5" hidden="1" thickBot="1" x14ac:dyDescent="0.3">
      <c r="A182" s="1"/>
      <c r="B182" s="191" t="s">
        <v>775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1065">
        <f>J183</f>
        <v>330</v>
      </c>
      <c r="K182" s="1065"/>
      <c r="L182" s="1065">
        <f t="shared" ref="L182:R182" si="67">L183</f>
        <v>330</v>
      </c>
      <c r="M182" s="1065">
        <f t="shared" si="67"/>
        <v>335</v>
      </c>
      <c r="N182" s="1065">
        <f t="shared" si="67"/>
        <v>330</v>
      </c>
      <c r="O182" s="1065">
        <f t="shared" si="67"/>
        <v>330</v>
      </c>
      <c r="P182" s="1065">
        <f t="shared" si="67"/>
        <v>330</v>
      </c>
      <c r="Q182" s="1065">
        <f t="shared" si="67"/>
        <v>330</v>
      </c>
      <c r="R182" s="1065">
        <f t="shared" si="67"/>
        <v>330</v>
      </c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 s="2" customFormat="1" ht="92.25" hidden="1" customHeight="1" x14ac:dyDescent="0.25">
      <c r="A183" s="1"/>
      <c r="B183" s="76" t="s">
        <v>776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1063">
        <f>J184</f>
        <v>330</v>
      </c>
      <c r="K183" s="1063"/>
      <c r="L183" s="1063">
        <f>L184</f>
        <v>330</v>
      </c>
      <c r="M183" s="1063">
        <v>335</v>
      </c>
      <c r="N183" s="1063">
        <f>N184</f>
        <v>330</v>
      </c>
      <c r="O183" s="1063">
        <f>O184</f>
        <v>330</v>
      </c>
      <c r="P183" s="1063">
        <f>P184</f>
        <v>330</v>
      </c>
      <c r="Q183" s="1063">
        <f>Q184</f>
        <v>330</v>
      </c>
      <c r="R183" s="1063">
        <f>R184</f>
        <v>330</v>
      </c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 s="2" customFormat="1" ht="13.9" hidden="1" customHeight="1" x14ac:dyDescent="0.3">
      <c r="A184" s="1"/>
      <c r="B184" s="16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1063">
        <v>330</v>
      </c>
      <c r="K184" s="1063"/>
      <c r="L184" s="1063">
        <v>330</v>
      </c>
      <c r="M184" s="1063">
        <v>330</v>
      </c>
      <c r="N184" s="1063">
        <v>330</v>
      </c>
      <c r="O184" s="1063">
        <v>330</v>
      </c>
      <c r="P184" s="1063">
        <v>330</v>
      </c>
      <c r="Q184" s="1063">
        <v>330</v>
      </c>
      <c r="R184" s="1063">
        <v>330</v>
      </c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 s="2" customFormat="1" ht="13" hidden="1" thickBot="1" x14ac:dyDescent="0.3">
      <c r="A185" s="1"/>
      <c r="B185" s="6"/>
      <c r="C185" s="5"/>
      <c r="D185" s="4"/>
      <c r="E185" s="4"/>
      <c r="F185" s="4"/>
      <c r="G185" s="4"/>
      <c r="H185" s="4"/>
      <c r="I185" s="4"/>
      <c r="J185" s="1045"/>
      <c r="K185" s="1045"/>
      <c r="L185" s="1045"/>
      <c r="M185" s="1045"/>
      <c r="N185" s="1045"/>
      <c r="O185" s="1045"/>
      <c r="P185" s="1045"/>
      <c r="Q185" s="1045"/>
      <c r="R185" s="1045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 s="2" customFormat="1" ht="13" hidden="1" thickBot="1" x14ac:dyDescent="0.3">
      <c r="A186" s="1"/>
      <c r="B186" s="6"/>
      <c r="C186" s="5"/>
      <c r="D186" s="4"/>
      <c r="E186" s="4"/>
      <c r="F186" s="4"/>
      <c r="G186" s="4"/>
      <c r="H186" s="4"/>
      <c r="I186" s="4"/>
      <c r="J186" s="1045"/>
      <c r="K186" s="1045"/>
      <c r="L186" s="1045"/>
      <c r="M186" s="1045"/>
      <c r="N186" s="1045"/>
      <c r="O186" s="1045"/>
      <c r="P186" s="1045"/>
      <c r="Q186" s="1045"/>
      <c r="R186" s="1045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 s="2" customFormat="1" ht="13" hidden="1" thickBot="1" x14ac:dyDescent="0.3">
      <c r="A187" s="1"/>
      <c r="B187" s="6"/>
      <c r="C187" s="5"/>
      <c r="D187" s="4"/>
      <c r="E187" s="4"/>
      <c r="F187" s="4"/>
      <c r="G187" s="4"/>
      <c r="H187" s="4"/>
      <c r="I187" s="4"/>
      <c r="J187" s="1045"/>
      <c r="K187" s="1045"/>
      <c r="L187" s="1045"/>
      <c r="M187" s="1045"/>
      <c r="N187" s="1045"/>
      <c r="O187" s="1045"/>
      <c r="P187" s="1045"/>
      <c r="Q187" s="1045"/>
      <c r="R187" s="1045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 s="2" customFormat="1" ht="45" x14ac:dyDescent="0.25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1080" t="s">
        <v>319</v>
      </c>
      <c r="K188" s="1081"/>
      <c r="L188" s="184" t="s">
        <v>318</v>
      </c>
      <c r="M188" s="1547" t="s">
        <v>317</v>
      </c>
      <c r="N188" s="1578" t="s">
        <v>844</v>
      </c>
      <c r="O188" s="1776" t="s">
        <v>779</v>
      </c>
      <c r="P188" s="1080" t="s">
        <v>315</v>
      </c>
      <c r="Q188" s="1624" t="s">
        <v>899</v>
      </c>
      <c r="R188" s="1578" t="s">
        <v>997</v>
      </c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 s="2" customFormat="1" ht="15" x14ac:dyDescent="0.25">
      <c r="A189" s="32"/>
      <c r="B189" s="182" t="s">
        <v>314</v>
      </c>
      <c r="C189" s="179"/>
      <c r="D189" s="178"/>
      <c r="E189" s="178"/>
      <c r="F189" s="94"/>
      <c r="G189" s="94"/>
      <c r="H189" s="94"/>
      <c r="I189" s="94"/>
      <c r="J189" s="1082">
        <f>J190+J350</f>
        <v>72325.900000000009</v>
      </c>
      <c r="K189" s="1083"/>
      <c r="L189" s="1084">
        <f t="shared" ref="L189:R189" si="68">L190+L350</f>
        <v>70391</v>
      </c>
      <c r="M189" s="1548">
        <f t="shared" si="68"/>
        <v>70022.100000000006</v>
      </c>
      <c r="N189" s="1579">
        <f t="shared" si="68"/>
        <v>96919.736000000004</v>
      </c>
      <c r="O189" s="1082">
        <f t="shared" si="68"/>
        <v>78381.100000000006</v>
      </c>
      <c r="P189" s="1082">
        <f t="shared" si="68"/>
        <v>79311.600000000006</v>
      </c>
      <c r="Q189" s="1625">
        <f t="shared" si="68"/>
        <v>94576.186999999991</v>
      </c>
      <c r="R189" s="1579">
        <f t="shared" si="68"/>
        <v>94721.56</v>
      </c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 s="2" customFormat="1" ht="15" x14ac:dyDescent="0.25">
      <c r="A190" s="32"/>
      <c r="B190" s="129" t="s">
        <v>313</v>
      </c>
      <c r="C190" s="179"/>
      <c r="D190" s="178"/>
      <c r="E190" s="178"/>
      <c r="F190" s="94"/>
      <c r="G190" s="94"/>
      <c r="H190" s="94"/>
      <c r="I190" s="94"/>
      <c r="J190" s="1084">
        <f>J191+J204+J215+J243+J263+J287+J293+J340</f>
        <v>25287.312000000002</v>
      </c>
      <c r="K190" s="1083"/>
      <c r="L190" s="1084">
        <f>L191+L204+L215+L243+L263+L287+L293+L340</f>
        <v>42242.735000000001</v>
      </c>
      <c r="M190" s="1548">
        <f>M191+M204+M215+M243+M263+M287+M293+M340</f>
        <v>40917.551999999996</v>
      </c>
      <c r="N190" s="1580">
        <f>N340+N305+N293+N287+N263+N243+N215+N204+N191+N313+N326</f>
        <v>66321.972999999998</v>
      </c>
      <c r="O190" s="1084">
        <f>O340+O305+O293+O287+O263+O243+O215+O204+O191</f>
        <v>55959.275000000001</v>
      </c>
      <c r="P190" s="1084">
        <f>P340+P305+P293+P287+P263+P243+P215+P204+P191</f>
        <v>55434.17</v>
      </c>
      <c r="Q190" s="1548">
        <f>Q340+Q305+Q293+Q287+Q263+Q243+Q215+Q204+Q191+Q313+Q326</f>
        <v>64557.609999999993</v>
      </c>
      <c r="R190" s="1580">
        <f>R340+R305+R293+R287+R263+R243+R215+R204+R191+R313+R326</f>
        <v>64531.811000000002</v>
      </c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 s="2" customFormat="1" ht="48" customHeight="1" x14ac:dyDescent="0.25">
      <c r="A191" s="91">
        <v>1</v>
      </c>
      <c r="B191" s="126" t="s">
        <v>906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1085">
        <f>J194+J199</f>
        <v>330</v>
      </c>
      <c r="K191" s="1079"/>
      <c r="L191" s="1079">
        <f t="shared" ref="L191:R191" si="69">L194+L199</f>
        <v>3930</v>
      </c>
      <c r="M191" s="1549">
        <f t="shared" si="69"/>
        <v>1185</v>
      </c>
      <c r="N191" s="1581">
        <f t="shared" si="69"/>
        <v>600</v>
      </c>
      <c r="O191" s="1085">
        <f t="shared" si="69"/>
        <v>450</v>
      </c>
      <c r="P191" s="1085">
        <f t="shared" si="69"/>
        <v>500</v>
      </c>
      <c r="Q191" s="1626">
        <f t="shared" si="69"/>
        <v>650</v>
      </c>
      <c r="R191" s="1581">
        <f t="shared" si="69"/>
        <v>700</v>
      </c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 s="2" customFormat="1" ht="52" hidden="1" x14ac:dyDescent="0.25">
      <c r="A192" s="32"/>
      <c r="B192" s="157" t="s">
        <v>771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1061"/>
      <c r="K192" s="1061"/>
      <c r="L192" s="1061"/>
      <c r="M192" s="1550"/>
      <c r="N192" s="1582"/>
      <c r="O192" s="1087"/>
      <c r="P192" s="1061"/>
      <c r="Q192" s="1550"/>
      <c r="R192" s="1582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 s="2" customFormat="1" ht="52" hidden="1" x14ac:dyDescent="0.25">
      <c r="A193" s="32"/>
      <c r="B193" s="49" t="s">
        <v>772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1061"/>
      <c r="K193" s="1061"/>
      <c r="L193" s="1061"/>
      <c r="M193" s="1550"/>
      <c r="N193" s="1582"/>
      <c r="O193" s="1087"/>
      <c r="P193" s="1061"/>
      <c r="Q193" s="1550"/>
      <c r="R193" s="1582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 s="2" customFormat="1" ht="78" hidden="1" x14ac:dyDescent="0.3">
      <c r="A194" s="32"/>
      <c r="B194" s="157" t="s">
        <v>780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1059">
        <f>J195</f>
        <v>0</v>
      </c>
      <c r="K194" s="1059"/>
      <c r="L194" s="1059">
        <f t="shared" ref="L194:R195" si="70">L195</f>
        <v>3600</v>
      </c>
      <c r="M194" s="1551">
        <f t="shared" si="70"/>
        <v>850</v>
      </c>
      <c r="N194" s="1583">
        <f t="shared" si="70"/>
        <v>0</v>
      </c>
      <c r="O194" s="1088">
        <f t="shared" si="70"/>
        <v>0</v>
      </c>
      <c r="P194" s="1059">
        <f t="shared" si="70"/>
        <v>0</v>
      </c>
      <c r="Q194" s="1551">
        <f t="shared" si="70"/>
        <v>0</v>
      </c>
      <c r="R194" s="1583">
        <f t="shared" si="70"/>
        <v>0</v>
      </c>
      <c r="S194" s="1089"/>
      <c r="T194" s="1089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 s="2" customFormat="1" ht="91" hidden="1" x14ac:dyDescent="0.3">
      <c r="A195" s="32"/>
      <c r="B195" s="49" t="s">
        <v>781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1061">
        <f>J196</f>
        <v>0</v>
      </c>
      <c r="K195" s="1061"/>
      <c r="L195" s="1061">
        <f t="shared" si="70"/>
        <v>3600</v>
      </c>
      <c r="M195" s="1550">
        <f t="shared" si="70"/>
        <v>850</v>
      </c>
      <c r="N195" s="1582">
        <f t="shared" si="70"/>
        <v>0</v>
      </c>
      <c r="O195" s="1087">
        <f t="shared" si="70"/>
        <v>0</v>
      </c>
      <c r="P195" s="1061">
        <f t="shared" si="70"/>
        <v>0</v>
      </c>
      <c r="Q195" s="1550">
        <f t="shared" si="70"/>
        <v>0</v>
      </c>
      <c r="R195" s="1582">
        <f t="shared" si="70"/>
        <v>0</v>
      </c>
      <c r="S195" s="1089"/>
      <c r="T195" s="1089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 s="2" customFormat="1" ht="26" hidden="1" x14ac:dyDescent="0.3">
      <c r="A196" s="32"/>
      <c r="B196" s="15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1061">
        <f>J198</f>
        <v>0</v>
      </c>
      <c r="K196" s="1061"/>
      <c r="L196" s="1061">
        <v>3600</v>
      </c>
      <c r="M196" s="1550">
        <v>850</v>
      </c>
      <c r="N196" s="1582">
        <f>N198</f>
        <v>0</v>
      </c>
      <c r="O196" s="1087">
        <f>O198</f>
        <v>0</v>
      </c>
      <c r="P196" s="1061">
        <f>P198</f>
        <v>0</v>
      </c>
      <c r="Q196" s="1550">
        <f>Q198</f>
        <v>0</v>
      </c>
      <c r="R196" s="1582">
        <f>R198</f>
        <v>0</v>
      </c>
      <c r="S196" s="1089"/>
      <c r="T196" s="1089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 s="2" customFormat="1" ht="52" hidden="1" x14ac:dyDescent="0.3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1063"/>
      <c r="K197" s="1063"/>
      <c r="L197" s="1063"/>
      <c r="M197" s="1125"/>
      <c r="N197" s="1584"/>
      <c r="O197" s="1069"/>
      <c r="P197" s="1063"/>
      <c r="Q197" s="1125"/>
      <c r="R197" s="1584"/>
      <c r="S197" s="1089"/>
      <c r="T197" s="1089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 s="2" customFormat="1" ht="15" hidden="1" x14ac:dyDescent="0.3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 t="s">
        <v>464</v>
      </c>
      <c r="I198" s="9" t="s">
        <v>463</v>
      </c>
      <c r="J198" s="1061"/>
      <c r="K198" s="1061"/>
      <c r="L198" s="1061">
        <v>3600</v>
      </c>
      <c r="M198" s="1550">
        <v>850</v>
      </c>
      <c r="N198" s="1582"/>
      <c r="O198" s="1087"/>
      <c r="P198" s="1061"/>
      <c r="Q198" s="1550"/>
      <c r="R198" s="1582"/>
      <c r="S198" s="1089"/>
      <c r="T198" s="1089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 s="2" customFormat="1" ht="39" x14ac:dyDescent="0.3">
      <c r="A199" s="32"/>
      <c r="B199" s="157" t="s">
        <v>300</v>
      </c>
      <c r="C199" s="9"/>
      <c r="D199" s="9" t="s">
        <v>295</v>
      </c>
      <c r="E199" s="9" t="s">
        <v>62</v>
      </c>
      <c r="F199" s="34" t="s">
        <v>299</v>
      </c>
      <c r="G199" s="9"/>
      <c r="H199" s="9"/>
      <c r="I199" s="9"/>
      <c r="J199" s="1065">
        <f>J200</f>
        <v>330</v>
      </c>
      <c r="K199" s="1065"/>
      <c r="L199" s="1065">
        <f t="shared" ref="L199:R199" si="71">L200</f>
        <v>330</v>
      </c>
      <c r="M199" s="1552">
        <f t="shared" si="71"/>
        <v>335</v>
      </c>
      <c r="N199" s="1585">
        <f t="shared" si="71"/>
        <v>600</v>
      </c>
      <c r="O199" s="1091">
        <f t="shared" si="71"/>
        <v>450</v>
      </c>
      <c r="P199" s="1065">
        <f t="shared" si="71"/>
        <v>500</v>
      </c>
      <c r="Q199" s="1552">
        <f t="shared" si="71"/>
        <v>650</v>
      </c>
      <c r="R199" s="1585">
        <f t="shared" si="71"/>
        <v>700</v>
      </c>
      <c r="S199" s="1089"/>
      <c r="T199" s="1089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 s="2" customFormat="1" ht="39" x14ac:dyDescent="0.25">
      <c r="A200" s="32"/>
      <c r="B200" s="1092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1063">
        <f>J202</f>
        <v>330</v>
      </c>
      <c r="K200" s="1063"/>
      <c r="L200" s="1063">
        <f>L202</f>
        <v>330</v>
      </c>
      <c r="M200" s="1125">
        <v>335</v>
      </c>
      <c r="N200" s="1584">
        <f t="shared" ref="N200:P201" si="72">N202</f>
        <v>600</v>
      </c>
      <c r="O200" s="1069">
        <f t="shared" si="72"/>
        <v>450</v>
      </c>
      <c r="P200" s="1063">
        <f t="shared" si="72"/>
        <v>500</v>
      </c>
      <c r="Q200" s="1125">
        <f t="shared" ref="Q200:R200" si="73">Q202</f>
        <v>650</v>
      </c>
      <c r="R200" s="1584">
        <f t="shared" si="73"/>
        <v>700</v>
      </c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 s="2" customFormat="1" ht="26" x14ac:dyDescent="0.25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1063">
        <f>J203</f>
        <v>330</v>
      </c>
      <c r="K201" s="1063"/>
      <c r="L201" s="1063"/>
      <c r="M201" s="1125"/>
      <c r="N201" s="1584">
        <f t="shared" si="72"/>
        <v>600</v>
      </c>
      <c r="O201" s="1069">
        <f t="shared" si="72"/>
        <v>450</v>
      </c>
      <c r="P201" s="1063">
        <f t="shared" si="72"/>
        <v>500</v>
      </c>
      <c r="Q201" s="1125">
        <f t="shared" ref="Q201:R201" si="74">Q203</f>
        <v>650</v>
      </c>
      <c r="R201" s="1584">
        <f t="shared" si="74"/>
        <v>700</v>
      </c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 s="2" customFormat="1" ht="25.15" customHeight="1" x14ac:dyDescent="0.25">
      <c r="A202" s="32"/>
      <c r="B202" s="15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1063">
        <f>J203</f>
        <v>330</v>
      </c>
      <c r="K202" s="1063"/>
      <c r="L202" s="1063">
        <v>330</v>
      </c>
      <c r="M202" s="1125">
        <v>330</v>
      </c>
      <c r="N202" s="1584">
        <f>N203</f>
        <v>600</v>
      </c>
      <c r="O202" s="1069">
        <f>O203</f>
        <v>450</v>
      </c>
      <c r="P202" s="1063">
        <f>P203</f>
        <v>500</v>
      </c>
      <c r="Q202" s="1125">
        <f>Q203</f>
        <v>650</v>
      </c>
      <c r="R202" s="1584">
        <f>R203</f>
        <v>700</v>
      </c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 ht="13.9" customHeight="1" x14ac:dyDescent="0.25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1063">
        <v>330</v>
      </c>
      <c r="K203" s="1063"/>
      <c r="L203" s="1063">
        <v>330</v>
      </c>
      <c r="M203" s="1125">
        <v>330</v>
      </c>
      <c r="N203" s="1584">
        <v>600</v>
      </c>
      <c r="O203" s="1069">
        <v>450</v>
      </c>
      <c r="P203" s="1063">
        <v>500</v>
      </c>
      <c r="Q203" s="1125">
        <v>650</v>
      </c>
      <c r="R203" s="1584">
        <v>700</v>
      </c>
    </row>
    <row r="204" spans="1:256" s="83" customFormat="1" ht="51.75" customHeight="1" x14ac:dyDescent="0.3">
      <c r="A204" s="91">
        <v>2</v>
      </c>
      <c r="B204" s="52" t="s">
        <v>907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 t="shared" ref="L204:R204" si="75">L206</f>
        <v>305</v>
      </c>
      <c r="M204" s="1553">
        <f t="shared" si="75"/>
        <v>310</v>
      </c>
      <c r="N204" s="1586">
        <f t="shared" si="75"/>
        <v>330</v>
      </c>
      <c r="O204" s="205">
        <f t="shared" si="75"/>
        <v>315</v>
      </c>
      <c r="P204" s="51">
        <f t="shared" si="75"/>
        <v>320</v>
      </c>
      <c r="Q204" s="1553">
        <f t="shared" si="75"/>
        <v>330</v>
      </c>
      <c r="R204" s="1586">
        <f t="shared" si="75"/>
        <v>350</v>
      </c>
      <c r="S204" s="84"/>
      <c r="T204" s="84"/>
      <c r="U204" s="84"/>
      <c r="V204" s="84"/>
      <c r="W204" s="84"/>
      <c r="X204" s="84"/>
    </row>
    <row r="205" spans="1:256" s="83" customFormat="1" ht="78" hidden="1" customHeight="1" x14ac:dyDescent="0.3">
      <c r="A205" s="85"/>
      <c r="B205" s="170" t="s">
        <v>755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1065"/>
      <c r="K205" s="1065"/>
      <c r="L205" s="1065"/>
      <c r="M205" s="1552"/>
      <c r="N205" s="1585"/>
      <c r="O205" s="1091"/>
      <c r="P205" s="1065"/>
      <c r="Q205" s="1552"/>
      <c r="R205" s="1585"/>
      <c r="S205" s="84"/>
      <c r="T205" s="84"/>
      <c r="U205" s="84"/>
      <c r="V205" s="84"/>
      <c r="W205" s="84"/>
      <c r="X205" s="84"/>
    </row>
    <row r="206" spans="1:256" s="83" customFormat="1" ht="39" x14ac:dyDescent="0.3">
      <c r="A206" s="85"/>
      <c r="B206" s="1093" t="s">
        <v>289</v>
      </c>
      <c r="C206" s="9"/>
      <c r="D206" s="33" t="s">
        <v>52</v>
      </c>
      <c r="E206" s="33" t="s">
        <v>49</v>
      </c>
      <c r="F206" s="9" t="s">
        <v>286</v>
      </c>
      <c r="G206" s="9"/>
      <c r="H206" s="9"/>
      <c r="I206" s="33"/>
      <c r="J206" s="1063">
        <f>J208</f>
        <v>305</v>
      </c>
      <c r="K206" s="1065"/>
      <c r="L206" s="1065">
        <f t="shared" ref="L206:R206" si="76">L208</f>
        <v>305</v>
      </c>
      <c r="M206" s="1552">
        <f t="shared" si="76"/>
        <v>310</v>
      </c>
      <c r="N206" s="1584">
        <f t="shared" si="76"/>
        <v>330</v>
      </c>
      <c r="O206" s="1069">
        <f t="shared" si="76"/>
        <v>315</v>
      </c>
      <c r="P206" s="1063">
        <f t="shared" si="76"/>
        <v>320</v>
      </c>
      <c r="Q206" s="1125">
        <f t="shared" si="76"/>
        <v>330</v>
      </c>
      <c r="R206" s="1584">
        <f t="shared" si="76"/>
        <v>350</v>
      </c>
      <c r="S206" s="84"/>
      <c r="T206" s="84"/>
      <c r="U206" s="84"/>
      <c r="V206" s="84"/>
      <c r="W206" s="84"/>
      <c r="X206" s="84"/>
    </row>
    <row r="207" spans="1:256" s="83" customFormat="1" ht="26" x14ac:dyDescent="0.3">
      <c r="A207" s="85"/>
      <c r="B207" s="1094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1063">
        <f>J208</f>
        <v>305</v>
      </c>
      <c r="K207" s="1065"/>
      <c r="L207" s="1065"/>
      <c r="M207" s="1552"/>
      <c r="N207" s="1584">
        <f>N208</f>
        <v>330</v>
      </c>
      <c r="O207" s="1069">
        <f>O208</f>
        <v>315</v>
      </c>
      <c r="P207" s="1063">
        <f>P208</f>
        <v>320</v>
      </c>
      <c r="Q207" s="1125">
        <f>Q208</f>
        <v>330</v>
      </c>
      <c r="R207" s="1584">
        <f>R208</f>
        <v>350</v>
      </c>
      <c r="S207" s="84"/>
      <c r="T207" s="84"/>
      <c r="U207" s="84"/>
      <c r="V207" s="84"/>
      <c r="W207" s="84"/>
      <c r="X207" s="84"/>
    </row>
    <row r="208" spans="1:256" s="83" customFormat="1" ht="25.15" customHeight="1" x14ac:dyDescent="0.3">
      <c r="A208" s="85"/>
      <c r="B208" s="15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1063">
        <f>J214</f>
        <v>305</v>
      </c>
      <c r="K208" s="1065"/>
      <c r="L208" s="1063">
        <v>305</v>
      </c>
      <c r="M208" s="1125">
        <v>310</v>
      </c>
      <c r="N208" s="1584">
        <f>N214</f>
        <v>330</v>
      </c>
      <c r="O208" s="1069">
        <f>O214</f>
        <v>315</v>
      </c>
      <c r="P208" s="1063">
        <f>P214</f>
        <v>320</v>
      </c>
      <c r="Q208" s="1125">
        <f>Q214</f>
        <v>330</v>
      </c>
      <c r="R208" s="1584">
        <f>R214</f>
        <v>350</v>
      </c>
      <c r="S208" s="84"/>
      <c r="T208" s="84"/>
      <c r="U208" s="84"/>
      <c r="V208" s="84"/>
      <c r="W208" s="84"/>
      <c r="X208" s="84"/>
    </row>
    <row r="209" spans="1:256" ht="53.5" hidden="1" customHeight="1" x14ac:dyDescent="0.25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L209" s="2"/>
      <c r="M209" s="1554"/>
      <c r="N209" s="1587"/>
      <c r="O209" s="785"/>
      <c r="P209" s="131"/>
      <c r="Q209" s="1627"/>
      <c r="R209" s="1587"/>
    </row>
    <row r="210" spans="1:256" ht="65" hidden="1" x14ac:dyDescent="0.3">
      <c r="A210" s="32"/>
      <c r="B210" s="168" t="s">
        <v>757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1058"/>
      <c r="K210" s="1058"/>
      <c r="L210" s="1058"/>
      <c r="M210" s="1555"/>
      <c r="N210" s="1588"/>
      <c r="O210" s="1095"/>
      <c r="P210" s="1058"/>
      <c r="Q210" s="1555"/>
      <c r="R210" s="1588"/>
    </row>
    <row r="211" spans="1:256" ht="81.650000000000006" hidden="1" customHeight="1" x14ac:dyDescent="0.3">
      <c r="A211" s="32"/>
      <c r="B211" s="167" t="s">
        <v>758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1058"/>
      <c r="K211" s="1058"/>
      <c r="L211" s="1058"/>
      <c r="M211" s="1555"/>
      <c r="N211" s="1588"/>
      <c r="O211" s="1095"/>
      <c r="P211" s="1058"/>
      <c r="Q211" s="1555"/>
      <c r="R211" s="1588"/>
    </row>
    <row r="212" spans="1:256" ht="81" hidden="1" customHeight="1" x14ac:dyDescent="0.3">
      <c r="A212" s="32"/>
      <c r="B212" s="168" t="s">
        <v>759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1065"/>
      <c r="K212" s="1065"/>
      <c r="L212" s="1065"/>
      <c r="M212" s="1552"/>
      <c r="N212" s="1585"/>
      <c r="O212" s="1091"/>
      <c r="P212" s="1065"/>
      <c r="Q212" s="1552"/>
      <c r="R212" s="1585"/>
    </row>
    <row r="213" spans="1:256" ht="52" hidden="1" x14ac:dyDescent="0.3">
      <c r="A213" s="32"/>
      <c r="B213" s="167" t="s">
        <v>760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1065"/>
      <c r="K213" s="1065"/>
      <c r="L213" s="1065"/>
      <c r="M213" s="1552"/>
      <c r="N213" s="1585"/>
      <c r="O213" s="1091"/>
      <c r="P213" s="1065"/>
      <c r="Q213" s="1552"/>
      <c r="R213" s="1585"/>
    </row>
    <row r="214" spans="1:256" ht="13" x14ac:dyDescent="0.3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1063">
        <v>305</v>
      </c>
      <c r="K214" s="1065"/>
      <c r="L214" s="1063">
        <v>305</v>
      </c>
      <c r="M214" s="1125">
        <v>310</v>
      </c>
      <c r="N214" s="1584">
        <v>330</v>
      </c>
      <c r="O214" s="1069">
        <v>315</v>
      </c>
      <c r="P214" s="1063">
        <v>320</v>
      </c>
      <c r="Q214" s="1125">
        <v>330</v>
      </c>
      <c r="R214" s="1584">
        <v>350</v>
      </c>
    </row>
    <row r="215" spans="1:256" ht="53.25" customHeight="1" x14ac:dyDescent="0.25">
      <c r="A215" s="91">
        <v>3</v>
      </c>
      <c r="B215" s="52" t="s">
        <v>908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J216+J224+J237</f>
        <v>7755.5</v>
      </c>
      <c r="K215" s="51"/>
      <c r="L215" s="51">
        <f t="shared" ref="L215:R215" si="77">L216+L224+L237</f>
        <v>7755.5</v>
      </c>
      <c r="M215" s="1553">
        <f t="shared" si="77"/>
        <v>8382.5</v>
      </c>
      <c r="N215" s="1586">
        <f t="shared" si="77"/>
        <v>16350.599</v>
      </c>
      <c r="O215" s="205">
        <f t="shared" si="77"/>
        <v>8514.5999999999985</v>
      </c>
      <c r="P215" s="51">
        <f t="shared" si="77"/>
        <v>8600</v>
      </c>
      <c r="Q215" s="1553">
        <f t="shared" si="77"/>
        <v>15553.339999999998</v>
      </c>
      <c r="R215" s="1586">
        <f t="shared" si="77"/>
        <v>16146.57</v>
      </c>
    </row>
    <row r="216" spans="1:256" ht="26" x14ac:dyDescent="0.25">
      <c r="A216" s="32"/>
      <c r="B216" s="157" t="s">
        <v>909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1062">
        <f>J220</f>
        <v>272</v>
      </c>
      <c r="K216" s="1062"/>
      <c r="L216" s="1062">
        <f>L220</f>
        <v>172</v>
      </c>
      <c r="M216" s="1556">
        <f>M220</f>
        <v>184</v>
      </c>
      <c r="N216" s="1589">
        <f>N219</f>
        <v>348</v>
      </c>
      <c r="O216" s="1096">
        <f>O219</f>
        <v>302</v>
      </c>
      <c r="P216" s="1062">
        <f>P219</f>
        <v>337</v>
      </c>
      <c r="Q216" s="1556">
        <f>Q219</f>
        <v>362</v>
      </c>
      <c r="R216" s="1589">
        <f>R219</f>
        <v>377</v>
      </c>
    </row>
    <row r="217" spans="1:256" ht="75" hidden="1" customHeight="1" x14ac:dyDescent="0.25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1062"/>
      <c r="K217" s="1062"/>
      <c r="L217" s="1062"/>
      <c r="M217" s="1556"/>
      <c r="N217" s="1589"/>
      <c r="O217" s="1096"/>
      <c r="P217" s="1062"/>
      <c r="Q217" s="1556"/>
      <c r="R217" s="1589"/>
    </row>
    <row r="218" spans="1:256" ht="25.15" hidden="1" customHeight="1" x14ac:dyDescent="0.25">
      <c r="A218" s="32"/>
      <c r="B218" s="15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1062"/>
      <c r="K218" s="1062"/>
      <c r="L218" s="1062"/>
      <c r="M218" s="1556"/>
      <c r="N218" s="1589"/>
      <c r="O218" s="1096"/>
      <c r="P218" s="1062"/>
      <c r="Q218" s="1556"/>
      <c r="R218" s="1589"/>
    </row>
    <row r="219" spans="1:256" s="2" customFormat="1" ht="25.15" customHeight="1" x14ac:dyDescent="0.25">
      <c r="A219" s="32"/>
      <c r="B219" s="1093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1062">
        <f>J220</f>
        <v>272</v>
      </c>
      <c r="K219" s="1062"/>
      <c r="L219" s="1062"/>
      <c r="M219" s="1556"/>
      <c r="N219" s="1589">
        <f t="shared" ref="N219:R221" si="78">N220</f>
        <v>348</v>
      </c>
      <c r="O219" s="1096">
        <f t="shared" si="78"/>
        <v>302</v>
      </c>
      <c r="P219" s="1062">
        <f t="shared" si="78"/>
        <v>337</v>
      </c>
      <c r="Q219" s="1556">
        <f t="shared" si="78"/>
        <v>362</v>
      </c>
      <c r="R219" s="1589">
        <f t="shared" si="78"/>
        <v>377</v>
      </c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spans="1:256" s="2" customFormat="1" ht="26" x14ac:dyDescent="0.25">
      <c r="A220" s="32"/>
      <c r="B220" s="49" t="s">
        <v>266</v>
      </c>
      <c r="C220" s="34"/>
      <c r="D220" s="34" t="s">
        <v>265</v>
      </c>
      <c r="E220" s="34" t="s">
        <v>262</v>
      </c>
      <c r="F220" s="9" t="s">
        <v>263</v>
      </c>
      <c r="G220" s="9"/>
      <c r="H220" s="9"/>
      <c r="I220" s="34"/>
      <c r="J220" s="1062">
        <f>J221</f>
        <v>272</v>
      </c>
      <c r="K220" s="1062"/>
      <c r="L220" s="1062">
        <f>L221</f>
        <v>172</v>
      </c>
      <c r="M220" s="1556">
        <f>M221</f>
        <v>184</v>
      </c>
      <c r="N220" s="1589">
        <f t="shared" si="78"/>
        <v>348</v>
      </c>
      <c r="O220" s="1096">
        <f t="shared" si="78"/>
        <v>302</v>
      </c>
      <c r="P220" s="1062">
        <f t="shared" si="78"/>
        <v>337</v>
      </c>
      <c r="Q220" s="1556">
        <f t="shared" si="78"/>
        <v>362</v>
      </c>
      <c r="R220" s="1589">
        <f t="shared" si="78"/>
        <v>377</v>
      </c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spans="1:256" s="2" customFormat="1" ht="25.15" customHeight="1" x14ac:dyDescent="0.25">
      <c r="A221" s="32"/>
      <c r="B221" s="15" t="s">
        <v>4</v>
      </c>
      <c r="C221" s="34"/>
      <c r="D221" s="34" t="s">
        <v>265</v>
      </c>
      <c r="E221" s="34" t="s">
        <v>262</v>
      </c>
      <c r="F221" s="9" t="s">
        <v>263</v>
      </c>
      <c r="G221" s="9" t="s">
        <v>1</v>
      </c>
      <c r="H221" s="9"/>
      <c r="I221" s="9"/>
      <c r="J221" s="1062">
        <f>J222</f>
        <v>272</v>
      </c>
      <c r="K221" s="1062"/>
      <c r="L221" s="1062">
        <v>172</v>
      </c>
      <c r="M221" s="1556">
        <v>184</v>
      </c>
      <c r="N221" s="1589">
        <f t="shared" si="78"/>
        <v>348</v>
      </c>
      <c r="O221" s="1096">
        <f t="shared" si="78"/>
        <v>302</v>
      </c>
      <c r="P221" s="1062">
        <f t="shared" si="78"/>
        <v>337</v>
      </c>
      <c r="Q221" s="1556">
        <f t="shared" si="78"/>
        <v>362</v>
      </c>
      <c r="R221" s="1589">
        <f t="shared" si="78"/>
        <v>377</v>
      </c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spans="1:256" s="2" customFormat="1" ht="16.899999999999999" customHeight="1" x14ac:dyDescent="0.3">
      <c r="A222" s="32"/>
      <c r="B222" s="86" t="s">
        <v>964</v>
      </c>
      <c r="C222" s="34"/>
      <c r="D222" s="34"/>
      <c r="E222" s="34"/>
      <c r="F222" s="9" t="s">
        <v>263</v>
      </c>
      <c r="G222" s="9" t="s">
        <v>1</v>
      </c>
      <c r="H222" s="9" t="s">
        <v>506</v>
      </c>
      <c r="I222" s="9" t="s">
        <v>506</v>
      </c>
      <c r="J222" s="1062">
        <v>272</v>
      </c>
      <c r="K222" s="1062"/>
      <c r="L222" s="1062">
        <v>172</v>
      </c>
      <c r="M222" s="1556">
        <v>184</v>
      </c>
      <c r="N222" s="1589">
        <v>348</v>
      </c>
      <c r="O222" s="1096">
        <v>302</v>
      </c>
      <c r="P222" s="1062">
        <v>337</v>
      </c>
      <c r="Q222" s="1556">
        <v>362</v>
      </c>
      <c r="R222" s="1589">
        <v>377</v>
      </c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spans="1:256" s="2" customFormat="1" ht="48" hidden="1" customHeight="1" x14ac:dyDescent="0.25">
      <c r="A223" s="91"/>
      <c r="B223" s="52" t="s">
        <v>910</v>
      </c>
      <c r="C223" s="34"/>
      <c r="D223" s="34" t="s">
        <v>246</v>
      </c>
      <c r="E223" s="34" t="s">
        <v>85</v>
      </c>
      <c r="F223" s="34" t="s">
        <v>252</v>
      </c>
      <c r="G223" s="131"/>
      <c r="H223" s="131"/>
      <c r="I223" s="34"/>
      <c r="J223" s="51">
        <f>J224</f>
        <v>6205</v>
      </c>
      <c r="K223" s="51"/>
      <c r="L223" s="51">
        <f t="shared" ref="L223:R223" si="79">L224</f>
        <v>6305</v>
      </c>
      <c r="M223" s="1553">
        <f t="shared" si="79"/>
        <v>6960</v>
      </c>
      <c r="N223" s="1586">
        <f t="shared" si="79"/>
        <v>12968.895</v>
      </c>
      <c r="O223" s="205">
        <f t="shared" si="79"/>
        <v>6962.0999999999995</v>
      </c>
      <c r="P223" s="51">
        <f t="shared" si="79"/>
        <v>6915</v>
      </c>
      <c r="Q223" s="1553">
        <f t="shared" si="79"/>
        <v>12173.939999999999</v>
      </c>
      <c r="R223" s="1586">
        <f t="shared" si="79"/>
        <v>12431.57</v>
      </c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spans="1:256" s="2" customFormat="1" ht="39" x14ac:dyDescent="0.25">
      <c r="A224" s="32"/>
      <c r="B224" s="157" t="s">
        <v>911</v>
      </c>
      <c r="C224" s="9"/>
      <c r="D224" s="9" t="s">
        <v>246</v>
      </c>
      <c r="E224" s="9" t="s">
        <v>85</v>
      </c>
      <c r="F224" s="9" t="s">
        <v>260</v>
      </c>
      <c r="G224" s="9"/>
      <c r="H224" s="9"/>
      <c r="I224" s="9"/>
      <c r="J224" s="1060">
        <f>J226</f>
        <v>6205</v>
      </c>
      <c r="K224" s="1060"/>
      <c r="L224" s="1060">
        <f t="shared" ref="L224:P224" si="80">L226</f>
        <v>6305</v>
      </c>
      <c r="M224" s="1557">
        <f t="shared" si="80"/>
        <v>6960</v>
      </c>
      <c r="N224" s="1590">
        <f>N225</f>
        <v>12968.895</v>
      </c>
      <c r="O224" s="1097">
        <f t="shared" si="80"/>
        <v>6962.0999999999995</v>
      </c>
      <c r="P224" s="1060">
        <f t="shared" si="80"/>
        <v>6915</v>
      </c>
      <c r="Q224" s="1557">
        <f>Q225</f>
        <v>12173.939999999999</v>
      </c>
      <c r="R224" s="1590">
        <f>R225</f>
        <v>12431.57</v>
      </c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spans="1:256" s="2" customFormat="1" ht="13" x14ac:dyDescent="0.25">
      <c r="A225" s="32"/>
      <c r="B225" s="1093" t="s">
        <v>259</v>
      </c>
      <c r="C225" s="9"/>
      <c r="D225" s="9"/>
      <c r="E225" s="9"/>
      <c r="F225" s="9" t="s">
        <v>258</v>
      </c>
      <c r="G225" s="9"/>
      <c r="H225" s="9"/>
      <c r="I225" s="9"/>
      <c r="J225" s="1060">
        <f>J226</f>
        <v>6205</v>
      </c>
      <c r="K225" s="1060"/>
      <c r="L225" s="1060"/>
      <c r="M225" s="1557"/>
      <c r="N225" s="1590">
        <f>N226+N234</f>
        <v>12968.895</v>
      </c>
      <c r="O225" s="1097">
        <f>O226</f>
        <v>6962.0999999999995</v>
      </c>
      <c r="P225" s="1060">
        <f>P226</f>
        <v>6915</v>
      </c>
      <c r="Q225" s="1557">
        <f>Q226+Q234</f>
        <v>12173.939999999999</v>
      </c>
      <c r="R225" s="1590">
        <f>R226+R234</f>
        <v>12431.57</v>
      </c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spans="1:256" s="2" customFormat="1" ht="26" x14ac:dyDescent="0.25">
      <c r="A226" s="32"/>
      <c r="B226" s="49" t="s">
        <v>257</v>
      </c>
      <c r="C226" s="9"/>
      <c r="D226" s="9" t="s">
        <v>246</v>
      </c>
      <c r="E226" s="9" t="s">
        <v>85</v>
      </c>
      <c r="F226" s="9" t="s">
        <v>254</v>
      </c>
      <c r="G226" s="9"/>
      <c r="H226" s="9"/>
      <c r="I226" s="9"/>
      <c r="J226" s="1060">
        <f>J227+J229+J231</f>
        <v>6205</v>
      </c>
      <c r="K226" s="1060"/>
      <c r="L226" s="1060">
        <f t="shared" ref="L226:R226" si="81">L227+L229+L231</f>
        <v>6305</v>
      </c>
      <c r="M226" s="1557">
        <f t="shared" si="81"/>
        <v>6960</v>
      </c>
      <c r="N226" s="1591">
        <f t="shared" si="81"/>
        <v>10302.695</v>
      </c>
      <c r="O226" s="1545">
        <f t="shared" si="81"/>
        <v>6962.0999999999995</v>
      </c>
      <c r="P226" s="1546">
        <f t="shared" si="81"/>
        <v>6915</v>
      </c>
      <c r="Q226" s="1628">
        <f t="shared" si="81"/>
        <v>9507.74</v>
      </c>
      <c r="R226" s="1591">
        <f t="shared" si="81"/>
        <v>9765.3700000000008</v>
      </c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spans="1:256" s="2" customFormat="1" ht="13" x14ac:dyDescent="0.3">
      <c r="A227" s="32"/>
      <c r="B227" s="16" t="s">
        <v>256</v>
      </c>
      <c r="C227" s="9"/>
      <c r="D227" s="9" t="s">
        <v>246</v>
      </c>
      <c r="E227" s="9" t="s">
        <v>85</v>
      </c>
      <c r="F227" s="9" t="s">
        <v>254</v>
      </c>
      <c r="G227" s="9" t="s">
        <v>255</v>
      </c>
      <c r="H227" s="9"/>
      <c r="I227" s="9"/>
      <c r="J227" s="1060">
        <f>J228</f>
        <v>4156.915</v>
      </c>
      <c r="K227" s="1078"/>
      <c r="L227" s="1060">
        <v>5305.1139999999996</v>
      </c>
      <c r="M227" s="1557">
        <v>6631.482</v>
      </c>
      <c r="N227" s="1590">
        <f>N228</f>
        <v>7483.6940000000004</v>
      </c>
      <c r="O227" s="1097">
        <f>O228</f>
        <v>4886.9669999999996</v>
      </c>
      <c r="P227" s="1060">
        <f>P228</f>
        <v>5375.0079999999998</v>
      </c>
      <c r="Q227" s="1557">
        <f>Q228</f>
        <v>7375.74</v>
      </c>
      <c r="R227" s="1590">
        <f>R228</f>
        <v>7670.77</v>
      </c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spans="1:256" s="2" customFormat="1" ht="13" x14ac:dyDescent="0.3">
      <c r="A228" s="32"/>
      <c r="B228" s="16" t="s">
        <v>87</v>
      </c>
      <c r="C228" s="9"/>
      <c r="D228" s="9"/>
      <c r="E228" s="9"/>
      <c r="F228" s="9" t="s">
        <v>254</v>
      </c>
      <c r="G228" s="9" t="s">
        <v>255</v>
      </c>
      <c r="H228" s="9" t="s">
        <v>453</v>
      </c>
      <c r="I228" s="9" t="s">
        <v>456</v>
      </c>
      <c r="J228" s="1060">
        <v>4156.915</v>
      </c>
      <c r="K228" s="1078"/>
      <c r="L228" s="1060"/>
      <c r="M228" s="1557"/>
      <c r="N228" s="1590">
        <f>7092.058+391.636</f>
        <v>7483.6940000000004</v>
      </c>
      <c r="O228" s="1097">
        <v>4886.9669999999996</v>
      </c>
      <c r="P228" s="1060">
        <v>5375.0079999999998</v>
      </c>
      <c r="Q228" s="1557">
        <v>7375.74</v>
      </c>
      <c r="R228" s="1590">
        <v>7670.77</v>
      </c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spans="1:256" s="2" customFormat="1" ht="25.15" customHeight="1" x14ac:dyDescent="0.25">
      <c r="A229" s="32"/>
      <c r="B229" s="15" t="s">
        <v>4</v>
      </c>
      <c r="C229" s="9"/>
      <c r="D229" s="9" t="s">
        <v>246</v>
      </c>
      <c r="E229" s="9" t="s">
        <v>85</v>
      </c>
      <c r="F229" s="9" t="s">
        <v>254</v>
      </c>
      <c r="G229" s="9" t="s">
        <v>1</v>
      </c>
      <c r="H229" s="9"/>
      <c r="I229" s="9"/>
      <c r="J229" s="1060">
        <f>J230</f>
        <v>2047.085</v>
      </c>
      <c r="K229" s="1060"/>
      <c r="L229" s="1060">
        <f>999.886-0.886</f>
        <v>999</v>
      </c>
      <c r="M229" s="1557">
        <v>328</v>
      </c>
      <c r="N229" s="1590">
        <f>N230</f>
        <v>2809.0010000000002</v>
      </c>
      <c r="O229" s="1097">
        <f>O230</f>
        <v>2074.1329999999998</v>
      </c>
      <c r="P229" s="1060">
        <f>P230</f>
        <v>1538.992</v>
      </c>
      <c r="Q229" s="1557">
        <f>Q230</f>
        <v>2122</v>
      </c>
      <c r="R229" s="1590">
        <f>R230</f>
        <v>2084.6</v>
      </c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spans="1:256" s="2" customFormat="1" ht="13" x14ac:dyDescent="0.3">
      <c r="A230" s="32"/>
      <c r="B230" s="16" t="s">
        <v>87</v>
      </c>
      <c r="C230" s="9"/>
      <c r="D230" s="9"/>
      <c r="E230" s="9"/>
      <c r="F230" s="9" t="s">
        <v>254</v>
      </c>
      <c r="G230" s="9" t="s">
        <v>1</v>
      </c>
      <c r="H230" s="9" t="s">
        <v>453</v>
      </c>
      <c r="I230" s="9" t="s">
        <v>456</v>
      </c>
      <c r="J230" s="1060">
        <v>2047.085</v>
      </c>
      <c r="K230" s="1060"/>
      <c r="L230" s="1060"/>
      <c r="M230" s="1557"/>
      <c r="N230" s="1590">
        <v>2809.0010000000002</v>
      </c>
      <c r="O230" s="1097">
        <v>2074.1329999999998</v>
      </c>
      <c r="P230" s="1060">
        <v>1538.992</v>
      </c>
      <c r="Q230" s="1557">
        <v>2122</v>
      </c>
      <c r="R230" s="1590">
        <v>2084.6</v>
      </c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spans="1:256" s="2" customFormat="1" ht="13" x14ac:dyDescent="0.3">
      <c r="A231" s="32"/>
      <c r="B231" s="16" t="s">
        <v>94</v>
      </c>
      <c r="C231" s="9"/>
      <c r="D231" s="9" t="s">
        <v>246</v>
      </c>
      <c r="E231" s="9" t="s">
        <v>85</v>
      </c>
      <c r="F231" s="9" t="s">
        <v>254</v>
      </c>
      <c r="G231" s="9" t="s">
        <v>91</v>
      </c>
      <c r="H231" s="9"/>
      <c r="I231" s="9"/>
      <c r="J231" s="1062">
        <f>J232</f>
        <v>1</v>
      </c>
      <c r="K231" s="1062"/>
      <c r="L231" s="1062">
        <v>0.88600000000000001</v>
      </c>
      <c r="M231" s="1556">
        <v>0.51800000000000002</v>
      </c>
      <c r="N231" s="1589">
        <f>N232</f>
        <v>10</v>
      </c>
      <c r="O231" s="1096">
        <f>O232</f>
        <v>1</v>
      </c>
      <c r="P231" s="1062">
        <f>P232</f>
        <v>1</v>
      </c>
      <c r="Q231" s="1556">
        <f>Q232</f>
        <v>10</v>
      </c>
      <c r="R231" s="1589">
        <f>R232</f>
        <v>10</v>
      </c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spans="1:256" s="2" customFormat="1" ht="13" x14ac:dyDescent="0.3">
      <c r="A232" s="32"/>
      <c r="B232" s="16" t="s">
        <v>87</v>
      </c>
      <c r="C232" s="9"/>
      <c r="D232" s="9"/>
      <c r="E232" s="9"/>
      <c r="F232" s="9" t="s">
        <v>254</v>
      </c>
      <c r="G232" s="9" t="s">
        <v>91</v>
      </c>
      <c r="H232" s="9" t="s">
        <v>453</v>
      </c>
      <c r="I232" s="9" t="s">
        <v>456</v>
      </c>
      <c r="J232" s="1062">
        <v>1</v>
      </c>
      <c r="K232" s="1062"/>
      <c r="L232" s="1062">
        <f>L227+L229+L231</f>
        <v>6305</v>
      </c>
      <c r="M232" s="1556">
        <f>M227+M229+M231</f>
        <v>6960</v>
      </c>
      <c r="N232" s="1589">
        <v>10</v>
      </c>
      <c r="O232" s="1096">
        <v>1</v>
      </c>
      <c r="P232" s="1062">
        <v>1</v>
      </c>
      <c r="Q232" s="1556">
        <v>10</v>
      </c>
      <c r="R232" s="1589">
        <v>10</v>
      </c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 s="2" customFormat="1" ht="39.65" hidden="1" customHeight="1" x14ac:dyDescent="0.25">
      <c r="A233" s="91"/>
      <c r="B233" s="52" t="s">
        <v>910</v>
      </c>
      <c r="C233" s="34"/>
      <c r="D233" s="34" t="s">
        <v>246</v>
      </c>
      <c r="E233" s="34" t="s">
        <v>242</v>
      </c>
      <c r="F233" s="9" t="s">
        <v>252</v>
      </c>
      <c r="G233" s="131"/>
      <c r="H233" s="131"/>
      <c r="I233" s="34"/>
      <c r="J233" s="51">
        <f>J237</f>
        <v>1278.5</v>
      </c>
      <c r="K233" s="51"/>
      <c r="L233" s="51">
        <f t="shared" ref="L233:R233" si="82">L237</f>
        <v>1278.5</v>
      </c>
      <c r="M233" s="1553">
        <f t="shared" si="82"/>
        <v>1238.5</v>
      </c>
      <c r="N233" s="1586">
        <f t="shared" si="82"/>
        <v>3033.7040000000002</v>
      </c>
      <c r="O233" s="205">
        <f t="shared" si="82"/>
        <v>1250.5</v>
      </c>
      <c r="P233" s="51">
        <f t="shared" si="82"/>
        <v>1348</v>
      </c>
      <c r="Q233" s="1553">
        <f t="shared" si="82"/>
        <v>3017.4</v>
      </c>
      <c r="R233" s="1586">
        <f t="shared" si="82"/>
        <v>3338</v>
      </c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 s="2" customFormat="1" ht="26.5" customHeight="1" x14ac:dyDescent="0.3">
      <c r="A234" s="91"/>
      <c r="B234" s="1542" t="s">
        <v>830</v>
      </c>
      <c r="C234" s="735"/>
      <c r="D234" s="77"/>
      <c r="E234" s="77"/>
      <c r="F234" s="34" t="s">
        <v>970</v>
      </c>
      <c r="G234" s="9"/>
      <c r="H234" s="9"/>
      <c r="I234" s="9"/>
      <c r="J234" s="1434"/>
      <c r="K234" s="29"/>
      <c r="L234" s="28"/>
      <c r="M234" s="1558"/>
      <c r="N234" s="1584">
        <f>N235</f>
        <v>2666.2</v>
      </c>
      <c r="O234" s="1069"/>
      <c r="P234" s="1069"/>
      <c r="Q234" s="1436">
        <f>Q235</f>
        <v>2666.2</v>
      </c>
      <c r="R234" s="1584">
        <f>R235</f>
        <v>2666.2</v>
      </c>
      <c r="S234" s="2">
        <v>712.6</v>
      </c>
      <c r="T234" s="2">
        <v>712.6</v>
      </c>
      <c r="U234" s="2">
        <v>712.6</v>
      </c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 s="2" customFormat="1" ht="17.149999999999999" customHeight="1" x14ac:dyDescent="0.3">
      <c r="A235" s="91"/>
      <c r="B235" s="737" t="s">
        <v>256</v>
      </c>
      <c r="C235" s="735"/>
      <c r="D235" s="77"/>
      <c r="E235" s="77"/>
      <c r="F235" s="9" t="s">
        <v>970</v>
      </c>
      <c r="G235" s="9" t="s">
        <v>255</v>
      </c>
      <c r="H235" s="9"/>
      <c r="I235" s="9"/>
      <c r="J235" s="1434"/>
      <c r="K235" s="29"/>
      <c r="L235" s="28"/>
      <c r="M235" s="1558"/>
      <c r="N235" s="1584">
        <f>N236</f>
        <v>2666.2</v>
      </c>
      <c r="O235" s="1069"/>
      <c r="P235" s="1069"/>
      <c r="Q235" s="1436">
        <f>Q236</f>
        <v>2666.2</v>
      </c>
      <c r="R235" s="1584">
        <f>R236</f>
        <v>2666.2</v>
      </c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 s="2" customFormat="1" ht="18" customHeight="1" x14ac:dyDescent="0.3">
      <c r="A236" s="91"/>
      <c r="B236" s="744" t="s">
        <v>87</v>
      </c>
      <c r="C236" s="735"/>
      <c r="D236" s="77"/>
      <c r="E236" s="77"/>
      <c r="F236" s="9" t="s">
        <v>985</v>
      </c>
      <c r="G236" s="9" t="s">
        <v>255</v>
      </c>
      <c r="H236" s="9" t="s">
        <v>453</v>
      </c>
      <c r="I236" s="9" t="s">
        <v>456</v>
      </c>
      <c r="J236" s="1434"/>
      <c r="K236" s="29"/>
      <c r="L236" s="28"/>
      <c r="M236" s="1558"/>
      <c r="N236" s="1584">
        <v>2666.2</v>
      </c>
      <c r="O236" s="1069"/>
      <c r="P236" s="1069"/>
      <c r="Q236" s="1436">
        <v>2666.2</v>
      </c>
      <c r="R236" s="1584">
        <v>2666.2</v>
      </c>
      <c r="S236" s="1697">
        <v>2666.2</v>
      </c>
      <c r="T236" s="1697">
        <v>2666.2</v>
      </c>
      <c r="U236" s="1697">
        <v>2666.2</v>
      </c>
      <c r="V236" s="830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 s="2" customFormat="1" ht="26" x14ac:dyDescent="0.25">
      <c r="A237" s="32"/>
      <c r="B237" s="157" t="s">
        <v>836</v>
      </c>
      <c r="C237" s="9"/>
      <c r="D237" s="9" t="s">
        <v>246</v>
      </c>
      <c r="E237" s="9" t="s">
        <v>242</v>
      </c>
      <c r="F237" s="9" t="s">
        <v>251</v>
      </c>
      <c r="G237" s="9"/>
      <c r="H237" s="9"/>
      <c r="I237" s="9"/>
      <c r="J237" s="1060">
        <f>J239</f>
        <v>1278.5</v>
      </c>
      <c r="K237" s="1060"/>
      <c r="L237" s="1060">
        <f t="shared" ref="L237:R237" si="83">L239</f>
        <v>1278.5</v>
      </c>
      <c r="M237" s="1557">
        <f t="shared" si="83"/>
        <v>1238.5</v>
      </c>
      <c r="N237" s="1590">
        <f t="shared" si="83"/>
        <v>3033.7040000000002</v>
      </c>
      <c r="O237" s="1097">
        <f t="shared" si="83"/>
        <v>1250.5</v>
      </c>
      <c r="P237" s="1060">
        <f t="shared" si="83"/>
        <v>1348</v>
      </c>
      <c r="Q237" s="1557">
        <f t="shared" si="83"/>
        <v>3017.4</v>
      </c>
      <c r="R237" s="1590">
        <f t="shared" si="83"/>
        <v>3338</v>
      </c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 ht="13" x14ac:dyDescent="0.25">
      <c r="A238" s="32"/>
      <c r="B238" s="1093" t="s">
        <v>250</v>
      </c>
      <c r="C238" s="9"/>
      <c r="D238" s="9"/>
      <c r="E238" s="9"/>
      <c r="F238" s="9" t="s">
        <v>249</v>
      </c>
      <c r="G238" s="9"/>
      <c r="H238" s="9"/>
      <c r="I238" s="9"/>
      <c r="J238" s="1060">
        <f>J239</f>
        <v>1278.5</v>
      </c>
      <c r="K238" s="1060"/>
      <c r="L238" s="1060"/>
      <c r="M238" s="1557"/>
      <c r="N238" s="1590">
        <f t="shared" ref="N238:R239" si="84">N239</f>
        <v>3033.7040000000002</v>
      </c>
      <c r="O238" s="1097">
        <f t="shared" si="84"/>
        <v>1250.5</v>
      </c>
      <c r="P238" s="1060">
        <f t="shared" si="84"/>
        <v>1348</v>
      </c>
      <c r="Q238" s="1557">
        <f t="shared" si="84"/>
        <v>3017.4</v>
      </c>
      <c r="R238" s="1590">
        <f t="shared" si="84"/>
        <v>3338</v>
      </c>
    </row>
    <row r="239" spans="1:256" ht="13" x14ac:dyDescent="0.25">
      <c r="A239" s="32"/>
      <c r="B239" s="49" t="s">
        <v>248</v>
      </c>
      <c r="C239" s="9"/>
      <c r="D239" s="9" t="s">
        <v>246</v>
      </c>
      <c r="E239" s="9" t="s">
        <v>242</v>
      </c>
      <c r="F239" s="9" t="s">
        <v>243</v>
      </c>
      <c r="G239" s="9"/>
      <c r="H239" s="9"/>
      <c r="I239" s="9"/>
      <c r="J239" s="1060">
        <f>J240</f>
        <v>1278.5</v>
      </c>
      <c r="K239" s="1060"/>
      <c r="L239" s="1060">
        <f t="shared" ref="L239:M239" si="85">L240</f>
        <v>1278.5</v>
      </c>
      <c r="M239" s="1557">
        <f t="shared" si="85"/>
        <v>1238.5</v>
      </c>
      <c r="N239" s="1590">
        <f t="shared" si="84"/>
        <v>3033.7040000000002</v>
      </c>
      <c r="O239" s="1097">
        <f t="shared" si="84"/>
        <v>1250.5</v>
      </c>
      <c r="P239" s="1060">
        <f t="shared" si="84"/>
        <v>1348</v>
      </c>
      <c r="Q239" s="1557">
        <f t="shared" si="84"/>
        <v>3017.4</v>
      </c>
      <c r="R239" s="1590">
        <f t="shared" si="84"/>
        <v>3338</v>
      </c>
    </row>
    <row r="240" spans="1:256" ht="25.15" customHeight="1" x14ac:dyDescent="0.25">
      <c r="A240" s="32"/>
      <c r="B240" s="15" t="s">
        <v>4</v>
      </c>
      <c r="C240" s="9"/>
      <c r="D240" s="9" t="s">
        <v>246</v>
      </c>
      <c r="E240" s="9" t="s">
        <v>242</v>
      </c>
      <c r="F240" s="9" t="s">
        <v>243</v>
      </c>
      <c r="G240" s="9" t="s">
        <v>1</v>
      </c>
      <c r="H240" s="9"/>
      <c r="I240" s="9"/>
      <c r="J240" s="1060">
        <f>J242</f>
        <v>1278.5</v>
      </c>
      <c r="K240" s="1060"/>
      <c r="L240" s="1060">
        <v>1278.5</v>
      </c>
      <c r="M240" s="1557">
        <v>1238.5</v>
      </c>
      <c r="N240" s="1590">
        <f>N242</f>
        <v>3033.7040000000002</v>
      </c>
      <c r="O240" s="1097">
        <f>O242</f>
        <v>1250.5</v>
      </c>
      <c r="P240" s="1060">
        <f>P242</f>
        <v>1348</v>
      </c>
      <c r="Q240" s="1557">
        <f>Q242</f>
        <v>3017.4</v>
      </c>
      <c r="R240" s="1590">
        <f>R242</f>
        <v>3338</v>
      </c>
    </row>
    <row r="241" spans="1:24" s="162" customFormat="1" ht="52" hidden="1" x14ac:dyDescent="0.3">
      <c r="A241" s="165"/>
      <c r="B241" s="164" t="s">
        <v>247</v>
      </c>
      <c r="C241" s="33"/>
      <c r="D241" s="33" t="s">
        <v>246</v>
      </c>
      <c r="E241" s="9" t="s">
        <v>242</v>
      </c>
      <c r="F241" s="33" t="s">
        <v>245</v>
      </c>
      <c r="G241" s="31"/>
      <c r="H241" s="31"/>
      <c r="I241" s="9"/>
      <c r="J241" s="1062"/>
      <c r="K241" s="1062"/>
      <c r="L241" s="1062"/>
      <c r="M241" s="1556"/>
      <c r="N241" s="1589"/>
      <c r="O241" s="1096"/>
      <c r="P241" s="1062"/>
      <c r="Q241" s="1556"/>
      <c r="R241" s="1589"/>
      <c r="S241" s="163"/>
      <c r="T241" s="163"/>
      <c r="U241" s="163"/>
      <c r="V241" s="163"/>
      <c r="W241" s="163"/>
      <c r="X241" s="163"/>
    </row>
    <row r="242" spans="1:24" s="162" customFormat="1" ht="15" x14ac:dyDescent="0.3">
      <c r="A242" s="165"/>
      <c r="B242" s="164" t="s">
        <v>244</v>
      </c>
      <c r="C242" s="33"/>
      <c r="D242" s="33"/>
      <c r="E242" s="9"/>
      <c r="F242" s="9" t="s">
        <v>243</v>
      </c>
      <c r="G242" s="9" t="s">
        <v>1</v>
      </c>
      <c r="H242" s="9" t="s">
        <v>453</v>
      </c>
      <c r="I242" s="9" t="s">
        <v>452</v>
      </c>
      <c r="J242" s="1060">
        <v>1278.5</v>
      </c>
      <c r="K242" s="1060"/>
      <c r="L242" s="1060">
        <v>1278.5</v>
      </c>
      <c r="M242" s="1557">
        <v>1238.5</v>
      </c>
      <c r="N242" s="1590">
        <v>3033.7040000000002</v>
      </c>
      <c r="O242" s="1097">
        <v>1250.5</v>
      </c>
      <c r="P242" s="1060">
        <v>1348</v>
      </c>
      <c r="Q242" s="1557">
        <v>3017.4</v>
      </c>
      <c r="R242" s="1590">
        <v>3338</v>
      </c>
      <c r="S242" s="163"/>
      <c r="T242" s="163"/>
      <c r="U242" s="163"/>
      <c r="V242" s="163"/>
      <c r="W242" s="163"/>
      <c r="X242" s="163"/>
    </row>
    <row r="243" spans="1:24" ht="39.65" customHeight="1" x14ac:dyDescent="0.25">
      <c r="A243" s="91">
        <v>4</v>
      </c>
      <c r="B243" s="52" t="s">
        <v>912</v>
      </c>
      <c r="C243" s="34"/>
      <c r="D243" s="34" t="s">
        <v>168</v>
      </c>
      <c r="E243" s="34" t="s">
        <v>166</v>
      </c>
      <c r="F243" s="34" t="s">
        <v>240</v>
      </c>
      <c r="G243" s="131"/>
      <c r="H243" s="131"/>
      <c r="I243" s="34"/>
      <c r="J243" s="51">
        <f>J244+J257</f>
        <v>1182</v>
      </c>
      <c r="K243" s="51"/>
      <c r="L243" s="51">
        <f t="shared" ref="L243:R243" si="86">L244+L257</f>
        <v>1182</v>
      </c>
      <c r="M243" s="1553">
        <f t="shared" si="86"/>
        <v>1022</v>
      </c>
      <c r="N243" s="1586">
        <f t="shared" si="86"/>
        <v>836</v>
      </c>
      <c r="O243" s="205">
        <f t="shared" si="86"/>
        <v>1202</v>
      </c>
      <c r="P243" s="51">
        <f t="shared" si="86"/>
        <v>676</v>
      </c>
      <c r="Q243" s="1553">
        <f t="shared" si="86"/>
        <v>1202</v>
      </c>
      <c r="R243" s="1586">
        <f t="shared" si="86"/>
        <v>1250.04</v>
      </c>
    </row>
    <row r="244" spans="1:24" ht="65" x14ac:dyDescent="0.25">
      <c r="A244" s="32"/>
      <c r="B244" s="157" t="s">
        <v>913</v>
      </c>
      <c r="C244" s="9"/>
      <c r="D244" s="9" t="s">
        <v>168</v>
      </c>
      <c r="E244" s="9" t="s">
        <v>166</v>
      </c>
      <c r="F244" s="9" t="s">
        <v>238</v>
      </c>
      <c r="G244" s="88"/>
      <c r="H244" s="88"/>
      <c r="I244" s="9"/>
      <c r="J244" s="1063">
        <f>J245</f>
        <v>496</v>
      </c>
      <c r="K244" s="1063"/>
      <c r="L244" s="1063">
        <f>L246+L254</f>
        <v>496</v>
      </c>
      <c r="M244" s="1125">
        <f>M246+M254</f>
        <v>336</v>
      </c>
      <c r="N244" s="1584">
        <f>N249+N253</f>
        <v>443.32</v>
      </c>
      <c r="O244" s="1069">
        <f>O245+O249</f>
        <v>506</v>
      </c>
      <c r="P244" s="1063">
        <f>P245+P249</f>
        <v>646</v>
      </c>
      <c r="Q244" s="1125">
        <f>Q249+Q253</f>
        <v>606</v>
      </c>
      <c r="R244" s="1584">
        <f>R249+R253</f>
        <v>630.20000000000005</v>
      </c>
    </row>
    <row r="245" spans="1:24" ht="39" hidden="1" x14ac:dyDescent="0.25">
      <c r="A245" s="32"/>
      <c r="B245" s="1093" t="s">
        <v>236</v>
      </c>
      <c r="C245" s="9"/>
      <c r="D245" s="9"/>
      <c r="E245" s="9"/>
      <c r="F245" s="9" t="s">
        <v>235</v>
      </c>
      <c r="G245" s="88"/>
      <c r="H245" s="88"/>
      <c r="I245" s="9"/>
      <c r="J245" s="1063">
        <f>J246+J254</f>
        <v>496</v>
      </c>
      <c r="K245" s="1063"/>
      <c r="L245" s="1063"/>
      <c r="M245" s="1125"/>
      <c r="N245" s="1584">
        <f t="shared" ref="N245:R247" si="87">N246</f>
        <v>0</v>
      </c>
      <c r="O245" s="1069">
        <f t="shared" si="87"/>
        <v>0</v>
      </c>
      <c r="P245" s="1063">
        <f t="shared" si="87"/>
        <v>0</v>
      </c>
      <c r="Q245" s="1125">
        <f t="shared" si="87"/>
        <v>0</v>
      </c>
      <c r="R245" s="1584">
        <f t="shared" si="87"/>
        <v>0</v>
      </c>
    </row>
    <row r="246" spans="1:24" ht="26" hidden="1" x14ac:dyDescent="0.25">
      <c r="A246" s="32"/>
      <c r="B246" s="49" t="s">
        <v>237</v>
      </c>
      <c r="C246" s="9"/>
      <c r="D246" s="9" t="s">
        <v>168</v>
      </c>
      <c r="E246" s="9" t="s">
        <v>166</v>
      </c>
      <c r="F246" s="9" t="s">
        <v>233</v>
      </c>
      <c r="G246" s="88"/>
      <c r="H246" s="88"/>
      <c r="I246" s="9"/>
      <c r="J246" s="1063">
        <f>J247</f>
        <v>296</v>
      </c>
      <c r="K246" s="1063"/>
      <c r="L246" s="1063">
        <f>L247</f>
        <v>296</v>
      </c>
      <c r="M246" s="1125">
        <f>M247</f>
        <v>136</v>
      </c>
      <c r="N246" s="1584">
        <f t="shared" si="87"/>
        <v>0</v>
      </c>
      <c r="O246" s="1069">
        <f t="shared" si="87"/>
        <v>0</v>
      </c>
      <c r="P246" s="1063">
        <f t="shared" si="87"/>
        <v>0</v>
      </c>
      <c r="Q246" s="1125">
        <f t="shared" si="87"/>
        <v>0</v>
      </c>
      <c r="R246" s="1584">
        <f t="shared" si="87"/>
        <v>0</v>
      </c>
    </row>
    <row r="247" spans="1:24" ht="25.15" hidden="1" customHeight="1" x14ac:dyDescent="0.25">
      <c r="A247" s="32"/>
      <c r="B247" s="15" t="s">
        <v>4</v>
      </c>
      <c r="C247" s="9"/>
      <c r="D247" s="9" t="s">
        <v>168</v>
      </c>
      <c r="E247" s="9" t="s">
        <v>166</v>
      </c>
      <c r="F247" s="9" t="s">
        <v>233</v>
      </c>
      <c r="G247" s="88">
        <v>240</v>
      </c>
      <c r="H247" s="88"/>
      <c r="I247" s="9"/>
      <c r="J247" s="1063">
        <f>J248</f>
        <v>296</v>
      </c>
      <c r="K247" s="1063"/>
      <c r="L247" s="1063">
        <v>296</v>
      </c>
      <c r="M247" s="1125">
        <v>136</v>
      </c>
      <c r="N247" s="1584">
        <f t="shared" si="87"/>
        <v>0</v>
      </c>
      <c r="O247" s="1069">
        <f t="shared" si="87"/>
        <v>0</v>
      </c>
      <c r="P247" s="1063">
        <f t="shared" si="87"/>
        <v>0</v>
      </c>
      <c r="Q247" s="1125">
        <f t="shared" si="87"/>
        <v>0</v>
      </c>
      <c r="R247" s="1584">
        <f t="shared" si="87"/>
        <v>0</v>
      </c>
    </row>
    <row r="248" spans="1:24" ht="26" hidden="1" x14ac:dyDescent="0.3">
      <c r="A248" s="32"/>
      <c r="B248" s="82" t="s">
        <v>221</v>
      </c>
      <c r="C248" s="9"/>
      <c r="D248" s="9"/>
      <c r="E248" s="9"/>
      <c r="F248" s="9" t="s">
        <v>233</v>
      </c>
      <c r="G248" s="88">
        <v>240</v>
      </c>
      <c r="H248" s="88">
        <v>3</v>
      </c>
      <c r="I248" s="9" t="s">
        <v>539</v>
      </c>
      <c r="J248" s="1063">
        <v>296</v>
      </c>
      <c r="K248" s="1063"/>
      <c r="L248" s="1063">
        <v>296</v>
      </c>
      <c r="M248" s="1125">
        <v>136</v>
      </c>
      <c r="N248" s="1584"/>
      <c r="O248" s="1069"/>
      <c r="P248" s="1063"/>
      <c r="Q248" s="1125"/>
      <c r="R248" s="1584"/>
    </row>
    <row r="249" spans="1:24" ht="39" x14ac:dyDescent="0.25">
      <c r="A249" s="32"/>
      <c r="B249" s="1093" t="s">
        <v>236</v>
      </c>
      <c r="C249" s="9"/>
      <c r="D249" s="9"/>
      <c r="E249" s="9"/>
      <c r="F249" s="9" t="s">
        <v>235</v>
      </c>
      <c r="G249" s="88"/>
      <c r="H249" s="88"/>
      <c r="I249" s="9"/>
      <c r="J249" s="1063">
        <f>J254</f>
        <v>200</v>
      </c>
      <c r="K249" s="1063"/>
      <c r="L249" s="1063"/>
      <c r="M249" s="1125"/>
      <c r="N249" s="1584">
        <f>N250</f>
        <v>133.32</v>
      </c>
      <c r="O249" s="1069">
        <f>O254+O250</f>
        <v>506</v>
      </c>
      <c r="P249" s="1063">
        <f>P254+P250</f>
        <v>646</v>
      </c>
      <c r="Q249" s="1125">
        <f>Q250</f>
        <v>376</v>
      </c>
      <c r="R249" s="1584">
        <f>R250</f>
        <v>391</v>
      </c>
    </row>
    <row r="250" spans="1:24" ht="26" x14ac:dyDescent="0.25">
      <c r="A250" s="32"/>
      <c r="B250" s="1098" t="s">
        <v>234</v>
      </c>
      <c r="C250" s="9"/>
      <c r="D250" s="9"/>
      <c r="E250" s="9"/>
      <c r="F250" s="9" t="s">
        <v>233</v>
      </c>
      <c r="G250" s="88"/>
      <c r="H250" s="88"/>
      <c r="I250" s="9"/>
      <c r="J250" s="1063"/>
      <c r="K250" s="1063"/>
      <c r="L250" s="1063"/>
      <c r="M250" s="1125"/>
      <c r="N250" s="1584">
        <f t="shared" ref="N250:R251" si="88">N251</f>
        <v>133.32</v>
      </c>
      <c r="O250" s="1069">
        <f t="shared" si="88"/>
        <v>320</v>
      </c>
      <c r="P250" s="1063">
        <f t="shared" si="88"/>
        <v>340</v>
      </c>
      <c r="Q250" s="1125">
        <f t="shared" si="88"/>
        <v>376</v>
      </c>
      <c r="R250" s="1584">
        <f t="shared" si="88"/>
        <v>391</v>
      </c>
    </row>
    <row r="251" spans="1:24" ht="26" x14ac:dyDescent="0.25">
      <c r="A251" s="32"/>
      <c r="B251" s="15" t="s">
        <v>4</v>
      </c>
      <c r="C251" s="9"/>
      <c r="D251" s="9"/>
      <c r="E251" s="9"/>
      <c r="F251" s="9" t="s">
        <v>233</v>
      </c>
      <c r="G251" s="88">
        <v>240</v>
      </c>
      <c r="H251" s="88"/>
      <c r="I251" s="9"/>
      <c r="J251" s="1063"/>
      <c r="K251" s="1063"/>
      <c r="L251" s="1063"/>
      <c r="M251" s="1125"/>
      <c r="N251" s="1584">
        <f t="shared" si="88"/>
        <v>133.32</v>
      </c>
      <c r="O251" s="1069">
        <f t="shared" si="88"/>
        <v>320</v>
      </c>
      <c r="P251" s="1063">
        <f t="shared" si="88"/>
        <v>340</v>
      </c>
      <c r="Q251" s="1125">
        <f t="shared" si="88"/>
        <v>376</v>
      </c>
      <c r="R251" s="1584">
        <f t="shared" si="88"/>
        <v>391</v>
      </c>
    </row>
    <row r="252" spans="1:24" ht="26" x14ac:dyDescent="0.3">
      <c r="A252" s="32"/>
      <c r="B252" s="95" t="s">
        <v>221</v>
      </c>
      <c r="C252" s="9"/>
      <c r="D252" s="9"/>
      <c r="E252" s="9"/>
      <c r="F252" s="9" t="s">
        <v>233</v>
      </c>
      <c r="G252" s="88">
        <v>240</v>
      </c>
      <c r="H252" s="9" t="s">
        <v>495</v>
      </c>
      <c r="I252" s="9" t="s">
        <v>539</v>
      </c>
      <c r="J252" s="1063"/>
      <c r="K252" s="1063"/>
      <c r="L252" s="1063"/>
      <c r="M252" s="1125"/>
      <c r="N252" s="1584">
        <v>133.32</v>
      </c>
      <c r="O252" s="1069">
        <v>320</v>
      </c>
      <c r="P252" s="1063">
        <v>340</v>
      </c>
      <c r="Q252" s="1125">
        <v>376</v>
      </c>
      <c r="R252" s="1584">
        <v>391</v>
      </c>
    </row>
    <row r="253" spans="1:24" ht="13" x14ac:dyDescent="0.25">
      <c r="A253" s="32"/>
      <c r="B253" s="1093" t="s">
        <v>232</v>
      </c>
      <c r="C253" s="9"/>
      <c r="D253" s="9"/>
      <c r="E253" s="9"/>
      <c r="F253" s="9" t="s">
        <v>231</v>
      </c>
      <c r="G253" s="88"/>
      <c r="H253" s="88"/>
      <c r="I253" s="9"/>
      <c r="J253" s="1063"/>
      <c r="K253" s="1063"/>
      <c r="L253" s="1063"/>
      <c r="M253" s="1125"/>
      <c r="N253" s="1584">
        <f t="shared" ref="N253:R255" si="89">N254</f>
        <v>310</v>
      </c>
      <c r="O253" s="1069">
        <f t="shared" si="89"/>
        <v>186</v>
      </c>
      <c r="P253" s="1063">
        <f t="shared" si="89"/>
        <v>306</v>
      </c>
      <c r="Q253" s="1125">
        <f t="shared" si="89"/>
        <v>230</v>
      </c>
      <c r="R253" s="1584">
        <f t="shared" si="89"/>
        <v>239.2</v>
      </c>
    </row>
    <row r="254" spans="1:24" ht="13" x14ac:dyDescent="0.25">
      <c r="A254" s="32"/>
      <c r="B254" s="1098" t="s">
        <v>230</v>
      </c>
      <c r="C254" s="9"/>
      <c r="D254" s="9" t="s">
        <v>168</v>
      </c>
      <c r="E254" s="9" t="s">
        <v>166</v>
      </c>
      <c r="F254" s="9" t="s">
        <v>229</v>
      </c>
      <c r="G254" s="88"/>
      <c r="H254" s="88"/>
      <c r="I254" s="9"/>
      <c r="J254" s="1063">
        <f>J255</f>
        <v>200</v>
      </c>
      <c r="K254" s="1063"/>
      <c r="L254" s="1063">
        <f>L255</f>
        <v>200</v>
      </c>
      <c r="M254" s="1125">
        <f>M255</f>
        <v>200</v>
      </c>
      <c r="N254" s="1584">
        <f t="shared" si="89"/>
        <v>310</v>
      </c>
      <c r="O254" s="1069">
        <f t="shared" si="89"/>
        <v>186</v>
      </c>
      <c r="P254" s="1063">
        <f t="shared" si="89"/>
        <v>306</v>
      </c>
      <c r="Q254" s="1125">
        <f t="shared" si="89"/>
        <v>230</v>
      </c>
      <c r="R254" s="1584">
        <f t="shared" si="89"/>
        <v>239.2</v>
      </c>
    </row>
    <row r="255" spans="1:24" ht="25.15" customHeight="1" x14ac:dyDescent="0.25">
      <c r="A255" s="32"/>
      <c r="B255" s="15" t="s">
        <v>4</v>
      </c>
      <c r="C255" s="9"/>
      <c r="D255" s="9" t="s">
        <v>168</v>
      </c>
      <c r="E255" s="9" t="s">
        <v>166</v>
      </c>
      <c r="F255" s="9" t="s">
        <v>229</v>
      </c>
      <c r="G255" s="88">
        <v>240</v>
      </c>
      <c r="H255" s="88"/>
      <c r="I255" s="9"/>
      <c r="J255" s="1063">
        <f>J256</f>
        <v>200</v>
      </c>
      <c r="K255" s="1063"/>
      <c r="L255" s="1063">
        <v>200</v>
      </c>
      <c r="M255" s="1125">
        <v>200</v>
      </c>
      <c r="N255" s="1584">
        <f t="shared" si="89"/>
        <v>310</v>
      </c>
      <c r="O255" s="1069">
        <f t="shared" si="89"/>
        <v>186</v>
      </c>
      <c r="P255" s="1063">
        <f t="shared" si="89"/>
        <v>306</v>
      </c>
      <c r="Q255" s="1125">
        <f t="shared" si="89"/>
        <v>230</v>
      </c>
      <c r="R255" s="1584">
        <f t="shared" si="89"/>
        <v>239.2</v>
      </c>
    </row>
    <row r="256" spans="1:24" ht="26" x14ac:dyDescent="0.3">
      <c r="A256" s="32"/>
      <c r="B256" s="95" t="s">
        <v>221</v>
      </c>
      <c r="C256" s="9"/>
      <c r="D256" s="9"/>
      <c r="E256" s="9"/>
      <c r="F256" s="9" t="s">
        <v>229</v>
      </c>
      <c r="G256" s="88">
        <v>240</v>
      </c>
      <c r="H256" s="9" t="s">
        <v>495</v>
      </c>
      <c r="I256" s="9" t="s">
        <v>539</v>
      </c>
      <c r="J256" s="1063">
        <v>200</v>
      </c>
      <c r="K256" s="1063"/>
      <c r="L256" s="1063">
        <v>200</v>
      </c>
      <c r="M256" s="1125">
        <v>200</v>
      </c>
      <c r="N256" s="1584">
        <v>310</v>
      </c>
      <c r="O256" s="1069">
        <v>186</v>
      </c>
      <c r="P256" s="1063">
        <v>306</v>
      </c>
      <c r="Q256" s="1125">
        <v>230</v>
      </c>
      <c r="R256" s="1584">
        <v>239.2</v>
      </c>
    </row>
    <row r="257" spans="1:24" ht="65" x14ac:dyDescent="0.25">
      <c r="A257" s="32"/>
      <c r="B257" s="157" t="s">
        <v>783</v>
      </c>
      <c r="C257" s="34"/>
      <c r="D257" s="9" t="s">
        <v>168</v>
      </c>
      <c r="E257" s="9" t="s">
        <v>166</v>
      </c>
      <c r="F257" s="9" t="s">
        <v>227</v>
      </c>
      <c r="G257" s="9"/>
      <c r="H257" s="9"/>
      <c r="I257" s="9"/>
      <c r="J257" s="1063">
        <f>J259</f>
        <v>686</v>
      </c>
      <c r="K257" s="1063"/>
      <c r="L257" s="1063">
        <f>L259</f>
        <v>686</v>
      </c>
      <c r="M257" s="1125">
        <f>M259</f>
        <v>686</v>
      </c>
      <c r="N257" s="1584">
        <f t="shared" ref="N257:R258" si="90">N258</f>
        <v>392.68</v>
      </c>
      <c r="O257" s="1069">
        <f t="shared" si="90"/>
        <v>696</v>
      </c>
      <c r="P257" s="1063">
        <f t="shared" si="90"/>
        <v>30</v>
      </c>
      <c r="Q257" s="1125">
        <f t="shared" si="90"/>
        <v>596</v>
      </c>
      <c r="R257" s="1584">
        <f t="shared" si="90"/>
        <v>619.84</v>
      </c>
    </row>
    <row r="258" spans="1:24" ht="52" x14ac:dyDescent="0.25">
      <c r="A258" s="32"/>
      <c r="B258" s="1093" t="s">
        <v>226</v>
      </c>
      <c r="C258" s="34"/>
      <c r="D258" s="9"/>
      <c r="E258" s="9"/>
      <c r="F258" s="9" t="s">
        <v>225</v>
      </c>
      <c r="G258" s="9"/>
      <c r="H258" s="9"/>
      <c r="I258" s="9"/>
      <c r="J258" s="1063">
        <f>J257</f>
        <v>686</v>
      </c>
      <c r="K258" s="1063"/>
      <c r="L258" s="1063"/>
      <c r="M258" s="1125"/>
      <c r="N258" s="1584">
        <f t="shared" si="90"/>
        <v>392.68</v>
      </c>
      <c r="O258" s="1069">
        <f t="shared" si="90"/>
        <v>696</v>
      </c>
      <c r="P258" s="1063">
        <f t="shared" si="90"/>
        <v>30</v>
      </c>
      <c r="Q258" s="1125">
        <f t="shared" si="90"/>
        <v>596</v>
      </c>
      <c r="R258" s="1584">
        <f t="shared" si="90"/>
        <v>619.84</v>
      </c>
    </row>
    <row r="259" spans="1:24" ht="13" x14ac:dyDescent="0.25">
      <c r="A259" s="32"/>
      <c r="B259" s="1098" t="s">
        <v>224</v>
      </c>
      <c r="C259" s="34"/>
      <c r="D259" s="9" t="s">
        <v>168</v>
      </c>
      <c r="E259" s="9" t="s">
        <v>166</v>
      </c>
      <c r="F259" s="9" t="s">
        <v>220</v>
      </c>
      <c r="G259" s="34"/>
      <c r="H259" s="34"/>
      <c r="I259" s="9"/>
      <c r="J259" s="1063">
        <f>J261</f>
        <v>686</v>
      </c>
      <c r="K259" s="1063"/>
      <c r="L259" s="1063">
        <f t="shared" ref="L259:R259" si="91">L261</f>
        <v>686</v>
      </c>
      <c r="M259" s="1125">
        <f t="shared" si="91"/>
        <v>686</v>
      </c>
      <c r="N259" s="1584">
        <f t="shared" si="91"/>
        <v>392.68</v>
      </c>
      <c r="O259" s="1069">
        <f t="shared" si="91"/>
        <v>696</v>
      </c>
      <c r="P259" s="1063">
        <f t="shared" si="91"/>
        <v>30</v>
      </c>
      <c r="Q259" s="1125">
        <f t="shared" si="91"/>
        <v>596</v>
      </c>
      <c r="R259" s="1584">
        <f t="shared" si="91"/>
        <v>619.84</v>
      </c>
    </row>
    <row r="260" spans="1:24" ht="40.5" hidden="1" customHeight="1" x14ac:dyDescent="0.25">
      <c r="A260" s="32"/>
      <c r="B260" s="42" t="s">
        <v>223</v>
      </c>
      <c r="C260" s="160"/>
      <c r="D260" s="31" t="s">
        <v>168</v>
      </c>
      <c r="E260" s="31" t="s">
        <v>166</v>
      </c>
      <c r="F260" s="31" t="s">
        <v>222</v>
      </c>
      <c r="G260" s="161"/>
      <c r="H260" s="161"/>
      <c r="I260" s="31" t="s">
        <v>166</v>
      </c>
      <c r="J260" s="1069"/>
      <c r="K260" s="1069"/>
      <c r="L260" s="1069"/>
      <c r="M260" s="1436"/>
      <c r="N260" s="1584"/>
      <c r="O260" s="1069"/>
      <c r="P260" s="1069"/>
      <c r="Q260" s="1436"/>
      <c r="R260" s="1584"/>
    </row>
    <row r="261" spans="1:24" ht="25.15" customHeight="1" x14ac:dyDescent="0.25">
      <c r="A261" s="32"/>
      <c r="B261" s="15" t="s">
        <v>4</v>
      </c>
      <c r="C261" s="160"/>
      <c r="D261" s="9" t="s">
        <v>168</v>
      </c>
      <c r="E261" s="9" t="s">
        <v>166</v>
      </c>
      <c r="F261" s="9" t="s">
        <v>220</v>
      </c>
      <c r="G261" s="33" t="s">
        <v>1</v>
      </c>
      <c r="H261" s="33"/>
      <c r="I261" s="9"/>
      <c r="J261" s="1063">
        <v>686</v>
      </c>
      <c r="K261" s="1069"/>
      <c r="L261" s="1063">
        <v>686</v>
      </c>
      <c r="M261" s="1125">
        <v>686</v>
      </c>
      <c r="N261" s="1584">
        <f>N262</f>
        <v>392.68</v>
      </c>
      <c r="O261" s="1069">
        <f>O262</f>
        <v>696</v>
      </c>
      <c r="P261" s="1063">
        <f>P262</f>
        <v>30</v>
      </c>
      <c r="Q261" s="1125">
        <f>Q262</f>
        <v>596</v>
      </c>
      <c r="R261" s="1584">
        <f>R262</f>
        <v>619.84</v>
      </c>
    </row>
    <row r="262" spans="1:24" ht="27.65" customHeight="1" x14ac:dyDescent="0.3">
      <c r="A262" s="32"/>
      <c r="B262" s="95" t="s">
        <v>221</v>
      </c>
      <c r="C262" s="160"/>
      <c r="D262" s="9"/>
      <c r="E262" s="9"/>
      <c r="F262" s="9" t="s">
        <v>220</v>
      </c>
      <c r="G262" s="33" t="s">
        <v>1</v>
      </c>
      <c r="H262" s="9" t="s">
        <v>495</v>
      </c>
      <c r="I262" s="9" t="s">
        <v>539</v>
      </c>
      <c r="J262" s="1063">
        <v>686</v>
      </c>
      <c r="K262" s="1069"/>
      <c r="L262" s="1063">
        <v>686</v>
      </c>
      <c r="M262" s="1125">
        <v>686</v>
      </c>
      <c r="N262" s="1584">
        <v>392.68</v>
      </c>
      <c r="O262" s="1069">
        <v>696</v>
      </c>
      <c r="P262" s="1063">
        <v>30</v>
      </c>
      <c r="Q262" s="1125">
        <v>596</v>
      </c>
      <c r="R262" s="1584">
        <v>619.84</v>
      </c>
    </row>
    <row r="263" spans="1:24" s="83" customFormat="1" ht="38.25" customHeight="1" x14ac:dyDescent="0.3">
      <c r="A263" s="91">
        <v>5</v>
      </c>
      <c r="B263" s="52" t="s">
        <v>914</v>
      </c>
      <c r="C263" s="89"/>
      <c r="D263" s="89" t="s">
        <v>52</v>
      </c>
      <c r="E263" s="89" t="s">
        <v>58</v>
      </c>
      <c r="F263" s="89" t="s">
        <v>218</v>
      </c>
      <c r="G263" s="131"/>
      <c r="H263" s="131"/>
      <c r="I263" s="89"/>
      <c r="J263" s="51">
        <f>J264+J279</f>
        <v>1600</v>
      </c>
      <c r="K263" s="158"/>
      <c r="L263" s="51">
        <f t="shared" ref="L263:R263" si="92">L264+L279</f>
        <v>11444.685000000001</v>
      </c>
      <c r="M263" s="1553">
        <f t="shared" si="92"/>
        <v>14038.547</v>
      </c>
      <c r="N263" s="1586">
        <f t="shared" si="92"/>
        <v>5289.9639999999999</v>
      </c>
      <c r="O263" s="205">
        <f t="shared" si="92"/>
        <v>5740</v>
      </c>
      <c r="P263" s="51">
        <f t="shared" si="92"/>
        <v>5980</v>
      </c>
      <c r="Q263" s="1553">
        <f t="shared" si="92"/>
        <v>3908.3220000000001</v>
      </c>
      <c r="R263" s="1586">
        <f t="shared" si="92"/>
        <v>3021.3209999999999</v>
      </c>
      <c r="S263" s="84"/>
      <c r="T263" s="84"/>
      <c r="U263" s="84"/>
      <c r="V263" s="84"/>
      <c r="W263" s="84"/>
      <c r="X263" s="84"/>
    </row>
    <row r="264" spans="1:24" s="83" customFormat="1" ht="26" x14ac:dyDescent="0.3">
      <c r="A264" s="85"/>
      <c r="B264" s="157" t="s">
        <v>217</v>
      </c>
      <c r="C264" s="33"/>
      <c r="D264" s="33" t="s">
        <v>52</v>
      </c>
      <c r="E264" s="33" t="s">
        <v>58</v>
      </c>
      <c r="F264" s="33" t="s">
        <v>216</v>
      </c>
      <c r="G264" s="33"/>
      <c r="H264" s="33"/>
      <c r="I264" s="33"/>
      <c r="J264" s="1061">
        <f>J265</f>
        <v>800</v>
      </c>
      <c r="K264" s="1063"/>
      <c r="L264" s="1063">
        <f>L266</f>
        <v>10777.685000000001</v>
      </c>
      <c r="M264" s="1550">
        <f>M266</f>
        <v>13305.547</v>
      </c>
      <c r="N264" s="1582">
        <f>N265</f>
        <v>4099.9639999999999</v>
      </c>
      <c r="O264" s="1087">
        <f>O265</f>
        <v>0</v>
      </c>
      <c r="P264" s="1061">
        <f>P265</f>
        <v>0</v>
      </c>
      <c r="Q264" s="1550">
        <f>Q265</f>
        <v>1726.1220000000001</v>
      </c>
      <c r="R264" s="1582">
        <f>R265</f>
        <v>1726.1220000000001</v>
      </c>
      <c r="S264" s="84"/>
      <c r="T264" s="84"/>
      <c r="U264" s="84"/>
      <c r="V264" s="84"/>
      <c r="W264" s="84"/>
      <c r="X264" s="84"/>
    </row>
    <row r="265" spans="1:24" s="83" customFormat="1" ht="52" x14ac:dyDescent="0.3">
      <c r="A265" s="85"/>
      <c r="B265" s="1093" t="s">
        <v>215</v>
      </c>
      <c r="C265" s="33"/>
      <c r="D265" s="33"/>
      <c r="E265" s="33"/>
      <c r="F265" s="33" t="s">
        <v>214</v>
      </c>
      <c r="G265" s="89"/>
      <c r="H265" s="89"/>
      <c r="I265" s="33"/>
      <c r="J265" s="1061">
        <f>J268+J272+J275+J278</f>
        <v>800</v>
      </c>
      <c r="K265" s="1063"/>
      <c r="L265" s="1063"/>
      <c r="M265" s="1550"/>
      <c r="N265" s="1582">
        <f>N268+N272+N278</f>
        <v>4099.9639999999999</v>
      </c>
      <c r="O265" s="1087">
        <f>O268+O272+O278</f>
        <v>0</v>
      </c>
      <c r="P265" s="1061">
        <f>P268+P272+P278</f>
        <v>0</v>
      </c>
      <c r="Q265" s="1550">
        <f>Q268+Q272+Q278</f>
        <v>1726.1220000000001</v>
      </c>
      <c r="R265" s="1582">
        <f>R268+R272+R278</f>
        <v>1726.1220000000001</v>
      </c>
      <c r="S265" s="84"/>
      <c r="T265" s="84"/>
      <c r="U265" s="84"/>
      <c r="V265" s="84"/>
      <c r="W265" s="84"/>
      <c r="X265" s="84"/>
    </row>
    <row r="266" spans="1:24" s="83" customFormat="1" ht="13" x14ac:dyDescent="0.3">
      <c r="A266" s="85"/>
      <c r="B266" s="1098" t="s">
        <v>201</v>
      </c>
      <c r="C266" s="33"/>
      <c r="D266" s="33" t="s">
        <v>52</v>
      </c>
      <c r="E266" s="33" t="s">
        <v>58</v>
      </c>
      <c r="F266" s="33" t="s">
        <v>213</v>
      </c>
      <c r="G266" s="33"/>
      <c r="H266" s="33"/>
      <c r="I266" s="33"/>
      <c r="J266" s="1061">
        <f>J267</f>
        <v>0</v>
      </c>
      <c r="K266" s="1063"/>
      <c r="L266" s="1061">
        <f>L270</f>
        <v>10777.685000000001</v>
      </c>
      <c r="M266" s="1550">
        <f>M270</f>
        <v>13305.547</v>
      </c>
      <c r="N266" s="1582">
        <f t="shared" ref="N266:R267" si="93">N267</f>
        <v>2404.9499999999998</v>
      </c>
      <c r="O266" s="1087">
        <f t="shared" si="93"/>
        <v>0</v>
      </c>
      <c r="P266" s="1061">
        <f t="shared" si="93"/>
        <v>0</v>
      </c>
      <c r="Q266" s="1550">
        <f t="shared" si="93"/>
        <v>0</v>
      </c>
      <c r="R266" s="1582">
        <f t="shared" si="93"/>
        <v>0</v>
      </c>
      <c r="S266" s="84"/>
      <c r="T266" s="84"/>
      <c r="U266" s="84"/>
      <c r="V266" s="84"/>
      <c r="W266" s="84"/>
      <c r="X266" s="84"/>
    </row>
    <row r="267" spans="1:24" s="83" customFormat="1" ht="26" x14ac:dyDescent="0.3">
      <c r="A267" s="85"/>
      <c r="B267" s="15" t="s">
        <v>4</v>
      </c>
      <c r="C267" s="33"/>
      <c r="D267" s="33"/>
      <c r="E267" s="33"/>
      <c r="F267" s="33" t="s">
        <v>213</v>
      </c>
      <c r="G267" s="33" t="s">
        <v>1</v>
      </c>
      <c r="H267" s="33"/>
      <c r="I267" s="33"/>
      <c r="J267" s="1061">
        <f>J268</f>
        <v>0</v>
      </c>
      <c r="K267" s="1063"/>
      <c r="L267" s="1061"/>
      <c r="M267" s="1550"/>
      <c r="N267" s="1582">
        <f t="shared" si="93"/>
        <v>2404.9499999999998</v>
      </c>
      <c r="O267" s="1087">
        <f t="shared" si="93"/>
        <v>0</v>
      </c>
      <c r="P267" s="1061">
        <f t="shared" si="93"/>
        <v>0</v>
      </c>
      <c r="Q267" s="1550">
        <f t="shared" si="93"/>
        <v>0</v>
      </c>
      <c r="R267" s="1582">
        <f t="shared" si="93"/>
        <v>0</v>
      </c>
      <c r="S267" s="84"/>
      <c r="T267" s="84"/>
      <c r="U267" s="84"/>
      <c r="V267" s="84"/>
      <c r="W267" s="84"/>
      <c r="X267" s="84"/>
    </row>
    <row r="268" spans="1:24" s="83" customFormat="1" ht="13" x14ac:dyDescent="0.3">
      <c r="A268" s="85"/>
      <c r="B268" s="16" t="s">
        <v>60</v>
      </c>
      <c r="C268" s="33"/>
      <c r="D268" s="33"/>
      <c r="E268" s="33"/>
      <c r="F268" s="33" t="s">
        <v>213</v>
      </c>
      <c r="G268" s="33" t="s">
        <v>1</v>
      </c>
      <c r="H268" s="9" t="s">
        <v>452</v>
      </c>
      <c r="I268" s="9" t="s">
        <v>539</v>
      </c>
      <c r="J268" s="1061"/>
      <c r="K268" s="1063"/>
      <c r="L268" s="1061"/>
      <c r="M268" s="1550"/>
      <c r="N268" s="1582">
        <v>2404.9499999999998</v>
      </c>
      <c r="O268" s="1087"/>
      <c r="P268" s="1061"/>
      <c r="Q268" s="1550"/>
      <c r="R268" s="1582"/>
      <c r="S268" s="84"/>
      <c r="T268" s="84"/>
      <c r="U268" s="84"/>
      <c r="V268" s="84"/>
      <c r="W268" s="84"/>
      <c r="X268" s="84"/>
    </row>
    <row r="269" spans="1:24" s="83" customFormat="1" ht="26" x14ac:dyDescent="0.3">
      <c r="A269" s="85"/>
      <c r="B269" s="1098" t="s">
        <v>212</v>
      </c>
      <c r="C269" s="33"/>
      <c r="D269" s="33"/>
      <c r="E269" s="33"/>
      <c r="F269" s="33" t="s">
        <v>984</v>
      </c>
      <c r="G269" s="33"/>
      <c r="H269" s="33"/>
      <c r="I269" s="33"/>
      <c r="J269" s="1061">
        <f>J270</f>
        <v>800</v>
      </c>
      <c r="K269" s="1063"/>
      <c r="L269" s="1061"/>
      <c r="M269" s="1550"/>
      <c r="N269" s="1582">
        <f>N270</f>
        <v>1695.0139999999999</v>
      </c>
      <c r="O269" s="1087">
        <f>O270</f>
        <v>0</v>
      </c>
      <c r="P269" s="1061">
        <f>P270</f>
        <v>0</v>
      </c>
      <c r="Q269" s="1550">
        <f>Q270</f>
        <v>1726.1220000000001</v>
      </c>
      <c r="R269" s="1582">
        <f>R270</f>
        <v>1726.1220000000001</v>
      </c>
      <c r="S269" s="84"/>
      <c r="T269" s="84"/>
      <c r="U269" s="84"/>
      <c r="V269" s="84"/>
      <c r="W269" s="84"/>
      <c r="X269" s="84"/>
    </row>
    <row r="270" spans="1:24" s="83" customFormat="1" ht="25.15" customHeight="1" x14ac:dyDescent="0.3">
      <c r="A270" s="85"/>
      <c r="B270" s="15" t="s">
        <v>4</v>
      </c>
      <c r="C270" s="33"/>
      <c r="D270" s="33" t="s">
        <v>52</v>
      </c>
      <c r="E270" s="33" t="s">
        <v>58</v>
      </c>
      <c r="F270" s="33" t="s">
        <v>984</v>
      </c>
      <c r="G270" s="33" t="s">
        <v>1</v>
      </c>
      <c r="H270" s="33"/>
      <c r="I270" s="33"/>
      <c r="J270" s="1061">
        <f>J272</f>
        <v>800</v>
      </c>
      <c r="K270" s="1063"/>
      <c r="L270" s="1061">
        <f>22480.2-11702.515</f>
        <v>10777.685000000001</v>
      </c>
      <c r="M270" s="1550">
        <v>13305.547</v>
      </c>
      <c r="N270" s="1582">
        <f>N272</f>
        <v>1695.0139999999999</v>
      </c>
      <c r="O270" s="1087">
        <f>O272</f>
        <v>0</v>
      </c>
      <c r="P270" s="1061">
        <f>P272</f>
        <v>0</v>
      </c>
      <c r="Q270" s="1550">
        <f>Q272</f>
        <v>1726.1220000000001</v>
      </c>
      <c r="R270" s="1582">
        <f>R272</f>
        <v>1726.1220000000001</v>
      </c>
      <c r="S270" s="84"/>
      <c r="T270" s="84"/>
      <c r="U270" s="84"/>
      <c r="V270" s="84"/>
      <c r="W270" s="84"/>
      <c r="X270" s="84"/>
    </row>
    <row r="271" spans="1:24" s="83" customFormat="1" ht="52" hidden="1" x14ac:dyDescent="0.3">
      <c r="A271" s="85"/>
      <c r="B271" s="90" t="s">
        <v>211</v>
      </c>
      <c r="C271" s="89"/>
      <c r="D271" s="33" t="s">
        <v>52</v>
      </c>
      <c r="E271" s="33" t="s">
        <v>58</v>
      </c>
      <c r="F271" s="33" t="s">
        <v>210</v>
      </c>
      <c r="G271" s="89"/>
      <c r="H271" s="89"/>
      <c r="I271" s="33" t="s">
        <v>58</v>
      </c>
      <c r="J271" s="1063"/>
      <c r="K271" s="1063"/>
      <c r="L271" s="1063"/>
      <c r="M271" s="1125"/>
      <c r="N271" s="1584"/>
      <c r="O271" s="1069"/>
      <c r="P271" s="1063"/>
      <c r="Q271" s="1125"/>
      <c r="R271" s="1584"/>
      <c r="S271" s="84"/>
      <c r="T271" s="84"/>
      <c r="U271" s="84"/>
      <c r="V271" s="84"/>
      <c r="W271" s="84"/>
      <c r="X271" s="84"/>
    </row>
    <row r="272" spans="1:24" s="83" customFormat="1" ht="13" x14ac:dyDescent="0.3">
      <c r="A272" s="85"/>
      <c r="B272" s="16" t="s">
        <v>60</v>
      </c>
      <c r="C272" s="89"/>
      <c r="D272" s="33"/>
      <c r="E272" s="33"/>
      <c r="F272" s="33" t="s">
        <v>984</v>
      </c>
      <c r="G272" s="33" t="s">
        <v>1</v>
      </c>
      <c r="H272" s="9" t="s">
        <v>452</v>
      </c>
      <c r="I272" s="9" t="s">
        <v>539</v>
      </c>
      <c r="J272" s="1061">
        <v>800</v>
      </c>
      <c r="K272" s="1063"/>
      <c r="L272" s="1061">
        <f>22480.2-11702.515</f>
        <v>10777.685000000001</v>
      </c>
      <c r="M272" s="1550">
        <v>13305.547</v>
      </c>
      <c r="N272" s="1582">
        <v>1695.0139999999999</v>
      </c>
      <c r="O272" s="1087"/>
      <c r="P272" s="1061"/>
      <c r="Q272" s="1550">
        <v>1726.1220000000001</v>
      </c>
      <c r="R272" s="1582">
        <v>1726.1220000000001</v>
      </c>
      <c r="S272" s="84"/>
      <c r="T272" s="84"/>
      <c r="U272" s="84"/>
      <c r="V272" s="84"/>
      <c r="W272" s="84"/>
      <c r="X272" s="84"/>
    </row>
    <row r="273" spans="1:256" s="83" customFormat="1" ht="39" hidden="1" x14ac:dyDescent="0.3">
      <c r="A273" s="85"/>
      <c r="B273" s="1098" t="s">
        <v>208</v>
      </c>
      <c r="C273" s="89"/>
      <c r="D273" s="33"/>
      <c r="E273" s="33"/>
      <c r="F273" s="33" t="s">
        <v>207</v>
      </c>
      <c r="G273" s="33"/>
      <c r="H273" s="33"/>
      <c r="I273" s="33"/>
      <c r="J273" s="1061">
        <f>J274</f>
        <v>0</v>
      </c>
      <c r="K273" s="1063"/>
      <c r="L273" s="1061"/>
      <c r="M273" s="1550"/>
      <c r="N273" s="1582">
        <f t="shared" ref="N273:R274" si="94">N274</f>
        <v>0</v>
      </c>
      <c r="O273" s="1087">
        <f t="shared" si="94"/>
        <v>0</v>
      </c>
      <c r="P273" s="1061">
        <f t="shared" si="94"/>
        <v>0</v>
      </c>
      <c r="Q273" s="1550">
        <f t="shared" si="94"/>
        <v>0</v>
      </c>
      <c r="R273" s="1582">
        <f t="shared" si="94"/>
        <v>0</v>
      </c>
      <c r="S273" s="84"/>
      <c r="T273" s="84"/>
      <c r="U273" s="84"/>
      <c r="V273" s="84"/>
      <c r="W273" s="84"/>
      <c r="X273" s="84"/>
    </row>
    <row r="274" spans="1:256" s="83" customFormat="1" ht="26" hidden="1" x14ac:dyDescent="0.3">
      <c r="A274" s="85"/>
      <c r="B274" s="15" t="s">
        <v>4</v>
      </c>
      <c r="C274" s="89"/>
      <c r="D274" s="33"/>
      <c r="E274" s="33"/>
      <c r="F274" s="33" t="s">
        <v>207</v>
      </c>
      <c r="G274" s="33" t="s">
        <v>1</v>
      </c>
      <c r="H274" s="33"/>
      <c r="I274" s="33"/>
      <c r="J274" s="1061">
        <f>J275</f>
        <v>0</v>
      </c>
      <c r="K274" s="1063"/>
      <c r="L274" s="1061"/>
      <c r="M274" s="1550"/>
      <c r="N274" s="1582">
        <f t="shared" si="94"/>
        <v>0</v>
      </c>
      <c r="O274" s="1087">
        <f t="shared" si="94"/>
        <v>0</v>
      </c>
      <c r="P274" s="1061">
        <f t="shared" si="94"/>
        <v>0</v>
      </c>
      <c r="Q274" s="1550">
        <f t="shared" si="94"/>
        <v>0</v>
      </c>
      <c r="R274" s="1582">
        <f t="shared" si="94"/>
        <v>0</v>
      </c>
      <c r="S274" s="84"/>
      <c r="T274" s="84"/>
      <c r="U274" s="84"/>
      <c r="V274" s="84"/>
      <c r="W274" s="84"/>
      <c r="X274" s="84"/>
    </row>
    <row r="275" spans="1:256" s="83" customFormat="1" ht="13" hidden="1" x14ac:dyDescent="0.3">
      <c r="A275" s="85"/>
      <c r="B275" s="16" t="s">
        <v>60</v>
      </c>
      <c r="C275" s="89"/>
      <c r="D275" s="33"/>
      <c r="E275" s="33"/>
      <c r="F275" s="33" t="s">
        <v>207</v>
      </c>
      <c r="G275" s="33" t="s">
        <v>1</v>
      </c>
      <c r="H275" s="33" t="s">
        <v>452</v>
      </c>
      <c r="I275" s="33" t="s">
        <v>539</v>
      </c>
      <c r="J275" s="1061"/>
      <c r="K275" s="1063"/>
      <c r="L275" s="1061"/>
      <c r="M275" s="1550"/>
      <c r="N275" s="1582"/>
      <c r="O275" s="1087"/>
      <c r="P275" s="1061"/>
      <c r="Q275" s="1550"/>
      <c r="R275" s="1582"/>
      <c r="S275" s="84"/>
      <c r="T275" s="84"/>
      <c r="U275" s="84"/>
      <c r="V275" s="84"/>
      <c r="W275" s="84"/>
      <c r="X275" s="84"/>
    </row>
    <row r="276" spans="1:256" s="83" customFormat="1" ht="26" hidden="1" x14ac:dyDescent="0.3">
      <c r="A276" s="85" t="s">
        <v>106</v>
      </c>
      <c r="B276" s="95" t="s">
        <v>206</v>
      </c>
      <c r="C276" s="89"/>
      <c r="D276" s="33"/>
      <c r="E276" s="33"/>
      <c r="F276" s="33" t="s">
        <v>205</v>
      </c>
      <c r="G276" s="33"/>
      <c r="H276" s="33"/>
      <c r="I276" s="33"/>
      <c r="J276" s="1061">
        <f>J277</f>
        <v>0</v>
      </c>
      <c r="K276" s="1063"/>
      <c r="L276" s="1061"/>
      <c r="M276" s="1550"/>
      <c r="N276" s="1582">
        <f t="shared" ref="N276:R277" si="95">N277</f>
        <v>0</v>
      </c>
      <c r="O276" s="1087">
        <f t="shared" si="95"/>
        <v>0</v>
      </c>
      <c r="P276" s="1061">
        <f t="shared" si="95"/>
        <v>0</v>
      </c>
      <c r="Q276" s="1550">
        <f t="shared" si="95"/>
        <v>0</v>
      </c>
      <c r="R276" s="1582">
        <f t="shared" si="95"/>
        <v>0</v>
      </c>
      <c r="S276" s="84"/>
      <c r="T276" s="84"/>
      <c r="U276" s="84"/>
      <c r="V276" s="84"/>
      <c r="W276" s="84"/>
      <c r="X276" s="84"/>
    </row>
    <row r="277" spans="1:256" s="83" customFormat="1" ht="26" hidden="1" x14ac:dyDescent="0.3">
      <c r="A277" s="85"/>
      <c r="B277" s="15" t="s">
        <v>4</v>
      </c>
      <c r="C277" s="89"/>
      <c r="D277" s="33"/>
      <c r="E277" s="33"/>
      <c r="F277" s="33" t="s">
        <v>205</v>
      </c>
      <c r="G277" s="33" t="s">
        <v>1</v>
      </c>
      <c r="H277" s="33"/>
      <c r="I277" s="33"/>
      <c r="J277" s="1061">
        <f>J278</f>
        <v>0</v>
      </c>
      <c r="K277" s="1063"/>
      <c r="L277" s="1061"/>
      <c r="M277" s="1550"/>
      <c r="N277" s="1582">
        <f t="shared" si="95"/>
        <v>0</v>
      </c>
      <c r="O277" s="1087">
        <f t="shared" si="95"/>
        <v>0</v>
      </c>
      <c r="P277" s="1061">
        <f t="shared" si="95"/>
        <v>0</v>
      </c>
      <c r="Q277" s="1550">
        <f t="shared" si="95"/>
        <v>0</v>
      </c>
      <c r="R277" s="1582">
        <f t="shared" si="95"/>
        <v>0</v>
      </c>
      <c r="S277" s="84"/>
      <c r="T277" s="84"/>
      <c r="U277" s="84"/>
      <c r="V277" s="84"/>
      <c r="W277" s="84"/>
      <c r="X277" s="84"/>
    </row>
    <row r="278" spans="1:256" s="83" customFormat="1" ht="13" hidden="1" x14ac:dyDescent="0.3">
      <c r="A278" s="85"/>
      <c r="B278" s="16" t="s">
        <v>60</v>
      </c>
      <c r="C278" s="89"/>
      <c r="D278" s="33"/>
      <c r="E278" s="33"/>
      <c r="F278" s="33" t="s">
        <v>205</v>
      </c>
      <c r="G278" s="33" t="s">
        <v>1</v>
      </c>
      <c r="H278" s="9" t="s">
        <v>452</v>
      </c>
      <c r="I278" s="9" t="s">
        <v>539</v>
      </c>
      <c r="J278" s="1061"/>
      <c r="K278" s="1063"/>
      <c r="L278" s="1061"/>
      <c r="M278" s="1550"/>
      <c r="N278" s="1582"/>
      <c r="O278" s="1087"/>
      <c r="P278" s="1061"/>
      <c r="Q278" s="1550"/>
      <c r="R278" s="1582"/>
      <c r="S278" s="84"/>
      <c r="T278" s="84"/>
      <c r="U278" s="84"/>
      <c r="V278" s="84"/>
      <c r="W278" s="84"/>
      <c r="X278" s="84"/>
    </row>
    <row r="279" spans="1:256" s="83" customFormat="1" ht="39" x14ac:dyDescent="0.3">
      <c r="A279" s="85"/>
      <c r="B279" s="157" t="s">
        <v>837</v>
      </c>
      <c r="C279" s="89"/>
      <c r="D279" s="33" t="s">
        <v>52</v>
      </c>
      <c r="E279" s="33" t="s">
        <v>58</v>
      </c>
      <c r="F279" s="33" t="s">
        <v>204</v>
      </c>
      <c r="G279" s="33"/>
      <c r="H279" s="33"/>
      <c r="I279" s="33"/>
      <c r="J279" s="1063">
        <f>J280</f>
        <v>800</v>
      </c>
      <c r="K279" s="1063"/>
      <c r="L279" s="1063">
        <f>L280</f>
        <v>667</v>
      </c>
      <c r="M279" s="1125">
        <f>M280</f>
        <v>733</v>
      </c>
      <c r="N279" s="1582">
        <f>N283+N286</f>
        <v>1190</v>
      </c>
      <c r="O279" s="1069">
        <f>O283+O286</f>
        <v>5740</v>
      </c>
      <c r="P279" s="1063">
        <f>P283+P286</f>
        <v>5980</v>
      </c>
      <c r="Q279" s="1550">
        <f>Q283+Q286</f>
        <v>2182.1999999999998</v>
      </c>
      <c r="R279" s="1582">
        <f>R283+R286</f>
        <v>1295.1990000000001</v>
      </c>
      <c r="S279" s="84"/>
      <c r="T279" s="84"/>
      <c r="U279" s="84"/>
      <c r="V279" s="84"/>
      <c r="W279" s="84"/>
      <c r="X279" s="84"/>
    </row>
    <row r="280" spans="1:256" s="83" customFormat="1" ht="26" x14ac:dyDescent="0.3">
      <c r="A280" s="85"/>
      <c r="B280" s="1093" t="s">
        <v>203</v>
      </c>
      <c r="C280" s="89"/>
      <c r="D280" s="33" t="s">
        <v>52</v>
      </c>
      <c r="E280" s="33" t="s">
        <v>58</v>
      </c>
      <c r="F280" s="33" t="s">
        <v>202</v>
      </c>
      <c r="G280" s="88"/>
      <c r="H280" s="88"/>
      <c r="I280" s="33"/>
      <c r="J280" s="1063">
        <f>J284</f>
        <v>800</v>
      </c>
      <c r="K280" s="1063"/>
      <c r="L280" s="1063">
        <f>L285</f>
        <v>667</v>
      </c>
      <c r="M280" s="1125">
        <f>M285</f>
        <v>733</v>
      </c>
      <c r="N280" s="1582">
        <f>N284+N283</f>
        <v>1190</v>
      </c>
      <c r="O280" s="1069">
        <f>O284</f>
        <v>500</v>
      </c>
      <c r="P280" s="1063">
        <f>P284</f>
        <v>600</v>
      </c>
      <c r="Q280" s="1550">
        <f>Q284+Q283</f>
        <v>2182.1999999999998</v>
      </c>
      <c r="R280" s="1582">
        <f>R284+R283</f>
        <v>1295.1990000000001</v>
      </c>
      <c r="S280" s="84"/>
      <c r="T280" s="84"/>
      <c r="U280" s="84"/>
      <c r="V280" s="84"/>
      <c r="W280" s="84"/>
      <c r="X280" s="84"/>
    </row>
    <row r="281" spans="1:256" s="83" customFormat="1" ht="13" x14ac:dyDescent="0.3">
      <c r="A281" s="85"/>
      <c r="B281" s="1098" t="s">
        <v>201</v>
      </c>
      <c r="C281" s="89"/>
      <c r="D281" s="33"/>
      <c r="E281" s="33"/>
      <c r="F281" s="33" t="s">
        <v>200</v>
      </c>
      <c r="G281" s="88"/>
      <c r="H281" s="88"/>
      <c r="I281" s="33"/>
      <c r="J281" s="1063"/>
      <c r="K281" s="1063"/>
      <c r="L281" s="1063"/>
      <c r="M281" s="1125"/>
      <c r="N281" s="1582">
        <f t="shared" ref="N281:R282" si="96">N282</f>
        <v>750</v>
      </c>
      <c r="O281" s="1069">
        <f t="shared" si="96"/>
        <v>5240</v>
      </c>
      <c r="P281" s="1063">
        <f t="shared" si="96"/>
        <v>5380</v>
      </c>
      <c r="Q281" s="1550">
        <f t="shared" si="96"/>
        <v>1722.2</v>
      </c>
      <c r="R281" s="1582">
        <f t="shared" si="96"/>
        <v>775.19899999999996</v>
      </c>
      <c r="S281" s="84"/>
      <c r="T281" s="84"/>
      <c r="U281" s="84"/>
      <c r="V281" s="84"/>
      <c r="W281" s="84"/>
      <c r="X281" s="84"/>
    </row>
    <row r="282" spans="1:256" s="83" customFormat="1" ht="26" x14ac:dyDescent="0.3">
      <c r="A282" s="85"/>
      <c r="B282" s="15" t="s">
        <v>4</v>
      </c>
      <c r="C282" s="89"/>
      <c r="D282" s="33"/>
      <c r="E282" s="33"/>
      <c r="F282" s="33" t="s">
        <v>200</v>
      </c>
      <c r="G282" s="88">
        <v>240</v>
      </c>
      <c r="H282" s="88"/>
      <c r="I282" s="33"/>
      <c r="J282" s="1063"/>
      <c r="K282" s="1063"/>
      <c r="L282" s="1063"/>
      <c r="M282" s="1125"/>
      <c r="N282" s="1582">
        <f t="shared" si="96"/>
        <v>750</v>
      </c>
      <c r="O282" s="1069">
        <f t="shared" si="96"/>
        <v>5240</v>
      </c>
      <c r="P282" s="1063">
        <f t="shared" si="96"/>
        <v>5380</v>
      </c>
      <c r="Q282" s="1550">
        <f t="shared" si="96"/>
        <v>1722.2</v>
      </c>
      <c r="R282" s="1582">
        <f t="shared" si="96"/>
        <v>775.19899999999996</v>
      </c>
      <c r="S282" s="84"/>
      <c r="T282" s="84"/>
      <c r="U282" s="84"/>
      <c r="V282" s="84"/>
      <c r="W282" s="84"/>
      <c r="X282" s="84"/>
    </row>
    <row r="283" spans="1:256" s="83" customFormat="1" ht="13" x14ac:dyDescent="0.3">
      <c r="A283" s="85"/>
      <c r="B283" s="16" t="s">
        <v>60</v>
      </c>
      <c r="C283" s="89"/>
      <c r="D283" s="33"/>
      <c r="E283" s="33"/>
      <c r="F283" s="33" t="s">
        <v>200</v>
      </c>
      <c r="G283" s="88">
        <v>240</v>
      </c>
      <c r="H283" s="9" t="s">
        <v>452</v>
      </c>
      <c r="I283" s="9" t="s">
        <v>539</v>
      </c>
      <c r="J283" s="1063"/>
      <c r="K283" s="1063"/>
      <c r="L283" s="1063"/>
      <c r="M283" s="1125"/>
      <c r="N283" s="1582">
        <v>750</v>
      </c>
      <c r="O283" s="1069">
        <v>5240</v>
      </c>
      <c r="P283" s="1063">
        <v>5380</v>
      </c>
      <c r="Q283" s="1550">
        <v>1722.2</v>
      </c>
      <c r="R283" s="1582">
        <v>775.19899999999996</v>
      </c>
      <c r="S283" s="84"/>
      <c r="T283" s="84"/>
      <c r="U283" s="84"/>
      <c r="V283" s="84"/>
      <c r="W283" s="84"/>
      <c r="X283" s="84"/>
    </row>
    <row r="284" spans="1:256" s="83" customFormat="1" ht="26" x14ac:dyDescent="0.3">
      <c r="A284" s="85"/>
      <c r="B284" s="1098" t="s">
        <v>199</v>
      </c>
      <c r="C284" s="89"/>
      <c r="D284" s="33"/>
      <c r="E284" s="33"/>
      <c r="F284" s="33" t="s">
        <v>198</v>
      </c>
      <c r="G284" s="88"/>
      <c r="H284" s="88"/>
      <c r="I284" s="33"/>
      <c r="J284" s="1063">
        <f>J285</f>
        <v>800</v>
      </c>
      <c r="K284" s="1063"/>
      <c r="L284" s="1063"/>
      <c r="M284" s="1125"/>
      <c r="N284" s="1584">
        <f t="shared" ref="N284:R285" si="97">N285</f>
        <v>440</v>
      </c>
      <c r="O284" s="1069">
        <f t="shared" si="97"/>
        <v>500</v>
      </c>
      <c r="P284" s="1063">
        <f t="shared" si="97"/>
        <v>600</v>
      </c>
      <c r="Q284" s="1125">
        <f t="shared" si="97"/>
        <v>460</v>
      </c>
      <c r="R284" s="1584">
        <f t="shared" si="97"/>
        <v>520</v>
      </c>
      <c r="S284" s="84"/>
      <c r="T284" s="84"/>
      <c r="U284" s="84"/>
      <c r="V284" s="84"/>
      <c r="W284" s="84"/>
      <c r="X284" s="84"/>
    </row>
    <row r="285" spans="1:256" s="83" customFormat="1" ht="25.15" customHeight="1" x14ac:dyDescent="0.3">
      <c r="A285" s="85"/>
      <c r="B285" s="15" t="s">
        <v>4</v>
      </c>
      <c r="C285" s="89"/>
      <c r="D285" s="33" t="s">
        <v>52</v>
      </c>
      <c r="E285" s="33" t="s">
        <v>58</v>
      </c>
      <c r="F285" s="33" t="s">
        <v>198</v>
      </c>
      <c r="G285" s="88">
        <v>240</v>
      </c>
      <c r="H285" s="88"/>
      <c r="I285" s="33"/>
      <c r="J285" s="1063">
        <f>J286</f>
        <v>800</v>
      </c>
      <c r="K285" s="1063"/>
      <c r="L285" s="1063">
        <v>667</v>
      </c>
      <c r="M285" s="1125">
        <v>733</v>
      </c>
      <c r="N285" s="1584">
        <f t="shared" si="97"/>
        <v>440</v>
      </c>
      <c r="O285" s="1069">
        <f t="shared" si="97"/>
        <v>500</v>
      </c>
      <c r="P285" s="1063">
        <f t="shared" si="97"/>
        <v>600</v>
      </c>
      <c r="Q285" s="1125">
        <f t="shared" si="97"/>
        <v>460</v>
      </c>
      <c r="R285" s="1584">
        <f t="shared" si="97"/>
        <v>520</v>
      </c>
      <c r="S285" s="84"/>
      <c r="T285" s="84"/>
      <c r="U285" s="84"/>
      <c r="V285" s="84"/>
      <c r="W285" s="84"/>
      <c r="X285" s="84"/>
    </row>
    <row r="286" spans="1:256" s="83" customFormat="1" ht="13" x14ac:dyDescent="0.3">
      <c r="A286" s="85"/>
      <c r="B286" s="16" t="s">
        <v>60</v>
      </c>
      <c r="C286" s="89"/>
      <c r="D286" s="33"/>
      <c r="E286" s="33"/>
      <c r="F286" s="33" t="s">
        <v>198</v>
      </c>
      <c r="G286" s="88">
        <v>240</v>
      </c>
      <c r="H286" s="9" t="s">
        <v>452</v>
      </c>
      <c r="I286" s="9" t="s">
        <v>539</v>
      </c>
      <c r="J286" s="1063">
        <v>800</v>
      </c>
      <c r="K286" s="1063"/>
      <c r="L286" s="1063">
        <v>667</v>
      </c>
      <c r="M286" s="1125">
        <v>733</v>
      </c>
      <c r="N286" s="1584">
        <v>440</v>
      </c>
      <c r="O286" s="1069">
        <v>500</v>
      </c>
      <c r="P286" s="1063">
        <v>600</v>
      </c>
      <c r="Q286" s="1125">
        <v>460</v>
      </c>
      <c r="R286" s="1584">
        <v>520</v>
      </c>
      <c r="S286" s="84"/>
      <c r="T286" s="84"/>
      <c r="U286" s="84"/>
      <c r="V286" s="84"/>
      <c r="W286" s="84"/>
      <c r="X286" s="84"/>
    </row>
    <row r="287" spans="1:256" ht="39" x14ac:dyDescent="0.25">
      <c r="A287" s="156">
        <v>6</v>
      </c>
      <c r="B287" s="155" t="s">
        <v>884</v>
      </c>
      <c r="C287" s="152"/>
      <c r="D287" s="154" t="s">
        <v>15</v>
      </c>
      <c r="E287" s="152" t="s">
        <v>13</v>
      </c>
      <c r="F287" s="152" t="s">
        <v>196</v>
      </c>
      <c r="G287" s="153"/>
      <c r="H287" s="153"/>
      <c r="I287" s="152"/>
      <c r="J287" s="150">
        <f>J288</f>
        <v>3497.6120000000001</v>
      </c>
      <c r="K287" s="151"/>
      <c r="L287" s="150">
        <f>L289</f>
        <v>4000</v>
      </c>
      <c r="M287" s="1559">
        <f>M289</f>
        <v>0</v>
      </c>
      <c r="N287" s="1592">
        <f t="shared" ref="N287:R289" si="98">N288</f>
        <v>3500.703</v>
      </c>
      <c r="O287" s="150">
        <f t="shared" si="98"/>
        <v>48</v>
      </c>
      <c r="P287" s="150">
        <f t="shared" si="98"/>
        <v>816.12</v>
      </c>
      <c r="Q287" s="1559">
        <f t="shared" si="98"/>
        <v>4981.808</v>
      </c>
      <c r="R287" s="1592">
        <f t="shared" si="98"/>
        <v>3700</v>
      </c>
    </row>
    <row r="288" spans="1:256" s="2" customFormat="1" ht="31.15" customHeight="1" x14ac:dyDescent="0.25">
      <c r="A288" s="1099"/>
      <c r="B288" s="1092" t="s">
        <v>195</v>
      </c>
      <c r="C288" s="1092"/>
      <c r="D288" s="1092"/>
      <c r="E288" s="1092"/>
      <c r="F288" s="9" t="s">
        <v>194</v>
      </c>
      <c r="G288" s="1092"/>
      <c r="H288" s="1092"/>
      <c r="I288" s="1092"/>
      <c r="J288" s="1100">
        <f>J289</f>
        <v>3497.6120000000001</v>
      </c>
      <c r="K288" s="1092"/>
      <c r="L288" s="1092"/>
      <c r="M288" s="1560"/>
      <c r="N288" s="1593">
        <f t="shared" si="98"/>
        <v>3500.703</v>
      </c>
      <c r="O288" s="1101">
        <f t="shared" si="98"/>
        <v>48</v>
      </c>
      <c r="P288" s="1100">
        <f t="shared" si="98"/>
        <v>816.12</v>
      </c>
      <c r="Q288" s="1629">
        <f t="shared" si="98"/>
        <v>4981.808</v>
      </c>
      <c r="R288" s="1593">
        <f t="shared" si="98"/>
        <v>3700</v>
      </c>
      <c r="S288" s="1102"/>
      <c r="T288" s="1102"/>
      <c r="U288" s="1102"/>
      <c r="V288" s="1102"/>
      <c r="W288" s="1102"/>
      <c r="X288" s="1102"/>
      <c r="Y288" s="1102"/>
      <c r="Z288" s="1102"/>
      <c r="AA288" s="1102"/>
      <c r="AB288" s="1102"/>
      <c r="AC288" s="1102"/>
      <c r="AD288" s="1102"/>
      <c r="AE288" s="1102"/>
      <c r="AF288" s="1102"/>
      <c r="AG288" s="1102"/>
      <c r="AH288" s="1102"/>
      <c r="AI288" s="1102"/>
      <c r="AJ288" s="1102"/>
      <c r="AK288" s="1102"/>
      <c r="AL288" s="1102"/>
      <c r="AM288" s="1102"/>
      <c r="AN288" s="1102"/>
      <c r="AO288" s="1102"/>
      <c r="AP288" s="1102"/>
      <c r="AQ288" s="1102"/>
      <c r="AR288" s="1102"/>
      <c r="AS288" s="1102"/>
      <c r="AT288" s="1102"/>
      <c r="AU288" s="1102"/>
      <c r="AV288" s="1102"/>
      <c r="AW288" s="1102"/>
      <c r="AX288" s="1102"/>
      <c r="AY288" s="1102"/>
      <c r="AZ288" s="1102"/>
      <c r="BA288" s="1102"/>
      <c r="BB288" s="1102"/>
      <c r="BC288" s="1102"/>
      <c r="BD288" s="1102"/>
      <c r="BE288" s="1102"/>
      <c r="BF288" s="1102"/>
      <c r="BG288" s="1102"/>
      <c r="BH288" s="1102"/>
      <c r="BI288" s="1102"/>
      <c r="BJ288" s="1102"/>
      <c r="BK288" s="1102"/>
      <c r="BL288" s="1102"/>
      <c r="BM288" s="1102"/>
      <c r="BN288" s="1102"/>
      <c r="BO288" s="1102"/>
      <c r="BP288" s="1102"/>
      <c r="BQ288" s="1102"/>
      <c r="BR288" s="1102"/>
      <c r="BS288" s="1102"/>
      <c r="BT288" s="1102"/>
      <c r="BU288" s="1102"/>
      <c r="BV288" s="1102"/>
      <c r="BW288" s="1102"/>
      <c r="BX288" s="1102"/>
      <c r="BY288" s="1102"/>
      <c r="BZ288" s="1102"/>
      <c r="CA288" s="1102"/>
      <c r="CB288" s="1102"/>
      <c r="CC288" s="1102"/>
      <c r="CD288" s="1102"/>
      <c r="CE288" s="1102"/>
      <c r="CF288" s="1102"/>
      <c r="CG288" s="1102"/>
      <c r="CH288" s="1102"/>
      <c r="CI288" s="1102"/>
      <c r="CJ288" s="1102"/>
      <c r="CK288" s="1102"/>
      <c r="CL288" s="1102"/>
      <c r="CM288" s="1102"/>
      <c r="CN288" s="1102"/>
      <c r="CO288" s="1102"/>
      <c r="CP288" s="1102"/>
      <c r="CQ288" s="1102"/>
      <c r="CR288" s="1102"/>
      <c r="CS288" s="1102"/>
      <c r="CT288" s="1102"/>
      <c r="CU288" s="1102"/>
      <c r="CV288" s="1102"/>
      <c r="CW288" s="1102"/>
      <c r="CX288" s="1102"/>
      <c r="CY288" s="1102"/>
      <c r="CZ288" s="1102"/>
      <c r="DA288" s="1102"/>
      <c r="DB288" s="1102"/>
      <c r="DC288" s="1102"/>
      <c r="DD288" s="1102"/>
      <c r="DE288" s="1102"/>
      <c r="DF288" s="1102"/>
      <c r="DG288" s="1102"/>
      <c r="DH288" s="1102"/>
      <c r="DI288" s="1102"/>
      <c r="DJ288" s="1102"/>
      <c r="DK288" s="1102"/>
      <c r="DL288" s="1102"/>
      <c r="DM288" s="1102"/>
      <c r="DN288" s="1102"/>
      <c r="DO288" s="1102"/>
      <c r="DP288" s="1102"/>
      <c r="DQ288" s="1102"/>
      <c r="DR288" s="1102"/>
      <c r="DS288" s="1102"/>
      <c r="DT288" s="1102"/>
      <c r="DU288" s="1102"/>
      <c r="DV288" s="1102"/>
      <c r="DW288" s="1102"/>
      <c r="DX288" s="1102"/>
      <c r="DY288" s="1102"/>
      <c r="DZ288" s="1102"/>
      <c r="EA288" s="1102"/>
      <c r="EB288" s="1102"/>
      <c r="EC288" s="1102"/>
      <c r="ED288" s="1102"/>
      <c r="EE288" s="1102"/>
      <c r="EF288" s="1102"/>
      <c r="EG288" s="1102"/>
      <c r="EH288" s="1102"/>
      <c r="EI288" s="1102"/>
      <c r="EJ288" s="1102"/>
      <c r="EK288" s="1102"/>
      <c r="EL288" s="1102"/>
      <c r="EM288" s="1102"/>
      <c r="EN288" s="1102"/>
      <c r="EO288" s="1102"/>
      <c r="EP288" s="1102"/>
      <c r="EQ288" s="1102"/>
      <c r="ER288" s="1102"/>
      <c r="ES288" s="1102"/>
      <c r="ET288" s="1102"/>
      <c r="EU288" s="1102"/>
      <c r="EV288" s="1102"/>
      <c r="EW288" s="1102"/>
      <c r="EX288" s="1102"/>
      <c r="EY288" s="1102"/>
      <c r="EZ288" s="1102"/>
      <c r="FA288" s="1102"/>
      <c r="FB288" s="1102"/>
      <c r="FC288" s="1102"/>
      <c r="FD288" s="1102"/>
      <c r="FE288" s="1102"/>
      <c r="FF288" s="1102"/>
      <c r="FG288" s="1102"/>
      <c r="FH288" s="1102"/>
      <c r="FI288" s="1102"/>
      <c r="FJ288" s="1102"/>
      <c r="FK288" s="1102"/>
      <c r="FL288" s="1102"/>
      <c r="FM288" s="1102"/>
      <c r="FN288" s="1102"/>
      <c r="FO288" s="1102"/>
      <c r="FP288" s="1102"/>
      <c r="FQ288" s="1102"/>
      <c r="FR288" s="1102"/>
      <c r="FS288" s="1102"/>
      <c r="FT288" s="1102"/>
      <c r="FU288" s="1102"/>
      <c r="FV288" s="1102"/>
      <c r="FW288" s="1102"/>
      <c r="FX288" s="1102"/>
      <c r="FY288" s="1102"/>
      <c r="FZ288" s="1102"/>
      <c r="GA288" s="1102"/>
      <c r="GB288" s="1102"/>
      <c r="GC288" s="1102"/>
      <c r="GD288" s="1102"/>
      <c r="GE288" s="1102"/>
      <c r="GF288" s="1102"/>
      <c r="GG288" s="1102"/>
      <c r="GH288" s="1102"/>
      <c r="GI288" s="1102"/>
      <c r="GJ288" s="1102"/>
      <c r="GK288" s="1102"/>
      <c r="GL288" s="1102"/>
      <c r="GM288" s="1102"/>
      <c r="GN288" s="1102"/>
      <c r="GO288" s="1102"/>
      <c r="GP288" s="1102"/>
      <c r="GQ288" s="1102"/>
      <c r="GR288" s="1102"/>
      <c r="GS288" s="1102"/>
      <c r="GT288" s="1102"/>
      <c r="GU288" s="1102"/>
      <c r="GV288" s="1102"/>
      <c r="GW288" s="1102"/>
      <c r="GX288" s="1102"/>
      <c r="GY288" s="1102"/>
      <c r="GZ288" s="1102"/>
      <c r="HA288" s="1102"/>
      <c r="HB288" s="1102"/>
      <c r="HC288" s="1102"/>
      <c r="HD288" s="1102"/>
      <c r="HE288" s="1102"/>
      <c r="HF288" s="1102"/>
      <c r="HG288" s="1102"/>
      <c r="HH288" s="1102"/>
      <c r="HI288" s="1102"/>
      <c r="HJ288" s="1102"/>
      <c r="HK288" s="1102"/>
      <c r="HL288" s="1102"/>
      <c r="HM288" s="1102"/>
      <c r="HN288" s="1102"/>
      <c r="HO288" s="1102"/>
      <c r="HP288" s="1102"/>
      <c r="HQ288" s="1102"/>
      <c r="HR288" s="1102"/>
      <c r="HS288" s="1102"/>
      <c r="HT288" s="1102"/>
      <c r="HU288" s="1102"/>
      <c r="HV288" s="1102"/>
      <c r="HW288" s="1102"/>
      <c r="HX288" s="1102"/>
      <c r="HY288" s="1102"/>
      <c r="HZ288" s="1102"/>
      <c r="IA288" s="1102"/>
      <c r="IB288" s="1102"/>
      <c r="IC288" s="1102"/>
      <c r="ID288" s="1102"/>
      <c r="IE288" s="1102"/>
      <c r="IF288" s="1102"/>
      <c r="IG288" s="1102"/>
      <c r="IH288" s="1102"/>
      <c r="II288" s="1102"/>
      <c r="IJ288" s="1102"/>
      <c r="IK288" s="1102"/>
      <c r="IL288" s="1102"/>
      <c r="IM288" s="1102"/>
      <c r="IN288" s="1102"/>
      <c r="IO288" s="1102"/>
      <c r="IP288" s="1102"/>
      <c r="IQ288" s="1102"/>
      <c r="IR288" s="1102"/>
      <c r="IS288" s="1102"/>
      <c r="IT288" s="1102"/>
      <c r="IU288" s="1102"/>
      <c r="IV288" s="1102"/>
    </row>
    <row r="289" spans="1:256" ht="26" x14ac:dyDescent="0.25">
      <c r="A289" s="145"/>
      <c r="B289" s="144" t="s">
        <v>193</v>
      </c>
      <c r="C289" s="142"/>
      <c r="D289" s="143" t="s">
        <v>15</v>
      </c>
      <c r="E289" s="142" t="s">
        <v>13</v>
      </c>
      <c r="F289" s="142" t="s">
        <v>191</v>
      </c>
      <c r="G289" s="142"/>
      <c r="H289" s="142"/>
      <c r="I289" s="142"/>
      <c r="J289" s="1103">
        <f>J290</f>
        <v>3497.6120000000001</v>
      </c>
      <c r="K289" s="1104"/>
      <c r="L289" s="1104">
        <f>L290</f>
        <v>4000</v>
      </c>
      <c r="M289" s="1561">
        <f>M290</f>
        <v>0</v>
      </c>
      <c r="N289" s="1594">
        <f t="shared" si="98"/>
        <v>3500.703</v>
      </c>
      <c r="O289" s="1105">
        <f t="shared" si="98"/>
        <v>48</v>
      </c>
      <c r="P289" s="1103">
        <f t="shared" si="98"/>
        <v>816.12</v>
      </c>
      <c r="Q289" s="1630">
        <f t="shared" si="98"/>
        <v>4981.808</v>
      </c>
      <c r="R289" s="1594">
        <f t="shared" si="98"/>
        <v>3700</v>
      </c>
    </row>
    <row r="290" spans="1:256" ht="13" x14ac:dyDescent="0.25">
      <c r="A290" s="32"/>
      <c r="B290" s="58" t="s">
        <v>28</v>
      </c>
      <c r="C290" s="9"/>
      <c r="D290" s="88" t="s">
        <v>15</v>
      </c>
      <c r="E290" s="9" t="s">
        <v>13</v>
      </c>
      <c r="F290" s="9" t="s">
        <v>191</v>
      </c>
      <c r="G290" s="9" t="s">
        <v>26</v>
      </c>
      <c r="H290" s="9"/>
      <c r="I290" s="9"/>
      <c r="J290" s="1061">
        <f>J292</f>
        <v>3497.6120000000001</v>
      </c>
      <c r="K290" s="1075"/>
      <c r="L290" s="1066">
        <v>4000</v>
      </c>
      <c r="M290" s="1552"/>
      <c r="N290" s="1582">
        <f>N292</f>
        <v>3500.703</v>
      </c>
      <c r="O290" s="1087">
        <f>O292</f>
        <v>48</v>
      </c>
      <c r="P290" s="1061">
        <f>P292</f>
        <v>816.12</v>
      </c>
      <c r="Q290" s="1550">
        <f>Q292</f>
        <v>4981.808</v>
      </c>
      <c r="R290" s="1582">
        <f>R292</f>
        <v>3700</v>
      </c>
    </row>
    <row r="291" spans="1:256" ht="52" hidden="1" x14ac:dyDescent="0.25">
      <c r="A291" s="32"/>
      <c r="B291" s="58" t="s">
        <v>192</v>
      </c>
      <c r="C291" s="9"/>
      <c r="D291" s="88" t="s">
        <v>15</v>
      </c>
      <c r="E291" s="9" t="s">
        <v>13</v>
      </c>
      <c r="F291" s="9" t="s">
        <v>191</v>
      </c>
      <c r="G291" s="9"/>
      <c r="H291" s="9"/>
      <c r="I291" s="9" t="s">
        <v>13</v>
      </c>
      <c r="J291" s="1065"/>
      <c r="K291" s="1065"/>
      <c r="L291" s="1065"/>
      <c r="M291" s="1552"/>
      <c r="N291" s="1585"/>
      <c r="O291" s="1091"/>
      <c r="P291" s="1065"/>
      <c r="Q291" s="1552"/>
      <c r="R291" s="1585"/>
    </row>
    <row r="292" spans="1:256" ht="13" x14ac:dyDescent="0.25">
      <c r="A292" s="32"/>
      <c r="B292" s="58" t="s">
        <v>39</v>
      </c>
      <c r="C292" s="9"/>
      <c r="D292" s="88"/>
      <c r="E292" s="9"/>
      <c r="F292" s="9" t="s">
        <v>191</v>
      </c>
      <c r="G292" s="9" t="s">
        <v>26</v>
      </c>
      <c r="H292" s="9" t="s">
        <v>463</v>
      </c>
      <c r="I292" s="9" t="s">
        <v>488</v>
      </c>
      <c r="J292" s="1061">
        <v>3497.6120000000001</v>
      </c>
      <c r="K292" s="1065"/>
      <c r="L292" s="1065"/>
      <c r="M292" s="1552"/>
      <c r="N292" s="1582">
        <v>3500.703</v>
      </c>
      <c r="O292" s="1087">
        <v>48</v>
      </c>
      <c r="P292" s="1061">
        <v>816.12</v>
      </c>
      <c r="Q292" s="1550">
        <v>4981.808</v>
      </c>
      <c r="R292" s="1582">
        <v>3700</v>
      </c>
    </row>
    <row r="293" spans="1:256" ht="42" customHeight="1" x14ac:dyDescent="0.25">
      <c r="A293" s="91">
        <v>7</v>
      </c>
      <c r="B293" s="132" t="s">
        <v>915</v>
      </c>
      <c r="C293" s="9"/>
      <c r="D293" s="34" t="s">
        <v>15</v>
      </c>
      <c r="E293" s="34" t="s">
        <v>32</v>
      </c>
      <c r="F293" s="34" t="s">
        <v>189</v>
      </c>
      <c r="G293" s="131"/>
      <c r="H293" s="131"/>
      <c r="I293" s="34"/>
      <c r="J293" s="51">
        <f>J294</f>
        <v>7617.2000000000007</v>
      </c>
      <c r="K293" s="131"/>
      <c r="L293" s="51">
        <f>L295+L298</f>
        <v>7617.2</v>
      </c>
      <c r="M293" s="1562">
        <f>M295+M298</f>
        <v>7463.8</v>
      </c>
      <c r="N293" s="1586">
        <f>N294</f>
        <v>31428.5</v>
      </c>
      <c r="O293" s="205">
        <f>O294</f>
        <v>32518.875</v>
      </c>
      <c r="P293" s="51">
        <f>P294</f>
        <v>31004.17</v>
      </c>
      <c r="Q293" s="1553">
        <f>Q294</f>
        <v>33058.639999999999</v>
      </c>
      <c r="R293" s="1586">
        <f>R294</f>
        <v>34696.880000000005</v>
      </c>
    </row>
    <row r="294" spans="1:256" ht="56.5" customHeight="1" x14ac:dyDescent="0.25">
      <c r="A294" s="91"/>
      <c r="B294" s="1098" t="s">
        <v>188</v>
      </c>
      <c r="C294" s="9"/>
      <c r="D294" s="34"/>
      <c r="E294" s="34"/>
      <c r="F294" s="9" t="s">
        <v>187</v>
      </c>
      <c r="G294" s="131"/>
      <c r="H294" s="131"/>
      <c r="I294" s="34"/>
      <c r="J294" s="47">
        <f>J295+J298</f>
        <v>7617.2000000000007</v>
      </c>
      <c r="K294" s="131"/>
      <c r="L294" s="51"/>
      <c r="M294" s="1562"/>
      <c r="N294" s="1595">
        <f>N295+N298</f>
        <v>31428.5</v>
      </c>
      <c r="O294" s="791">
        <f>O295+O298</f>
        <v>32518.875</v>
      </c>
      <c r="P294" s="47">
        <f>P295+P298</f>
        <v>31004.17</v>
      </c>
      <c r="Q294" s="209">
        <f>Q295+Q298</f>
        <v>33058.639999999999</v>
      </c>
      <c r="R294" s="1595">
        <f>R295+R298</f>
        <v>34696.880000000005</v>
      </c>
    </row>
    <row r="295" spans="1:256" ht="39" x14ac:dyDescent="0.25">
      <c r="A295" s="32"/>
      <c r="B295" s="49" t="s">
        <v>186</v>
      </c>
      <c r="C295" s="9"/>
      <c r="D295" s="34" t="s">
        <v>15</v>
      </c>
      <c r="E295" s="34" t="s">
        <v>32</v>
      </c>
      <c r="F295" s="9" t="s">
        <v>185</v>
      </c>
      <c r="G295" s="9"/>
      <c r="H295" s="9"/>
      <c r="I295" s="34"/>
      <c r="J295" s="1061">
        <f>J296</f>
        <v>5253.4660000000003</v>
      </c>
      <c r="K295" s="1065"/>
      <c r="L295" s="1065">
        <f t="shared" ref="L295:R295" si="99">L296</f>
        <v>5406.2</v>
      </c>
      <c r="M295" s="1552">
        <f t="shared" si="99"/>
        <v>5230.3</v>
      </c>
      <c r="N295" s="1582">
        <f t="shared" si="99"/>
        <v>2300</v>
      </c>
      <c r="O295" s="1087">
        <f t="shared" si="99"/>
        <v>10043.379999999999</v>
      </c>
      <c r="P295" s="1061">
        <f t="shared" si="99"/>
        <v>6288.7259999999997</v>
      </c>
      <c r="Q295" s="1550">
        <f t="shared" si="99"/>
        <v>2500</v>
      </c>
      <c r="R295" s="1582">
        <f t="shared" si="99"/>
        <v>2800</v>
      </c>
    </row>
    <row r="296" spans="1:256" ht="25.15" customHeight="1" x14ac:dyDescent="0.25">
      <c r="A296" s="32"/>
      <c r="B296" s="15" t="s">
        <v>4</v>
      </c>
      <c r="C296" s="9"/>
      <c r="D296" s="9" t="s">
        <v>15</v>
      </c>
      <c r="E296" s="9" t="s">
        <v>32</v>
      </c>
      <c r="F296" s="9" t="s">
        <v>185</v>
      </c>
      <c r="G296" s="9" t="s">
        <v>1</v>
      </c>
      <c r="H296" s="9"/>
      <c r="I296" s="9"/>
      <c r="J296" s="1061">
        <f>J297</f>
        <v>5253.4660000000003</v>
      </c>
      <c r="K296" s="1065"/>
      <c r="L296" s="1061">
        <v>5406.2</v>
      </c>
      <c r="M296" s="1550">
        <v>5230.3</v>
      </c>
      <c r="N296" s="1582">
        <f>N297</f>
        <v>2300</v>
      </c>
      <c r="O296" s="1087">
        <f>O297</f>
        <v>10043.379999999999</v>
      </c>
      <c r="P296" s="1061">
        <f>P297</f>
        <v>6288.7259999999997</v>
      </c>
      <c r="Q296" s="1550">
        <f>Q297</f>
        <v>2500</v>
      </c>
      <c r="R296" s="1582">
        <f>R297</f>
        <v>2800</v>
      </c>
    </row>
    <row r="297" spans="1:256" ht="13" x14ac:dyDescent="0.3">
      <c r="A297" s="32"/>
      <c r="B297" s="16" t="s">
        <v>34</v>
      </c>
      <c r="C297" s="9"/>
      <c r="D297" s="9"/>
      <c r="E297" s="9"/>
      <c r="F297" s="9" t="s">
        <v>185</v>
      </c>
      <c r="G297" s="9" t="s">
        <v>1</v>
      </c>
      <c r="H297" s="9" t="s">
        <v>463</v>
      </c>
      <c r="I297" s="9" t="s">
        <v>495</v>
      </c>
      <c r="J297" s="1061">
        <v>5253.4660000000003</v>
      </c>
      <c r="K297" s="1065"/>
      <c r="L297" s="1061"/>
      <c r="M297" s="1550"/>
      <c r="N297" s="1596">
        <v>2300</v>
      </c>
      <c r="O297" s="1087">
        <v>10043.379999999999</v>
      </c>
      <c r="P297" s="1061">
        <v>6288.7259999999997</v>
      </c>
      <c r="Q297" s="1631">
        <v>2500</v>
      </c>
      <c r="R297" s="1596">
        <v>2800</v>
      </c>
    </row>
    <row r="298" spans="1:256" ht="39" x14ac:dyDescent="0.25">
      <c r="A298" s="32"/>
      <c r="B298" s="49" t="s">
        <v>184</v>
      </c>
      <c r="C298" s="9"/>
      <c r="D298" s="34" t="s">
        <v>15</v>
      </c>
      <c r="E298" s="34" t="s">
        <v>32</v>
      </c>
      <c r="F298" s="9" t="s">
        <v>183</v>
      </c>
      <c r="G298" s="9"/>
      <c r="H298" s="9"/>
      <c r="I298" s="34"/>
      <c r="J298" s="1061">
        <f>J299</f>
        <v>2363.7339999999999</v>
      </c>
      <c r="K298" s="1064"/>
      <c r="L298" s="1064">
        <f>L299</f>
        <v>2211</v>
      </c>
      <c r="M298" s="1563">
        <f>M299</f>
        <v>2233.5</v>
      </c>
      <c r="N298" s="1582">
        <f>N299+N302</f>
        <v>29128.5</v>
      </c>
      <c r="O298" s="1087">
        <f>O299</f>
        <v>22475.494999999999</v>
      </c>
      <c r="P298" s="1061">
        <f>P299</f>
        <v>24715.444</v>
      </c>
      <c r="Q298" s="1550">
        <f>Q299+Q302</f>
        <v>30558.639999999999</v>
      </c>
      <c r="R298" s="1582">
        <f>R299+R302</f>
        <v>31896.880000000001</v>
      </c>
    </row>
    <row r="299" spans="1:256" ht="25.15" customHeight="1" x14ac:dyDescent="0.25">
      <c r="A299" s="32"/>
      <c r="B299" s="15" t="s">
        <v>4</v>
      </c>
      <c r="C299" s="9"/>
      <c r="D299" s="9" t="s">
        <v>15</v>
      </c>
      <c r="E299" s="9" t="s">
        <v>32</v>
      </c>
      <c r="F299" s="9" t="s">
        <v>183</v>
      </c>
      <c r="G299" s="9" t="s">
        <v>1</v>
      </c>
      <c r="H299" s="9"/>
      <c r="I299" s="9"/>
      <c r="J299" s="1061">
        <f>J301</f>
        <v>2363.7339999999999</v>
      </c>
      <c r="K299" s="1064"/>
      <c r="L299" s="1064">
        <v>2211</v>
      </c>
      <c r="M299" s="1563">
        <v>2233.5</v>
      </c>
      <c r="N299" s="1582">
        <f>N301</f>
        <v>29128.5</v>
      </c>
      <c r="O299" s="1087">
        <f>O301</f>
        <v>22475.494999999999</v>
      </c>
      <c r="P299" s="1061">
        <f>P301</f>
        <v>24715.444</v>
      </c>
      <c r="Q299" s="1550">
        <f>Q301</f>
        <v>30558.639999999999</v>
      </c>
      <c r="R299" s="1582">
        <f>R301</f>
        <v>31896.880000000001</v>
      </c>
    </row>
    <row r="300" spans="1:256" ht="18.649999999999999" hidden="1" customHeight="1" x14ac:dyDescent="0.3">
      <c r="A300" s="32"/>
      <c r="B300" s="86"/>
      <c r="C300" s="9"/>
      <c r="D300" s="9"/>
      <c r="E300" s="9"/>
      <c r="F300" s="9"/>
      <c r="G300" s="9"/>
      <c r="H300" s="9"/>
      <c r="I300" s="9"/>
      <c r="J300" s="1061"/>
      <c r="K300" s="1064"/>
      <c r="L300" s="1064"/>
      <c r="M300" s="1563"/>
      <c r="N300" s="1582"/>
      <c r="O300" s="1087"/>
      <c r="P300" s="1061"/>
      <c r="Q300" s="1550"/>
      <c r="R300" s="1582"/>
    </row>
    <row r="301" spans="1:256" ht="13" x14ac:dyDescent="0.3">
      <c r="A301" s="32"/>
      <c r="B301" s="16" t="s">
        <v>34</v>
      </c>
      <c r="C301" s="9"/>
      <c r="D301" s="9"/>
      <c r="E301" s="9"/>
      <c r="F301" s="9" t="s">
        <v>183</v>
      </c>
      <c r="G301" s="9" t="s">
        <v>1</v>
      </c>
      <c r="H301" s="9" t="s">
        <v>463</v>
      </c>
      <c r="I301" s="9" t="s">
        <v>495</v>
      </c>
      <c r="J301" s="1061">
        <v>2363.7339999999999</v>
      </c>
      <c r="K301" s="1064"/>
      <c r="L301" s="1064"/>
      <c r="M301" s="1563"/>
      <c r="N301" s="1582">
        <v>29128.5</v>
      </c>
      <c r="O301" s="1087">
        <v>22475.494999999999</v>
      </c>
      <c r="P301" s="1061">
        <v>24715.444</v>
      </c>
      <c r="Q301" s="1550">
        <v>30558.639999999999</v>
      </c>
      <c r="R301" s="1582">
        <v>31896.880000000001</v>
      </c>
    </row>
    <row r="302" spans="1:256" s="2" customFormat="1" ht="39" hidden="1" x14ac:dyDescent="0.25">
      <c r="A302" s="32"/>
      <c r="B302" s="1106" t="s">
        <v>916</v>
      </c>
      <c r="C302" s="9"/>
      <c r="D302" s="9"/>
      <c r="E302" s="9"/>
      <c r="F302" s="9" t="s">
        <v>183</v>
      </c>
      <c r="G302" s="9" t="s">
        <v>521</v>
      </c>
      <c r="H302" s="9"/>
      <c r="I302" s="9"/>
      <c r="J302" s="1061"/>
      <c r="K302" s="1064"/>
      <c r="L302" s="1064"/>
      <c r="M302" s="1563"/>
      <c r="N302" s="1582">
        <f>N303</f>
        <v>0</v>
      </c>
      <c r="O302" s="1087"/>
      <c r="P302" s="1061"/>
      <c r="Q302" s="1550">
        <f>Q303</f>
        <v>0</v>
      </c>
      <c r="R302" s="1582">
        <f>R303</f>
        <v>0</v>
      </c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</row>
    <row r="303" spans="1:256" s="2" customFormat="1" ht="13" hidden="1" x14ac:dyDescent="0.3">
      <c r="A303" s="32"/>
      <c r="B303" s="16" t="s">
        <v>34</v>
      </c>
      <c r="C303" s="9"/>
      <c r="D303" s="9"/>
      <c r="E303" s="9"/>
      <c r="F303" s="9" t="s">
        <v>183</v>
      </c>
      <c r="G303" s="9" t="s">
        <v>521</v>
      </c>
      <c r="H303" s="9" t="s">
        <v>463</v>
      </c>
      <c r="I303" s="9" t="s">
        <v>495</v>
      </c>
      <c r="J303" s="1061"/>
      <c r="K303" s="1064"/>
      <c r="L303" s="1064"/>
      <c r="M303" s="1563"/>
      <c r="N303" s="1582">
        <v>0</v>
      </c>
      <c r="O303" s="1087"/>
      <c r="P303" s="1061"/>
      <c r="Q303" s="1550">
        <v>0</v>
      </c>
      <c r="R303" s="1582">
        <v>0</v>
      </c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</row>
    <row r="304" spans="1:256" s="2" customFormat="1" ht="13" hidden="1" x14ac:dyDescent="0.3">
      <c r="A304" s="32"/>
      <c r="B304" s="16"/>
      <c r="C304" s="9"/>
      <c r="D304" s="9"/>
      <c r="E304" s="9"/>
      <c r="F304" s="9"/>
      <c r="G304" s="9"/>
      <c r="H304" s="9"/>
      <c r="I304" s="9"/>
      <c r="J304" s="1061"/>
      <c r="K304" s="1064"/>
      <c r="L304" s="1064"/>
      <c r="M304" s="1563"/>
      <c r="N304" s="1582"/>
      <c r="O304" s="1087"/>
      <c r="P304" s="1061"/>
      <c r="Q304" s="1550"/>
      <c r="R304" s="1582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</row>
    <row r="305" spans="1:256" s="2" customFormat="1" ht="65" x14ac:dyDescent="0.25">
      <c r="A305" s="91">
        <v>8</v>
      </c>
      <c r="B305" s="135" t="s">
        <v>917</v>
      </c>
      <c r="C305" s="9"/>
      <c r="D305" s="9"/>
      <c r="E305" s="9"/>
      <c r="F305" s="34" t="s">
        <v>181</v>
      </c>
      <c r="G305" s="9"/>
      <c r="H305" s="9"/>
      <c r="I305" s="9"/>
      <c r="J305" s="1061"/>
      <c r="K305" s="1064"/>
      <c r="L305" s="1064"/>
      <c r="M305" s="1563"/>
      <c r="N305" s="1597">
        <f>N306</f>
        <v>7000</v>
      </c>
      <c r="O305" s="1107">
        <f>O306</f>
        <v>3670.8</v>
      </c>
      <c r="P305" s="1064">
        <f>P306</f>
        <v>4037.88</v>
      </c>
      <c r="Q305" s="1563">
        <f>Q306</f>
        <v>3608.5</v>
      </c>
      <c r="R305" s="1597">
        <f>R306</f>
        <v>3275.5</v>
      </c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</row>
    <row r="306" spans="1:256" s="2" customFormat="1" ht="39" x14ac:dyDescent="0.25">
      <c r="A306" s="32"/>
      <c r="B306" s="1093" t="s">
        <v>180</v>
      </c>
      <c r="C306" s="9"/>
      <c r="D306" s="9"/>
      <c r="E306" s="9"/>
      <c r="F306" s="9" t="s">
        <v>179</v>
      </c>
      <c r="G306" s="9"/>
      <c r="H306" s="9"/>
      <c r="I306" s="9"/>
      <c r="J306" s="1061"/>
      <c r="K306" s="1064"/>
      <c r="L306" s="1064"/>
      <c r="M306" s="1563"/>
      <c r="N306" s="1582">
        <f>N310+N307</f>
        <v>7000</v>
      </c>
      <c r="O306" s="1087">
        <f>O310+O307</f>
        <v>3670.8</v>
      </c>
      <c r="P306" s="1061">
        <f>P310+P307</f>
        <v>4037.88</v>
      </c>
      <c r="Q306" s="1550">
        <f>Q310+Q307</f>
        <v>3608.5</v>
      </c>
      <c r="R306" s="1582">
        <f>R310+R307</f>
        <v>3275.5</v>
      </c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</row>
    <row r="307" spans="1:256" s="2" customFormat="1" ht="39" x14ac:dyDescent="0.25">
      <c r="A307" s="32"/>
      <c r="B307" s="1098" t="s">
        <v>23</v>
      </c>
      <c r="C307" s="9"/>
      <c r="D307" s="9"/>
      <c r="E307" s="9"/>
      <c r="F307" s="9" t="s">
        <v>178</v>
      </c>
      <c r="G307" s="9"/>
      <c r="H307" s="9"/>
      <c r="I307" s="9"/>
      <c r="J307" s="1061"/>
      <c r="K307" s="1064"/>
      <c r="L307" s="1064"/>
      <c r="M307" s="1563"/>
      <c r="N307" s="1582">
        <f t="shared" ref="N307:R308" si="100">N308</f>
        <v>7000</v>
      </c>
      <c r="O307" s="1087">
        <f t="shared" si="100"/>
        <v>3268.201</v>
      </c>
      <c r="P307" s="1061">
        <f t="shared" si="100"/>
        <v>3595.0210000000002</v>
      </c>
      <c r="Q307" s="1550">
        <f t="shared" si="100"/>
        <v>3608.5</v>
      </c>
      <c r="R307" s="1582">
        <f t="shared" si="100"/>
        <v>3275.5</v>
      </c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</row>
    <row r="308" spans="1:256" s="2" customFormat="1" ht="13" x14ac:dyDescent="0.25">
      <c r="A308" s="32"/>
      <c r="B308" s="1544" t="s">
        <v>481</v>
      </c>
      <c r="C308" s="9"/>
      <c r="D308" s="9"/>
      <c r="E308" s="9"/>
      <c r="F308" s="9" t="s">
        <v>178</v>
      </c>
      <c r="G308" s="9" t="s">
        <v>26</v>
      </c>
      <c r="H308" s="9"/>
      <c r="I308" s="9"/>
      <c r="J308" s="1061"/>
      <c r="K308" s="1064"/>
      <c r="L308" s="1064"/>
      <c r="M308" s="1563"/>
      <c r="N308" s="1582">
        <f t="shared" si="100"/>
        <v>7000</v>
      </c>
      <c r="O308" s="1087">
        <f t="shared" si="100"/>
        <v>3268.201</v>
      </c>
      <c r="P308" s="1061">
        <f t="shared" si="100"/>
        <v>3595.0210000000002</v>
      </c>
      <c r="Q308" s="1550">
        <f t="shared" si="100"/>
        <v>3608.5</v>
      </c>
      <c r="R308" s="1582">
        <f t="shared" si="100"/>
        <v>3275.5</v>
      </c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</row>
    <row r="309" spans="1:256" s="2" customFormat="1" ht="13" x14ac:dyDescent="0.3">
      <c r="A309" s="32"/>
      <c r="B309" s="16" t="s">
        <v>39</v>
      </c>
      <c r="C309" s="9"/>
      <c r="D309" s="9"/>
      <c r="E309" s="9"/>
      <c r="F309" s="9" t="s">
        <v>178</v>
      </c>
      <c r="G309" s="9" t="s">
        <v>1</v>
      </c>
      <c r="H309" s="9" t="s">
        <v>463</v>
      </c>
      <c r="I309" s="9" t="s">
        <v>488</v>
      </c>
      <c r="J309" s="1061"/>
      <c r="K309" s="1064"/>
      <c r="L309" s="1064"/>
      <c r="M309" s="1563"/>
      <c r="N309" s="1582">
        <v>7000</v>
      </c>
      <c r="O309" s="1087">
        <v>3268.201</v>
      </c>
      <c r="P309" s="1061">
        <v>3595.0210000000002</v>
      </c>
      <c r="Q309" s="1550">
        <v>3608.5</v>
      </c>
      <c r="R309" s="1582">
        <v>3275.5</v>
      </c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</row>
    <row r="310" spans="1:256" s="2" customFormat="1" ht="26" hidden="1" x14ac:dyDescent="0.25">
      <c r="A310" s="32"/>
      <c r="B310" s="1108" t="s">
        <v>40</v>
      </c>
      <c r="C310" s="9"/>
      <c r="D310" s="9"/>
      <c r="E310" s="9"/>
      <c r="F310" s="9" t="s">
        <v>177</v>
      </c>
      <c r="G310" s="9"/>
      <c r="H310" s="9"/>
      <c r="I310" s="9"/>
      <c r="J310" s="1061"/>
      <c r="K310" s="1064"/>
      <c r="L310" s="1064"/>
      <c r="M310" s="1563"/>
      <c r="N310" s="1582">
        <f t="shared" ref="N310:R311" si="101">N311</f>
        <v>0</v>
      </c>
      <c r="O310" s="1087">
        <f t="shared" si="101"/>
        <v>402.59899999999999</v>
      </c>
      <c r="P310" s="1061">
        <f t="shared" si="101"/>
        <v>442.85899999999998</v>
      </c>
      <c r="Q310" s="1550">
        <f t="shared" si="101"/>
        <v>0</v>
      </c>
      <c r="R310" s="1582">
        <f t="shared" si="101"/>
        <v>0</v>
      </c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</row>
    <row r="311" spans="1:256" s="2" customFormat="1" ht="26" hidden="1" x14ac:dyDescent="0.25">
      <c r="A311" s="32"/>
      <c r="B311" s="15" t="s">
        <v>4</v>
      </c>
      <c r="C311" s="9"/>
      <c r="D311" s="9"/>
      <c r="E311" s="9"/>
      <c r="F311" s="9" t="s">
        <v>177</v>
      </c>
      <c r="G311" s="9" t="s">
        <v>1</v>
      </c>
      <c r="H311" s="9"/>
      <c r="I311" s="9"/>
      <c r="J311" s="1061"/>
      <c r="K311" s="1064"/>
      <c r="L311" s="1064"/>
      <c r="M311" s="1563"/>
      <c r="N311" s="1582">
        <f t="shared" si="101"/>
        <v>0</v>
      </c>
      <c r="O311" s="1087">
        <f t="shared" si="101"/>
        <v>402.59899999999999</v>
      </c>
      <c r="P311" s="1061">
        <f t="shared" si="101"/>
        <v>442.85899999999998</v>
      </c>
      <c r="Q311" s="1550">
        <f t="shared" si="101"/>
        <v>0</v>
      </c>
      <c r="R311" s="1582">
        <f t="shared" si="101"/>
        <v>0</v>
      </c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</row>
    <row r="312" spans="1:256" s="2" customFormat="1" ht="13" hidden="1" x14ac:dyDescent="0.3">
      <c r="A312" s="32"/>
      <c r="B312" s="16" t="s">
        <v>39</v>
      </c>
      <c r="C312" s="9"/>
      <c r="D312" s="9"/>
      <c r="E312" s="9"/>
      <c r="F312" s="9" t="s">
        <v>177</v>
      </c>
      <c r="G312" s="9" t="s">
        <v>1</v>
      </c>
      <c r="H312" s="9" t="s">
        <v>463</v>
      </c>
      <c r="I312" s="9" t="s">
        <v>488</v>
      </c>
      <c r="J312" s="1061"/>
      <c r="K312" s="1064"/>
      <c r="L312" s="1064"/>
      <c r="M312" s="1563"/>
      <c r="N312" s="1582">
        <v>0</v>
      </c>
      <c r="O312" s="1087">
        <v>402.59899999999999</v>
      </c>
      <c r="P312" s="1061">
        <v>442.85899999999998</v>
      </c>
      <c r="Q312" s="1550">
        <v>0</v>
      </c>
      <c r="R312" s="1582">
        <v>0</v>
      </c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</row>
    <row r="313" spans="1:256" s="2" customFormat="1" ht="39" x14ac:dyDescent="0.25">
      <c r="A313" s="91">
        <v>9</v>
      </c>
      <c r="B313" s="135" t="s">
        <v>861</v>
      </c>
      <c r="C313" s="9"/>
      <c r="D313" s="9"/>
      <c r="E313" s="9"/>
      <c r="F313" s="932" t="s">
        <v>468</v>
      </c>
      <c r="G313" s="932" t="s">
        <v>106</v>
      </c>
      <c r="H313" s="932"/>
      <c r="I313" s="9"/>
      <c r="J313" s="1061"/>
      <c r="K313" s="1064"/>
      <c r="L313" s="1064"/>
      <c r="M313" s="1563"/>
      <c r="N313" s="1598">
        <f>N319+N325</f>
        <v>186.20699999999999</v>
      </c>
      <c r="O313" s="1087"/>
      <c r="P313" s="1061"/>
      <c r="Q313" s="1632"/>
      <c r="R313" s="1598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</row>
    <row r="314" spans="1:256" s="2" customFormat="1" ht="13.5" x14ac:dyDescent="0.25">
      <c r="A314" s="32"/>
      <c r="B314" s="1109" t="s">
        <v>849</v>
      </c>
      <c r="C314" s="9"/>
      <c r="D314" s="9"/>
      <c r="E314" s="9"/>
      <c r="F314" s="933" t="s">
        <v>854</v>
      </c>
      <c r="G314" s="935"/>
      <c r="H314" s="935"/>
      <c r="I314" s="9"/>
      <c r="J314" s="1061"/>
      <c r="K314" s="1064"/>
      <c r="L314" s="1064"/>
      <c r="M314" s="1563"/>
      <c r="N314" s="1599">
        <f t="shared" ref="N314:N335" si="102">N315</f>
        <v>130.441</v>
      </c>
      <c r="O314" s="1087"/>
      <c r="P314" s="1061"/>
      <c r="Q314" s="1633"/>
      <c r="R314" s="1599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</row>
    <row r="315" spans="1:256" s="2" customFormat="1" ht="26" x14ac:dyDescent="0.25">
      <c r="A315" s="32"/>
      <c r="B315" s="1092" t="s">
        <v>850</v>
      </c>
      <c r="C315" s="9"/>
      <c r="D315" s="9"/>
      <c r="E315" s="9"/>
      <c r="F315" s="933" t="s">
        <v>855</v>
      </c>
      <c r="G315" s="936"/>
      <c r="H315" s="936"/>
      <c r="I315" s="9"/>
      <c r="J315" s="1061"/>
      <c r="K315" s="1064"/>
      <c r="L315" s="1064"/>
      <c r="M315" s="1563"/>
      <c r="N315" s="1599">
        <f t="shared" si="102"/>
        <v>130.441</v>
      </c>
      <c r="O315" s="1087"/>
      <c r="P315" s="1061"/>
      <c r="Q315" s="1633"/>
      <c r="R315" s="1599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</row>
    <row r="316" spans="1:256" s="2" customFormat="1" ht="41.5" customHeight="1" x14ac:dyDescent="0.25">
      <c r="A316" s="32"/>
      <c r="B316" s="1110" t="s">
        <v>851</v>
      </c>
      <c r="C316" s="9"/>
      <c r="D316" s="9"/>
      <c r="E316" s="9"/>
      <c r="F316" s="933" t="s">
        <v>856</v>
      </c>
      <c r="G316" s="937"/>
      <c r="H316" s="937"/>
      <c r="I316" s="9"/>
      <c r="J316" s="1061"/>
      <c r="K316" s="1064"/>
      <c r="L316" s="1064"/>
      <c r="M316" s="1563"/>
      <c r="N316" s="1599">
        <f t="shared" si="102"/>
        <v>130.441</v>
      </c>
      <c r="O316" s="1087"/>
      <c r="P316" s="1061"/>
      <c r="Q316" s="1633"/>
      <c r="R316" s="1599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</row>
    <row r="317" spans="1:256" s="2" customFormat="1" ht="13" x14ac:dyDescent="0.25">
      <c r="A317" s="32"/>
      <c r="B317" s="931" t="s">
        <v>852</v>
      </c>
      <c r="C317" s="9"/>
      <c r="D317" s="9"/>
      <c r="E317" s="9"/>
      <c r="F317" s="937" t="s">
        <v>856</v>
      </c>
      <c r="G317" s="934" t="s">
        <v>860</v>
      </c>
      <c r="H317" s="934"/>
      <c r="I317" s="9"/>
      <c r="J317" s="1061"/>
      <c r="K317" s="1064"/>
      <c r="L317" s="1064"/>
      <c r="M317" s="1563"/>
      <c r="N317" s="1599">
        <f t="shared" si="102"/>
        <v>130.441</v>
      </c>
      <c r="O317" s="1087"/>
      <c r="P317" s="1061"/>
      <c r="Q317" s="1633"/>
      <c r="R317" s="1599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</row>
    <row r="318" spans="1:256" s="2" customFormat="1" ht="13" x14ac:dyDescent="0.25">
      <c r="A318" s="32"/>
      <c r="B318" s="931" t="s">
        <v>80</v>
      </c>
      <c r="C318" s="9"/>
      <c r="D318" s="9"/>
      <c r="E318" s="9"/>
      <c r="F318" s="937" t="s">
        <v>856</v>
      </c>
      <c r="G318" s="934" t="s">
        <v>77</v>
      </c>
      <c r="H318" s="934"/>
      <c r="I318" s="9"/>
      <c r="J318" s="1061"/>
      <c r="K318" s="1064"/>
      <c r="L318" s="1064"/>
      <c r="M318" s="1563"/>
      <c r="N318" s="1599">
        <f t="shared" si="102"/>
        <v>130.441</v>
      </c>
      <c r="O318" s="1087"/>
      <c r="P318" s="1061"/>
      <c r="Q318" s="1633"/>
      <c r="R318" s="1599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</row>
    <row r="319" spans="1:256" s="2" customFormat="1" ht="13" x14ac:dyDescent="0.25">
      <c r="A319" s="32"/>
      <c r="B319" s="1184" t="s">
        <v>45</v>
      </c>
      <c r="C319" s="9"/>
      <c r="D319" s="9"/>
      <c r="E319" s="9"/>
      <c r="F319" s="937" t="s">
        <v>856</v>
      </c>
      <c r="G319" s="934" t="s">
        <v>77</v>
      </c>
      <c r="H319" s="934" t="s">
        <v>496</v>
      </c>
      <c r="I319" s="9" t="s">
        <v>495</v>
      </c>
      <c r="J319" s="1061"/>
      <c r="K319" s="1064"/>
      <c r="L319" s="1064"/>
      <c r="M319" s="1563"/>
      <c r="N319" s="1599">
        <v>130.441</v>
      </c>
      <c r="O319" s="1087"/>
      <c r="P319" s="1061"/>
      <c r="Q319" s="1633"/>
      <c r="R319" s="1599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</row>
    <row r="320" spans="1:256" s="2" customFormat="1" ht="40.5" x14ac:dyDescent="0.25">
      <c r="A320" s="32"/>
      <c r="B320" s="1109" t="s">
        <v>853</v>
      </c>
      <c r="C320" s="9"/>
      <c r="D320" s="9"/>
      <c r="E320" s="9"/>
      <c r="F320" s="933" t="s">
        <v>857</v>
      </c>
      <c r="G320" s="935"/>
      <c r="H320" s="935"/>
      <c r="I320" s="9"/>
      <c r="J320" s="1061"/>
      <c r="K320" s="1064"/>
      <c r="L320" s="1064"/>
      <c r="M320" s="1563"/>
      <c r="N320" s="1599">
        <f t="shared" si="102"/>
        <v>55.765999999999998</v>
      </c>
      <c r="O320" s="1087"/>
      <c r="P320" s="1061"/>
      <c r="Q320" s="1633"/>
      <c r="R320" s="1599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</row>
    <row r="321" spans="1:256" s="2" customFormat="1" ht="26" x14ac:dyDescent="0.25">
      <c r="A321" s="32"/>
      <c r="B321" s="1092" t="s">
        <v>850</v>
      </c>
      <c r="C321" s="9"/>
      <c r="D321" s="9"/>
      <c r="E321" s="9"/>
      <c r="F321" s="933" t="s">
        <v>858</v>
      </c>
      <c r="G321" s="936"/>
      <c r="H321" s="936"/>
      <c r="I321" s="9"/>
      <c r="J321" s="1061"/>
      <c r="K321" s="1064"/>
      <c r="L321" s="1064"/>
      <c r="M321" s="1563"/>
      <c r="N321" s="1599">
        <f t="shared" si="102"/>
        <v>55.765999999999998</v>
      </c>
      <c r="O321" s="1087"/>
      <c r="P321" s="1061"/>
      <c r="Q321" s="1633"/>
      <c r="R321" s="1599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</row>
    <row r="322" spans="1:256" s="2" customFormat="1" ht="39" x14ac:dyDescent="0.25">
      <c r="A322" s="32"/>
      <c r="B322" s="1110" t="s">
        <v>851</v>
      </c>
      <c r="C322" s="9"/>
      <c r="D322" s="9"/>
      <c r="E322" s="9"/>
      <c r="F322" s="933" t="s">
        <v>859</v>
      </c>
      <c r="G322" s="937"/>
      <c r="H322" s="937"/>
      <c r="I322" s="9"/>
      <c r="J322" s="1061"/>
      <c r="K322" s="1064"/>
      <c r="L322" s="1064"/>
      <c r="M322" s="1563"/>
      <c r="N322" s="1599">
        <f t="shared" si="102"/>
        <v>55.765999999999998</v>
      </c>
      <c r="O322" s="1087"/>
      <c r="P322" s="1061"/>
      <c r="Q322" s="1633"/>
      <c r="R322" s="1599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</row>
    <row r="323" spans="1:256" s="2" customFormat="1" ht="13" x14ac:dyDescent="0.25">
      <c r="A323" s="32"/>
      <c r="B323" s="931" t="s">
        <v>852</v>
      </c>
      <c r="C323" s="9"/>
      <c r="D323" s="9"/>
      <c r="E323" s="9"/>
      <c r="F323" s="933" t="s">
        <v>859</v>
      </c>
      <c r="G323" s="934" t="s">
        <v>860</v>
      </c>
      <c r="H323" s="934"/>
      <c r="I323" s="9"/>
      <c r="J323" s="1061"/>
      <c r="K323" s="1064"/>
      <c r="L323" s="1064"/>
      <c r="M323" s="1563"/>
      <c r="N323" s="1599">
        <f t="shared" si="102"/>
        <v>55.765999999999998</v>
      </c>
      <c r="O323" s="1087"/>
      <c r="P323" s="1061"/>
      <c r="Q323" s="1633"/>
      <c r="R323" s="1599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</row>
    <row r="324" spans="1:256" s="2" customFormat="1" ht="13" x14ac:dyDescent="0.25">
      <c r="A324" s="32"/>
      <c r="B324" s="931" t="s">
        <v>80</v>
      </c>
      <c r="C324" s="9"/>
      <c r="D324" s="9"/>
      <c r="E324" s="9"/>
      <c r="F324" s="937" t="s">
        <v>859</v>
      </c>
      <c r="G324" s="934" t="s">
        <v>77</v>
      </c>
      <c r="H324" s="934"/>
      <c r="I324" s="9"/>
      <c r="J324" s="1061"/>
      <c r="K324" s="1064"/>
      <c r="L324" s="1064"/>
      <c r="M324" s="1563"/>
      <c r="N324" s="1599">
        <f>N325</f>
        <v>55.765999999999998</v>
      </c>
      <c r="O324" s="1087"/>
      <c r="P324" s="1061"/>
      <c r="Q324" s="1633"/>
      <c r="R324" s="1599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</row>
    <row r="325" spans="1:256" s="2" customFormat="1" ht="13" x14ac:dyDescent="0.25">
      <c r="A325" s="32"/>
      <c r="B325" s="1184" t="s">
        <v>45</v>
      </c>
      <c r="C325" s="1508"/>
      <c r="D325" s="1508"/>
      <c r="E325" s="1508"/>
      <c r="F325" s="1527" t="s">
        <v>859</v>
      </c>
      <c r="G325" s="1528" t="s">
        <v>77</v>
      </c>
      <c r="H325" s="1528" t="s">
        <v>496</v>
      </c>
      <c r="I325" s="1508" t="s">
        <v>495</v>
      </c>
      <c r="J325" s="1061"/>
      <c r="K325" s="1064"/>
      <c r="L325" s="1064"/>
      <c r="M325" s="1563"/>
      <c r="N325" s="1599">
        <v>55.765999999999998</v>
      </c>
      <c r="O325" s="1087"/>
      <c r="P325" s="1061"/>
      <c r="Q325" s="1633"/>
      <c r="R325" s="1599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</row>
    <row r="326" spans="1:256" s="2" customFormat="1" ht="52" x14ac:dyDescent="0.25">
      <c r="A326" s="1504">
        <v>10</v>
      </c>
      <c r="B326" s="1510" t="s">
        <v>949</v>
      </c>
      <c r="C326" s="9"/>
      <c r="D326" s="9"/>
      <c r="E326" s="9"/>
      <c r="F326" s="1511" t="s">
        <v>952</v>
      </c>
      <c r="G326" s="1511"/>
      <c r="H326" s="1511"/>
      <c r="I326" s="1511"/>
      <c r="J326" s="1087"/>
      <c r="K326" s="1064"/>
      <c r="L326" s="1064"/>
      <c r="M326" s="1563"/>
      <c r="N326" s="1598">
        <f>N327+N332</f>
        <v>800</v>
      </c>
      <c r="O326" s="1107"/>
      <c r="P326" s="1064"/>
      <c r="Q326" s="1632">
        <f>Q327+Q332</f>
        <v>1265</v>
      </c>
      <c r="R326" s="1598">
        <f>R327+R332</f>
        <v>1391.5</v>
      </c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</row>
    <row r="327" spans="1:256" s="2" customFormat="1" ht="39" x14ac:dyDescent="0.25">
      <c r="A327" s="1505"/>
      <c r="B327" s="1512" t="s">
        <v>947</v>
      </c>
      <c r="C327" s="9"/>
      <c r="D327" s="9"/>
      <c r="E327" s="9"/>
      <c r="F327" s="1513" t="s">
        <v>953</v>
      </c>
      <c r="G327" s="1513"/>
      <c r="H327" s="1513"/>
      <c r="I327" s="1513"/>
      <c r="J327" s="1087"/>
      <c r="K327" s="1064"/>
      <c r="L327" s="1064"/>
      <c r="M327" s="1563"/>
      <c r="N327" s="1599">
        <f>N328</f>
        <v>450</v>
      </c>
      <c r="O327" s="1087"/>
      <c r="P327" s="1061"/>
      <c r="Q327" s="1633">
        <f t="shared" ref="Q327:R330" si="103">Q328</f>
        <v>880</v>
      </c>
      <c r="R327" s="1599">
        <f t="shared" si="103"/>
        <v>968</v>
      </c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</row>
    <row r="328" spans="1:256" s="2" customFormat="1" ht="34.5" x14ac:dyDescent="0.25">
      <c r="A328" s="1505"/>
      <c r="B328" s="35" t="s">
        <v>950</v>
      </c>
      <c r="C328" s="9"/>
      <c r="D328" s="9"/>
      <c r="E328" s="9"/>
      <c r="F328" s="1514" t="s">
        <v>954</v>
      </c>
      <c r="G328" s="1514"/>
      <c r="H328" s="1514"/>
      <c r="I328" s="1514"/>
      <c r="J328" s="1087"/>
      <c r="K328" s="1064"/>
      <c r="L328" s="1064"/>
      <c r="M328" s="1563"/>
      <c r="N328" s="1599">
        <f>N329</f>
        <v>450</v>
      </c>
      <c r="O328" s="1087"/>
      <c r="P328" s="1061"/>
      <c r="Q328" s="1633">
        <f t="shared" si="103"/>
        <v>880</v>
      </c>
      <c r="R328" s="1599">
        <f t="shared" si="103"/>
        <v>968</v>
      </c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</row>
    <row r="329" spans="1:256" s="2" customFormat="1" ht="23" x14ac:dyDescent="0.25">
      <c r="A329" s="1505"/>
      <c r="B329" s="1515" t="s">
        <v>948</v>
      </c>
      <c r="C329" s="9"/>
      <c r="D329" s="9"/>
      <c r="E329" s="9"/>
      <c r="F329" s="1514" t="s">
        <v>954</v>
      </c>
      <c r="G329" s="1514" t="s">
        <v>955</v>
      </c>
      <c r="H329" s="1514"/>
      <c r="I329" s="1514"/>
      <c r="J329" s="1087"/>
      <c r="K329" s="1064"/>
      <c r="L329" s="1064"/>
      <c r="M329" s="1563"/>
      <c r="N329" s="1599">
        <f>N330</f>
        <v>450</v>
      </c>
      <c r="O329" s="1087"/>
      <c r="P329" s="1061"/>
      <c r="Q329" s="1633">
        <f t="shared" si="103"/>
        <v>880</v>
      </c>
      <c r="R329" s="1599">
        <f t="shared" si="103"/>
        <v>968</v>
      </c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</row>
    <row r="330" spans="1:256" s="2" customFormat="1" ht="23" x14ac:dyDescent="0.25">
      <c r="A330" s="1505"/>
      <c r="B330" s="1516" t="s">
        <v>454</v>
      </c>
      <c r="C330" s="9"/>
      <c r="D330" s="9"/>
      <c r="E330" s="9"/>
      <c r="F330" s="1514" t="s">
        <v>954</v>
      </c>
      <c r="G330" s="1517" t="s">
        <v>1</v>
      </c>
      <c r="H330" s="1514"/>
      <c r="I330" s="1514"/>
      <c r="J330" s="1087"/>
      <c r="K330" s="1064"/>
      <c r="L330" s="1064"/>
      <c r="M330" s="1563"/>
      <c r="N330" s="1599">
        <f>N331</f>
        <v>450</v>
      </c>
      <c r="O330" s="1087"/>
      <c r="P330" s="1061"/>
      <c r="Q330" s="1633">
        <f t="shared" si="103"/>
        <v>880</v>
      </c>
      <c r="R330" s="1599">
        <f t="shared" si="103"/>
        <v>968</v>
      </c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</row>
    <row r="331" spans="1:256" s="2" customFormat="1" ht="13" x14ac:dyDescent="0.25">
      <c r="A331" s="1505"/>
      <c r="B331" s="1516" t="s">
        <v>34</v>
      </c>
      <c r="C331" s="9"/>
      <c r="D331" s="9"/>
      <c r="E331" s="9"/>
      <c r="F331" s="1514" t="s">
        <v>954</v>
      </c>
      <c r="G331" s="1517" t="s">
        <v>1</v>
      </c>
      <c r="H331" s="1514" t="s">
        <v>463</v>
      </c>
      <c r="I331" s="1514" t="s">
        <v>495</v>
      </c>
      <c r="J331" s="1087"/>
      <c r="K331" s="1064"/>
      <c r="L331" s="1064"/>
      <c r="M331" s="1563"/>
      <c r="N331" s="1599">
        <v>450</v>
      </c>
      <c r="O331" s="1087"/>
      <c r="P331" s="1061"/>
      <c r="Q331" s="1633">
        <v>880</v>
      </c>
      <c r="R331" s="1599">
        <v>968</v>
      </c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</row>
    <row r="332" spans="1:256" s="2" customFormat="1" ht="39" x14ac:dyDescent="0.25">
      <c r="A332" s="1505"/>
      <c r="B332" s="1512" t="s">
        <v>951</v>
      </c>
      <c r="C332" s="9"/>
      <c r="D332" s="9"/>
      <c r="E332" s="9"/>
      <c r="F332" s="1513" t="s">
        <v>956</v>
      </c>
      <c r="G332" s="1513"/>
      <c r="H332" s="1513"/>
      <c r="I332" s="1513"/>
      <c r="J332" s="1087"/>
      <c r="K332" s="1064"/>
      <c r="L332" s="1064"/>
      <c r="M332" s="1563"/>
      <c r="N332" s="1599">
        <f>N333</f>
        <v>350</v>
      </c>
      <c r="O332" s="1087"/>
      <c r="P332" s="1061"/>
      <c r="Q332" s="1633">
        <f>Q333</f>
        <v>385</v>
      </c>
      <c r="R332" s="1599">
        <f>R333</f>
        <v>423.5</v>
      </c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</row>
    <row r="333" spans="1:256" s="2" customFormat="1" ht="34.5" x14ac:dyDescent="0.25">
      <c r="A333" s="1505"/>
      <c r="B333" s="1515" t="s">
        <v>950</v>
      </c>
      <c r="C333" s="9"/>
      <c r="D333" s="9"/>
      <c r="E333" s="9"/>
      <c r="F333" s="1514" t="s">
        <v>957</v>
      </c>
      <c r="G333" s="1514"/>
      <c r="H333" s="1514"/>
      <c r="I333" s="1514"/>
      <c r="J333" s="1087"/>
      <c r="K333" s="1064"/>
      <c r="L333" s="1064"/>
      <c r="M333" s="1563"/>
      <c r="N333" s="1599">
        <f t="shared" si="102"/>
        <v>350</v>
      </c>
      <c r="O333" s="1087"/>
      <c r="P333" s="1061"/>
      <c r="Q333" s="1633">
        <f t="shared" ref="Q333:R335" si="104">Q334</f>
        <v>385</v>
      </c>
      <c r="R333" s="1599">
        <f t="shared" si="104"/>
        <v>423.5</v>
      </c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</row>
    <row r="334" spans="1:256" s="2" customFormat="1" ht="23" x14ac:dyDescent="0.25">
      <c r="A334" s="1505"/>
      <c r="B334" s="1515" t="s">
        <v>948</v>
      </c>
      <c r="C334" s="9"/>
      <c r="D334" s="9"/>
      <c r="E334" s="9"/>
      <c r="F334" s="1514" t="s">
        <v>957</v>
      </c>
      <c r="G334" s="1514" t="s">
        <v>955</v>
      </c>
      <c r="H334" s="1514"/>
      <c r="I334" s="1514"/>
      <c r="J334" s="1087"/>
      <c r="K334" s="1064"/>
      <c r="L334" s="1064"/>
      <c r="M334" s="1563"/>
      <c r="N334" s="1599">
        <f t="shared" si="102"/>
        <v>350</v>
      </c>
      <c r="O334" s="1087"/>
      <c r="P334" s="1061"/>
      <c r="Q334" s="1633">
        <f t="shared" si="104"/>
        <v>385</v>
      </c>
      <c r="R334" s="1599">
        <f t="shared" si="104"/>
        <v>423.5</v>
      </c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</row>
    <row r="335" spans="1:256" s="2" customFormat="1" ht="23" x14ac:dyDescent="0.25">
      <c r="A335" s="1505"/>
      <c r="B335" s="1516" t="s">
        <v>454</v>
      </c>
      <c r="C335" s="9"/>
      <c r="D335" s="9"/>
      <c r="E335" s="9"/>
      <c r="F335" s="1514" t="s">
        <v>957</v>
      </c>
      <c r="G335" s="1517" t="s">
        <v>1</v>
      </c>
      <c r="H335" s="1514"/>
      <c r="I335" s="1514"/>
      <c r="J335" s="1087"/>
      <c r="K335" s="1064"/>
      <c r="L335" s="1064"/>
      <c r="M335" s="1563"/>
      <c r="N335" s="1599">
        <f t="shared" si="102"/>
        <v>350</v>
      </c>
      <c r="O335" s="1087"/>
      <c r="P335" s="1061"/>
      <c r="Q335" s="1633">
        <f t="shared" si="104"/>
        <v>385</v>
      </c>
      <c r="R335" s="1599">
        <f t="shared" si="104"/>
        <v>423.5</v>
      </c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</row>
    <row r="336" spans="1:256" s="2" customFormat="1" ht="13" x14ac:dyDescent="0.25">
      <c r="A336" s="1505"/>
      <c r="B336" s="1516" t="s">
        <v>34</v>
      </c>
      <c r="C336" s="9"/>
      <c r="D336" s="9"/>
      <c r="E336" s="9"/>
      <c r="F336" s="1514" t="s">
        <v>957</v>
      </c>
      <c r="G336" s="1517" t="s">
        <v>1</v>
      </c>
      <c r="H336" s="1514" t="s">
        <v>463</v>
      </c>
      <c r="I336" s="1514" t="s">
        <v>495</v>
      </c>
      <c r="J336" s="1087"/>
      <c r="K336" s="1064"/>
      <c r="L336" s="1064"/>
      <c r="M336" s="1563"/>
      <c r="N336" s="1599">
        <v>350</v>
      </c>
      <c r="O336" s="1087"/>
      <c r="P336" s="1061"/>
      <c r="Q336" s="1633">
        <v>385</v>
      </c>
      <c r="R336" s="1599">
        <v>423.5</v>
      </c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</row>
    <row r="337" spans="1:256" s="2" customFormat="1" ht="13" hidden="1" x14ac:dyDescent="0.3">
      <c r="A337" s="32"/>
      <c r="B337" s="1529"/>
      <c r="C337" s="142"/>
      <c r="D337" s="142"/>
      <c r="E337" s="142"/>
      <c r="F337" s="142"/>
      <c r="G337" s="142"/>
      <c r="H337" s="142"/>
      <c r="I337" s="142"/>
      <c r="J337" s="1061"/>
      <c r="K337" s="1064"/>
      <c r="L337" s="1064"/>
      <c r="M337" s="1563"/>
      <c r="N337" s="1582"/>
      <c r="O337" s="1087"/>
      <c r="P337" s="1061"/>
      <c r="Q337" s="1550"/>
      <c r="R337" s="1582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</row>
    <row r="338" spans="1:256" s="2" customFormat="1" ht="13" hidden="1" x14ac:dyDescent="0.3">
      <c r="A338" s="32"/>
      <c r="B338" s="106"/>
      <c r="C338" s="9"/>
      <c r="D338" s="9"/>
      <c r="E338" s="9"/>
      <c r="F338" s="9"/>
      <c r="G338" s="9"/>
      <c r="H338" s="9"/>
      <c r="I338" s="9"/>
      <c r="J338" s="1061"/>
      <c r="K338" s="1064"/>
      <c r="L338" s="1064"/>
      <c r="M338" s="1563"/>
      <c r="N338" s="1582"/>
      <c r="O338" s="1087"/>
      <c r="P338" s="1061"/>
      <c r="Q338" s="1550"/>
      <c r="R338" s="1582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</row>
    <row r="339" spans="1:256" s="2" customFormat="1" ht="13" hidden="1" x14ac:dyDescent="0.3">
      <c r="A339" s="32"/>
      <c r="B339" s="106"/>
      <c r="C339" s="9"/>
      <c r="D339" s="9"/>
      <c r="E339" s="9"/>
      <c r="F339" s="9"/>
      <c r="G339" s="9"/>
      <c r="H339" s="9"/>
      <c r="I339" s="9"/>
      <c r="J339" s="1061"/>
      <c r="K339" s="1064"/>
      <c r="L339" s="1064"/>
      <c r="M339" s="1563"/>
      <c r="N339" s="1582"/>
      <c r="O339" s="1087"/>
      <c r="P339" s="1061"/>
      <c r="Q339" s="1550"/>
      <c r="R339" s="1582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</row>
    <row r="340" spans="1:256" s="2" customFormat="1" ht="55.15" hidden="1" customHeight="1" x14ac:dyDescent="0.25">
      <c r="A340" s="91">
        <v>9</v>
      </c>
      <c r="B340" s="134" t="s">
        <v>176</v>
      </c>
      <c r="C340" s="34"/>
      <c r="D340" s="94" t="s">
        <v>15</v>
      </c>
      <c r="E340" s="34" t="s">
        <v>32</v>
      </c>
      <c r="F340" s="34" t="s">
        <v>175</v>
      </c>
      <c r="G340" s="131"/>
      <c r="H340" s="131"/>
      <c r="I340" s="34"/>
      <c r="J340" s="51">
        <f>J341</f>
        <v>3000</v>
      </c>
      <c r="K340" s="51"/>
      <c r="L340" s="51">
        <f>L342</f>
        <v>6008.35</v>
      </c>
      <c r="M340" s="1553">
        <f>M342</f>
        <v>8515.7049999999999</v>
      </c>
      <c r="N340" s="1586">
        <f t="shared" ref="N340:R342" si="105">N341</f>
        <v>0</v>
      </c>
      <c r="O340" s="205">
        <f t="shared" si="105"/>
        <v>3500</v>
      </c>
      <c r="P340" s="51">
        <f t="shared" si="105"/>
        <v>3500</v>
      </c>
      <c r="Q340" s="1553">
        <f t="shared" si="105"/>
        <v>0</v>
      </c>
      <c r="R340" s="1586">
        <f t="shared" si="105"/>
        <v>0</v>
      </c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</row>
    <row r="341" spans="1:256" s="2" customFormat="1" ht="39" hidden="1" x14ac:dyDescent="0.25">
      <c r="A341" s="91"/>
      <c r="B341" s="1098" t="s">
        <v>174</v>
      </c>
      <c r="C341" s="34"/>
      <c r="D341" s="94"/>
      <c r="E341" s="34"/>
      <c r="F341" s="9" t="s">
        <v>173</v>
      </c>
      <c r="G341" s="48"/>
      <c r="H341" s="48"/>
      <c r="I341" s="9"/>
      <c r="J341" s="47">
        <f>J342</f>
        <v>3000</v>
      </c>
      <c r="K341" s="51"/>
      <c r="L341" s="51"/>
      <c r="M341" s="1553"/>
      <c r="N341" s="1595">
        <f t="shared" si="105"/>
        <v>0</v>
      </c>
      <c r="O341" s="791">
        <f t="shared" si="105"/>
        <v>3500</v>
      </c>
      <c r="P341" s="47">
        <f t="shared" si="105"/>
        <v>3500</v>
      </c>
      <c r="Q341" s="209">
        <f t="shared" si="105"/>
        <v>0</v>
      </c>
      <c r="R341" s="1595">
        <f t="shared" si="105"/>
        <v>0</v>
      </c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</row>
    <row r="342" spans="1:256" s="2" customFormat="1" ht="26" hidden="1" x14ac:dyDescent="0.25">
      <c r="A342" s="32"/>
      <c r="B342" s="133" t="s">
        <v>172</v>
      </c>
      <c r="C342" s="9"/>
      <c r="D342" s="88" t="s">
        <v>15</v>
      </c>
      <c r="E342" s="9" t="s">
        <v>32</v>
      </c>
      <c r="F342" s="9" t="s">
        <v>159</v>
      </c>
      <c r="G342" s="9"/>
      <c r="H342" s="9"/>
      <c r="I342" s="9"/>
      <c r="J342" s="1061">
        <f>J343</f>
        <v>3000</v>
      </c>
      <c r="K342" s="1065"/>
      <c r="L342" s="1064">
        <f>L343</f>
        <v>6008.35</v>
      </c>
      <c r="M342" s="1563">
        <f>M343</f>
        <v>8515.7049999999999</v>
      </c>
      <c r="N342" s="1582">
        <f t="shared" si="105"/>
        <v>0</v>
      </c>
      <c r="O342" s="1087">
        <f t="shared" si="105"/>
        <v>3500</v>
      </c>
      <c r="P342" s="1061">
        <f t="shared" si="105"/>
        <v>3500</v>
      </c>
      <c r="Q342" s="1550">
        <f t="shared" si="105"/>
        <v>0</v>
      </c>
      <c r="R342" s="1582">
        <f t="shared" si="105"/>
        <v>0</v>
      </c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</row>
    <row r="343" spans="1:256" s="2" customFormat="1" ht="12.65" hidden="1" customHeight="1" x14ac:dyDescent="0.3">
      <c r="A343" s="32"/>
      <c r="B343" s="86" t="s">
        <v>16</v>
      </c>
      <c r="C343" s="9"/>
      <c r="D343" s="88" t="s">
        <v>15</v>
      </c>
      <c r="E343" s="9" t="s">
        <v>32</v>
      </c>
      <c r="F343" s="9" t="s">
        <v>159</v>
      </c>
      <c r="G343" s="9" t="s">
        <v>1</v>
      </c>
      <c r="H343" s="9"/>
      <c r="I343" s="9"/>
      <c r="J343" s="1061">
        <f>J349</f>
        <v>3000</v>
      </c>
      <c r="K343" s="1065"/>
      <c r="L343" s="1064">
        <v>6008.35</v>
      </c>
      <c r="M343" s="1563">
        <v>8515.7049999999999</v>
      </c>
      <c r="N343" s="1582">
        <f>N349</f>
        <v>0</v>
      </c>
      <c r="O343" s="1087">
        <f>O349</f>
        <v>3500</v>
      </c>
      <c r="P343" s="1061">
        <f>P349</f>
        <v>3500</v>
      </c>
      <c r="Q343" s="1550">
        <f>Q349</f>
        <v>0</v>
      </c>
      <c r="R343" s="1582">
        <f>R349</f>
        <v>0</v>
      </c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</row>
    <row r="344" spans="1:256" s="2" customFormat="1" ht="44.25" hidden="1" customHeight="1" x14ac:dyDescent="0.25">
      <c r="A344" s="32"/>
      <c r="B344" s="52" t="s">
        <v>171</v>
      </c>
      <c r="C344" s="9"/>
      <c r="D344" s="34" t="s">
        <v>168</v>
      </c>
      <c r="E344" s="34" t="s">
        <v>166</v>
      </c>
      <c r="F344" s="34" t="s">
        <v>170</v>
      </c>
      <c r="G344" s="131"/>
      <c r="H344" s="131"/>
      <c r="I344" s="34" t="s">
        <v>166</v>
      </c>
      <c r="J344" s="48"/>
      <c r="K344" s="131"/>
      <c r="M344" s="1564"/>
      <c r="N344" s="1600"/>
      <c r="O344" s="793"/>
      <c r="P344" s="48"/>
      <c r="Q344" s="1634"/>
      <c r="R344" s="1600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spans="1:256" ht="39" hidden="1" x14ac:dyDescent="0.25">
      <c r="A345" s="32"/>
      <c r="B345" s="49" t="s">
        <v>169</v>
      </c>
      <c r="C345" s="9"/>
      <c r="D345" s="9" t="s">
        <v>168</v>
      </c>
      <c r="E345" s="9" t="s">
        <v>166</v>
      </c>
      <c r="F345" s="9" t="s">
        <v>167</v>
      </c>
      <c r="G345" s="88"/>
      <c r="H345" s="88"/>
      <c r="I345" s="9" t="s">
        <v>166</v>
      </c>
      <c r="J345" s="1063"/>
      <c r="K345" s="1063"/>
      <c r="L345" s="1063"/>
      <c r="M345" s="1125"/>
      <c r="N345" s="1584"/>
      <c r="O345" s="1069"/>
      <c r="P345" s="1063"/>
      <c r="Q345" s="1125"/>
      <c r="R345" s="1584"/>
    </row>
    <row r="346" spans="1:256" ht="42.75" hidden="1" customHeight="1" x14ac:dyDescent="0.25">
      <c r="A346" s="32"/>
      <c r="B346" s="132" t="s">
        <v>165</v>
      </c>
      <c r="C346" s="34"/>
      <c r="D346" s="94" t="s">
        <v>15</v>
      </c>
      <c r="E346" s="34" t="s">
        <v>13</v>
      </c>
      <c r="F346" s="34" t="s">
        <v>164</v>
      </c>
      <c r="G346" s="131"/>
      <c r="H346" s="131"/>
      <c r="I346" s="34" t="s">
        <v>13</v>
      </c>
      <c r="J346" s="48"/>
      <c r="K346" s="130"/>
      <c r="L346" s="2"/>
      <c r="M346" s="1554"/>
      <c r="N346" s="1600"/>
      <c r="O346" s="793"/>
      <c r="P346" s="48"/>
      <c r="Q346" s="1634"/>
      <c r="R346" s="1600"/>
    </row>
    <row r="347" spans="1:256" ht="72.75" hidden="1" customHeight="1" x14ac:dyDescent="0.25">
      <c r="A347" s="32"/>
      <c r="B347" s="49" t="s">
        <v>163</v>
      </c>
      <c r="C347" s="9"/>
      <c r="D347" s="88" t="s">
        <v>15</v>
      </c>
      <c r="E347" s="9" t="s">
        <v>13</v>
      </c>
      <c r="F347" s="9" t="s">
        <v>162</v>
      </c>
      <c r="G347" s="9"/>
      <c r="H347" s="9"/>
      <c r="I347" s="9" t="s">
        <v>13</v>
      </c>
      <c r="J347" s="1063"/>
      <c r="K347" s="1065"/>
      <c r="L347" s="1065"/>
      <c r="M347" s="1552"/>
      <c r="N347" s="1584"/>
      <c r="O347" s="1069"/>
      <c r="P347" s="1063"/>
      <c r="Q347" s="1125"/>
      <c r="R347" s="1584"/>
    </row>
    <row r="348" spans="1:256" ht="57" hidden="1" customHeight="1" x14ac:dyDescent="0.25">
      <c r="A348" s="32"/>
      <c r="B348" s="58" t="s">
        <v>161</v>
      </c>
      <c r="C348" s="34"/>
      <c r="D348" s="88" t="s">
        <v>15</v>
      </c>
      <c r="E348" s="9" t="s">
        <v>13</v>
      </c>
      <c r="F348" s="9" t="s">
        <v>160</v>
      </c>
      <c r="G348" s="9"/>
      <c r="H348" s="9"/>
      <c r="I348" s="9" t="s">
        <v>13</v>
      </c>
      <c r="J348" s="1063"/>
      <c r="K348" s="1065"/>
      <c r="L348" s="1065"/>
      <c r="M348" s="1552"/>
      <c r="N348" s="1584"/>
      <c r="O348" s="1069"/>
      <c r="P348" s="1063"/>
      <c r="Q348" s="1125"/>
      <c r="R348" s="1584"/>
    </row>
    <row r="349" spans="1:256" ht="13" hidden="1" x14ac:dyDescent="0.3">
      <c r="A349" s="32"/>
      <c r="B349" s="16" t="s">
        <v>34</v>
      </c>
      <c r="C349" s="9"/>
      <c r="D349" s="88" t="s">
        <v>15</v>
      </c>
      <c r="E349" s="9" t="s">
        <v>32</v>
      </c>
      <c r="F349" s="9" t="s">
        <v>159</v>
      </c>
      <c r="G349" s="9" t="s">
        <v>1</v>
      </c>
      <c r="H349" s="9" t="s">
        <v>463</v>
      </c>
      <c r="I349" s="9" t="s">
        <v>495</v>
      </c>
      <c r="J349" s="1061">
        <v>3000</v>
      </c>
      <c r="K349" s="1065"/>
      <c r="L349" s="1064">
        <v>6008.35</v>
      </c>
      <c r="M349" s="1563">
        <v>8515.7049999999999</v>
      </c>
      <c r="N349" s="1582"/>
      <c r="O349" s="1087">
        <v>3500</v>
      </c>
      <c r="P349" s="1061">
        <v>3500</v>
      </c>
      <c r="Q349" s="1550"/>
      <c r="R349" s="1582"/>
    </row>
    <row r="350" spans="1:256" ht="25.9" customHeight="1" x14ac:dyDescent="0.25">
      <c r="A350" s="32"/>
      <c r="B350" s="129" t="s">
        <v>158</v>
      </c>
      <c r="C350" s="34"/>
      <c r="D350" s="88"/>
      <c r="E350" s="9"/>
      <c r="F350" s="9"/>
      <c r="G350" s="9"/>
      <c r="H350" s="9"/>
      <c r="I350" s="9"/>
      <c r="J350" s="1111">
        <f>J351+J427+J437</f>
        <v>47038.588000000003</v>
      </c>
      <c r="K350" s="1065"/>
      <c r="L350" s="1064">
        <f t="shared" ref="L350:R350" si="106">L351+L427+L437</f>
        <v>28148.264999999999</v>
      </c>
      <c r="M350" s="1563">
        <f t="shared" si="106"/>
        <v>29104.548000000003</v>
      </c>
      <c r="N350" s="1601">
        <f t="shared" si="106"/>
        <v>30597.762999999999</v>
      </c>
      <c r="O350" s="1112">
        <f t="shared" si="106"/>
        <v>22421.825000000004</v>
      </c>
      <c r="P350" s="1111">
        <f t="shared" si="106"/>
        <v>23877.43</v>
      </c>
      <c r="Q350" s="1635">
        <f t="shared" si="106"/>
        <v>30018.576999999997</v>
      </c>
      <c r="R350" s="1601">
        <f t="shared" si="106"/>
        <v>30189.748999999996</v>
      </c>
    </row>
    <row r="351" spans="1:256" s="83" customFormat="1" ht="39" x14ac:dyDescent="0.3">
      <c r="A351" s="91">
        <v>11</v>
      </c>
      <c r="B351" s="126" t="s">
        <v>126</v>
      </c>
      <c r="C351" s="118"/>
      <c r="D351" s="89" t="s">
        <v>69</v>
      </c>
      <c r="E351" s="89" t="s">
        <v>112</v>
      </c>
      <c r="F351" s="113" t="s">
        <v>157</v>
      </c>
      <c r="G351" s="118"/>
      <c r="H351" s="118"/>
      <c r="I351" s="89"/>
      <c r="J351" s="1113">
        <f>J358+J422+J393+J396+J400+J407+J404</f>
        <v>14363.046000000004</v>
      </c>
      <c r="K351" s="1059"/>
      <c r="L351" s="1059">
        <f>L358+L390+L393+L396+L400+L407+L414</f>
        <v>14872.082</v>
      </c>
      <c r="M351" s="1551">
        <f>M358+M390+M393+M396+M400+M407+M414</f>
        <v>15828.365000000002</v>
      </c>
      <c r="N351" s="1602">
        <f>N352+N357+N422</f>
        <v>21736.792999999998</v>
      </c>
      <c r="O351" s="1114">
        <f>O361+O363+O366+O370+O379+O382+O387+O406+O409+O411+O426+O417</f>
        <v>17791.410000000003</v>
      </c>
      <c r="P351" s="1113">
        <f>P361+P363+P366+P370+P379+P382+P387+P406+P409+P411+P426+P417</f>
        <v>18871.780000000002</v>
      </c>
      <c r="Q351" s="1636">
        <f>Q352+Q357+Q422</f>
        <v>21581.35</v>
      </c>
      <c r="R351" s="1602">
        <f>R352+R357+R422</f>
        <v>22370.437999999998</v>
      </c>
      <c r="S351" s="84"/>
      <c r="T351" s="84"/>
      <c r="U351" s="84"/>
      <c r="V351" s="84"/>
      <c r="W351" s="84"/>
      <c r="X351" s="84"/>
    </row>
    <row r="352" spans="1:256" s="83" customFormat="1" ht="30" x14ac:dyDescent="0.3">
      <c r="A352" s="91"/>
      <c r="B352" s="285" t="s">
        <v>866</v>
      </c>
      <c r="C352" s="118"/>
      <c r="D352" s="89"/>
      <c r="E352" s="89"/>
      <c r="F352" s="112" t="s">
        <v>598</v>
      </c>
      <c r="G352" s="119"/>
      <c r="H352" s="119"/>
      <c r="I352" s="33"/>
      <c r="J352" s="1113"/>
      <c r="K352" s="1059"/>
      <c r="L352" s="1059"/>
      <c r="M352" s="1551"/>
      <c r="N352" s="1603">
        <f>N353</f>
        <v>1694.001</v>
      </c>
      <c r="O352" s="1114"/>
      <c r="P352" s="1113"/>
      <c r="Q352" s="1637">
        <f t="shared" ref="Q352:R355" si="107">Q353</f>
        <v>1764.761</v>
      </c>
      <c r="R352" s="1603">
        <f t="shared" si="107"/>
        <v>1832.232</v>
      </c>
      <c r="S352" s="84"/>
      <c r="T352" s="84"/>
      <c r="U352" s="84"/>
      <c r="V352" s="84"/>
      <c r="W352" s="84"/>
      <c r="X352" s="84"/>
    </row>
    <row r="353" spans="1:24" s="83" customFormat="1" ht="13" x14ac:dyDescent="0.3">
      <c r="A353" s="91"/>
      <c r="B353" s="285" t="s">
        <v>582</v>
      </c>
      <c r="C353" s="118"/>
      <c r="D353" s="89"/>
      <c r="E353" s="89"/>
      <c r="F353" s="112" t="s">
        <v>597</v>
      </c>
      <c r="G353" s="119"/>
      <c r="H353" s="119"/>
      <c r="I353" s="33"/>
      <c r="J353" s="1113"/>
      <c r="K353" s="1059"/>
      <c r="L353" s="1059"/>
      <c r="M353" s="1551"/>
      <c r="N353" s="1603">
        <f>N354</f>
        <v>1694.001</v>
      </c>
      <c r="O353" s="1114"/>
      <c r="P353" s="1113"/>
      <c r="Q353" s="1637">
        <f t="shared" si="107"/>
        <v>1764.761</v>
      </c>
      <c r="R353" s="1603">
        <f t="shared" si="107"/>
        <v>1832.232</v>
      </c>
      <c r="S353" s="84"/>
      <c r="T353" s="84"/>
      <c r="U353" s="84"/>
      <c r="V353" s="84"/>
      <c r="W353" s="84"/>
      <c r="X353" s="84"/>
    </row>
    <row r="354" spans="1:24" s="83" customFormat="1" ht="20" x14ac:dyDescent="0.3">
      <c r="A354" s="91"/>
      <c r="B354" s="285" t="s">
        <v>867</v>
      </c>
      <c r="C354" s="118"/>
      <c r="D354" s="89"/>
      <c r="E354" s="89"/>
      <c r="F354" s="113" t="s">
        <v>593</v>
      </c>
      <c r="G354" s="119"/>
      <c r="H354" s="119"/>
      <c r="I354" s="33"/>
      <c r="J354" s="1113"/>
      <c r="K354" s="1059"/>
      <c r="L354" s="1059"/>
      <c r="M354" s="1551"/>
      <c r="N354" s="1602">
        <f>N355</f>
        <v>1694.001</v>
      </c>
      <c r="O354" s="1114"/>
      <c r="P354" s="1113"/>
      <c r="Q354" s="1636">
        <f t="shared" si="107"/>
        <v>1764.761</v>
      </c>
      <c r="R354" s="1602">
        <f t="shared" si="107"/>
        <v>1832.232</v>
      </c>
      <c r="S354" s="84"/>
      <c r="T354" s="84"/>
      <c r="U354" s="84"/>
      <c r="V354" s="84"/>
      <c r="W354" s="84"/>
      <c r="X354" s="84"/>
    </row>
    <row r="355" spans="1:24" s="83" customFormat="1" ht="13" x14ac:dyDescent="0.3">
      <c r="A355" s="91"/>
      <c r="B355" s="284" t="s">
        <v>571</v>
      </c>
      <c r="C355" s="118"/>
      <c r="D355" s="89"/>
      <c r="E355" s="89"/>
      <c r="F355" s="112" t="s">
        <v>593</v>
      </c>
      <c r="G355" s="119">
        <v>120</v>
      </c>
      <c r="H355" s="119"/>
      <c r="I355" s="33"/>
      <c r="J355" s="1113"/>
      <c r="K355" s="1059"/>
      <c r="L355" s="1059"/>
      <c r="M355" s="1551"/>
      <c r="N355" s="1603">
        <f>N356</f>
        <v>1694.001</v>
      </c>
      <c r="O355" s="1114"/>
      <c r="P355" s="1113"/>
      <c r="Q355" s="1637">
        <f t="shared" si="107"/>
        <v>1764.761</v>
      </c>
      <c r="R355" s="1603">
        <f t="shared" si="107"/>
        <v>1832.232</v>
      </c>
      <c r="S355" s="84"/>
      <c r="T355" s="84"/>
      <c r="U355" s="84"/>
      <c r="V355" s="84"/>
      <c r="W355" s="84"/>
      <c r="X355" s="84"/>
    </row>
    <row r="356" spans="1:24" s="83" customFormat="1" ht="20" x14ac:dyDescent="0.3">
      <c r="A356" s="91"/>
      <c r="B356" s="285" t="s">
        <v>600</v>
      </c>
      <c r="C356" s="118"/>
      <c r="D356" s="89"/>
      <c r="E356" s="89"/>
      <c r="F356" s="112" t="s">
        <v>593</v>
      </c>
      <c r="G356" s="119">
        <v>120</v>
      </c>
      <c r="H356" s="9" t="s">
        <v>456</v>
      </c>
      <c r="I356" s="33" t="s">
        <v>488</v>
      </c>
      <c r="J356" s="1113"/>
      <c r="K356" s="1059"/>
      <c r="L356" s="1059"/>
      <c r="M356" s="1551"/>
      <c r="N356" s="1604">
        <v>1694.001</v>
      </c>
      <c r="O356" s="1114"/>
      <c r="P356" s="1113"/>
      <c r="Q356" s="1638">
        <v>1764.761</v>
      </c>
      <c r="R356" s="1604">
        <v>1832.232</v>
      </c>
      <c r="S356" s="84"/>
      <c r="T356" s="84"/>
      <c r="U356" s="84"/>
      <c r="V356" s="84"/>
      <c r="W356" s="84"/>
      <c r="X356" s="84"/>
    </row>
    <row r="357" spans="1:24" s="83" customFormat="1" ht="39" x14ac:dyDescent="0.3">
      <c r="A357" s="91"/>
      <c r="B357" s="1093" t="s">
        <v>156</v>
      </c>
      <c r="C357" s="118"/>
      <c r="D357" s="89"/>
      <c r="E357" s="89"/>
      <c r="F357" s="112" t="s">
        <v>155</v>
      </c>
      <c r="G357" s="118"/>
      <c r="H357" s="118"/>
      <c r="I357" s="89"/>
      <c r="J357" s="1115">
        <f>J351</f>
        <v>14363.046000000004</v>
      </c>
      <c r="K357" s="1059"/>
      <c r="L357" s="1059"/>
      <c r="M357" s="1551"/>
      <c r="N357" s="1603">
        <f>N358</f>
        <v>18530.191999999999</v>
      </c>
      <c r="O357" s="1116">
        <f>O351</f>
        <v>17791.410000000003</v>
      </c>
      <c r="P357" s="1115">
        <f>P351</f>
        <v>18871.780000000002</v>
      </c>
      <c r="Q357" s="1639">
        <f>Q361+Q363+Q366+Q370+Q409+Q411</f>
        <v>18243.485000000001</v>
      </c>
      <c r="R357" s="1653">
        <f>R361+R363+R366+R370+R409+R411</f>
        <v>18902.178</v>
      </c>
      <c r="S357" s="84"/>
      <c r="T357" s="84"/>
      <c r="U357" s="84"/>
      <c r="V357" s="84"/>
      <c r="W357" s="84"/>
      <c r="X357" s="84"/>
    </row>
    <row r="358" spans="1:24" s="83" customFormat="1" ht="13" x14ac:dyDescent="0.3">
      <c r="A358" s="85"/>
      <c r="B358" s="1093" t="s">
        <v>109</v>
      </c>
      <c r="C358" s="118"/>
      <c r="D358" s="33" t="s">
        <v>69</v>
      </c>
      <c r="E358" s="33" t="s">
        <v>112</v>
      </c>
      <c r="F358" s="112" t="s">
        <v>154</v>
      </c>
      <c r="G358" s="118"/>
      <c r="H358" s="118"/>
      <c r="I358" s="33"/>
      <c r="J358" s="1060">
        <f>J360+J364+J378+J381+J386</f>
        <v>12462.203000000003</v>
      </c>
      <c r="K358" s="1058"/>
      <c r="L358" s="1059">
        <f>L360+L364</f>
        <v>12437.288999999999</v>
      </c>
      <c r="M358" s="1551">
        <f>M360+M364</f>
        <v>13307.900000000001</v>
      </c>
      <c r="N358" s="1602">
        <f>N359+N377+N380+N404+N407</f>
        <v>18530.191999999999</v>
      </c>
      <c r="O358" s="1097">
        <f>O360+O364+O378+O381+O386</f>
        <v>15466.985000000001</v>
      </c>
      <c r="P358" s="1060">
        <f>P360+P364+P378+P381+P386</f>
        <v>16326.328000000001</v>
      </c>
      <c r="Q358" s="1551">
        <f>Q361+Q363+Q366+Q370+Q409+Q411</f>
        <v>18243.485000000001</v>
      </c>
      <c r="R358" s="1583">
        <f>R361+R363+R366+R370+R409+R411</f>
        <v>18902.178</v>
      </c>
      <c r="S358" s="84"/>
      <c r="T358" s="84"/>
      <c r="U358" s="84"/>
      <c r="V358" s="84"/>
      <c r="W358" s="84"/>
      <c r="X358" s="84"/>
    </row>
    <row r="359" spans="1:24" s="83" customFormat="1" ht="13" x14ac:dyDescent="0.3">
      <c r="A359" s="85"/>
      <c r="B359" s="1110" t="s">
        <v>153</v>
      </c>
      <c r="C359" s="118"/>
      <c r="D359" s="33"/>
      <c r="E359" s="33"/>
      <c r="F359" s="113" t="s">
        <v>152</v>
      </c>
      <c r="G359" s="118"/>
      <c r="H359" s="118"/>
      <c r="I359" s="89"/>
      <c r="J359" s="1059">
        <f>J358</f>
        <v>12462.203000000003</v>
      </c>
      <c r="K359" s="1058"/>
      <c r="L359" s="1059"/>
      <c r="M359" s="1551"/>
      <c r="N359" s="1583">
        <f>N360+N364+N371</f>
        <v>17745.037</v>
      </c>
      <c r="O359" s="1088">
        <f>O358</f>
        <v>15466.985000000001</v>
      </c>
      <c r="P359" s="1059">
        <f>P358</f>
        <v>16326.328000000001</v>
      </c>
      <c r="Q359" s="1551">
        <f>Q361+Q363+Q366+Q370</f>
        <v>18236.385000000002</v>
      </c>
      <c r="R359" s="1583">
        <f>R361+R363+R366+R370</f>
        <v>18895.078000000001</v>
      </c>
      <c r="S359" s="84"/>
      <c r="T359" s="84"/>
      <c r="U359" s="84"/>
      <c r="V359" s="84"/>
      <c r="W359" s="84"/>
      <c r="X359" s="84"/>
    </row>
    <row r="360" spans="1:24" s="83" customFormat="1" ht="22.15" customHeight="1" x14ac:dyDescent="0.3">
      <c r="A360" s="85"/>
      <c r="B360" s="86" t="s">
        <v>7</v>
      </c>
      <c r="C360" s="118"/>
      <c r="D360" s="33"/>
      <c r="E360" s="33"/>
      <c r="F360" s="112" t="s">
        <v>152</v>
      </c>
      <c r="G360" s="119">
        <v>120</v>
      </c>
      <c r="H360" s="119"/>
      <c r="I360" s="89"/>
      <c r="J360" s="1060">
        <f>J361+J363</f>
        <v>8197.5570000000007</v>
      </c>
      <c r="K360" s="1058"/>
      <c r="L360" s="1059">
        <f>L361+L363</f>
        <v>9181.8719999999994</v>
      </c>
      <c r="M360" s="1551">
        <f>M361+M363</f>
        <v>9824.6040000000012</v>
      </c>
      <c r="N360" s="1590">
        <f>N363+N362+N361+N368</f>
        <v>14571.172999999999</v>
      </c>
      <c r="O360" s="1097">
        <f>O361+O363</f>
        <v>9671.2350000000006</v>
      </c>
      <c r="P360" s="1060">
        <f>P361+P363</f>
        <v>10737.36</v>
      </c>
      <c r="Q360" s="1557">
        <f>Q363+Q362+Q361+Q368</f>
        <v>15286.343000000001</v>
      </c>
      <c r="R360" s="1590">
        <f>R363+R362+R361+R368</f>
        <v>15897.791999999999</v>
      </c>
      <c r="S360" s="84"/>
      <c r="T360" s="84"/>
      <c r="U360" s="84"/>
      <c r="V360" s="84"/>
      <c r="W360" s="84"/>
      <c r="X360" s="84"/>
    </row>
    <row r="361" spans="1:24" s="83" customFormat="1" ht="41.5" customHeight="1" x14ac:dyDescent="0.3">
      <c r="A361" s="85"/>
      <c r="B361" s="95" t="s">
        <v>114</v>
      </c>
      <c r="C361" s="118"/>
      <c r="D361" s="33" t="s">
        <v>69</v>
      </c>
      <c r="E361" s="33" t="s">
        <v>112</v>
      </c>
      <c r="F361" s="112" t="s">
        <v>152</v>
      </c>
      <c r="G361" s="119">
        <v>120</v>
      </c>
      <c r="H361" s="9" t="s">
        <v>456</v>
      </c>
      <c r="I361" s="33" t="s">
        <v>495</v>
      </c>
      <c r="J361" s="1060">
        <f>807.519+241.455</f>
        <v>1048.9739999999999</v>
      </c>
      <c r="K361" s="1059"/>
      <c r="L361" s="1061">
        <v>1378.2239999999999</v>
      </c>
      <c r="M361" s="1565">
        <v>1474.6990000000001</v>
      </c>
      <c r="N361" s="1590">
        <v>955.79899999999998</v>
      </c>
      <c r="O361" s="1097">
        <v>672.428</v>
      </c>
      <c r="P361" s="1060">
        <v>739.67200000000003</v>
      </c>
      <c r="Q361" s="1557">
        <v>994.03099999999995</v>
      </c>
      <c r="R361" s="1590">
        <v>1033.7919999999999</v>
      </c>
      <c r="S361" s="84"/>
      <c r="T361" s="84"/>
      <c r="U361" s="84"/>
      <c r="V361" s="84"/>
      <c r="W361" s="84"/>
      <c r="X361" s="84"/>
    </row>
    <row r="362" spans="1:24" s="83" customFormat="1" ht="41.5" hidden="1" customHeight="1" x14ac:dyDescent="0.3">
      <c r="A362" s="85"/>
      <c r="B362" s="1117" t="s">
        <v>589</v>
      </c>
      <c r="C362" s="118"/>
      <c r="D362" s="33"/>
      <c r="E362" s="33"/>
      <c r="F362" s="112" t="s">
        <v>113</v>
      </c>
      <c r="G362" s="119">
        <v>120</v>
      </c>
      <c r="H362" s="9" t="s">
        <v>456</v>
      </c>
      <c r="I362" s="33" t="s">
        <v>495</v>
      </c>
      <c r="J362" s="1060"/>
      <c r="K362" s="1058"/>
      <c r="L362" s="1062"/>
      <c r="M362" s="1556"/>
      <c r="N362" s="1590">
        <v>0</v>
      </c>
      <c r="O362" s="1097"/>
      <c r="P362" s="1060"/>
      <c r="Q362" s="1557">
        <v>0</v>
      </c>
      <c r="R362" s="1590">
        <v>0</v>
      </c>
      <c r="S362" s="84"/>
      <c r="T362" s="84"/>
      <c r="U362" s="84"/>
      <c r="V362" s="84"/>
      <c r="W362" s="84"/>
      <c r="X362" s="84"/>
    </row>
    <row r="363" spans="1:24" ht="41.5" customHeight="1" x14ac:dyDescent="0.3">
      <c r="A363" s="32"/>
      <c r="B363" s="100" t="s">
        <v>105</v>
      </c>
      <c r="C363" s="88"/>
      <c r="D363" s="88" t="s">
        <v>69</v>
      </c>
      <c r="E363" s="88" t="s">
        <v>103</v>
      </c>
      <c r="F363" s="112" t="s">
        <v>152</v>
      </c>
      <c r="G363" s="88">
        <v>120</v>
      </c>
      <c r="H363" s="9" t="s">
        <v>456</v>
      </c>
      <c r="I363" s="33" t="s">
        <v>452</v>
      </c>
      <c r="J363" s="1061">
        <f>5450.283+1.2+1697.1</f>
        <v>7148.5830000000005</v>
      </c>
      <c r="K363" s="1061"/>
      <c r="L363" s="1061">
        <v>7803.6480000000001</v>
      </c>
      <c r="M363" s="1566">
        <v>8349.9050000000007</v>
      </c>
      <c r="N363" s="1582">
        <f>13742.608-127.234</f>
        <v>13615.374</v>
      </c>
      <c r="O363" s="1087">
        <v>8998.8070000000007</v>
      </c>
      <c r="P363" s="1061">
        <v>9997.6880000000001</v>
      </c>
      <c r="Q363" s="1550">
        <v>14292.312</v>
      </c>
      <c r="R363" s="1582">
        <v>14864</v>
      </c>
    </row>
    <row r="364" spans="1:24" s="83" customFormat="1" ht="29.5" customHeight="1" x14ac:dyDescent="0.3">
      <c r="A364" s="85"/>
      <c r="B364" s="15" t="s">
        <v>4</v>
      </c>
      <c r="C364" s="118"/>
      <c r="D364" s="33" t="s">
        <v>69</v>
      </c>
      <c r="E364" s="33" t="s">
        <v>112</v>
      </c>
      <c r="F364" s="112" t="s">
        <v>152</v>
      </c>
      <c r="G364" s="119">
        <v>240</v>
      </c>
      <c r="H364" s="119"/>
      <c r="I364" s="89"/>
      <c r="J364" s="1060">
        <f>J366+J370</f>
        <v>3612.3460000000005</v>
      </c>
      <c r="K364" s="1058"/>
      <c r="L364" s="1058">
        <f t="shared" ref="L364:R364" si="108">L366+L370</f>
        <v>3255.4169999999999</v>
      </c>
      <c r="M364" s="1555">
        <f t="shared" si="108"/>
        <v>3483.2959999999998</v>
      </c>
      <c r="N364" s="1590">
        <f t="shared" si="108"/>
        <v>3158.864</v>
      </c>
      <c r="O364" s="1097">
        <f t="shared" si="108"/>
        <v>5795.75</v>
      </c>
      <c r="P364" s="1060">
        <f t="shared" si="108"/>
        <v>5588.9679999999998</v>
      </c>
      <c r="Q364" s="1557">
        <f t="shared" si="108"/>
        <v>2950.0419999999999</v>
      </c>
      <c r="R364" s="1590">
        <f t="shared" si="108"/>
        <v>2997.2860000000001</v>
      </c>
      <c r="S364" s="84"/>
      <c r="T364" s="84"/>
      <c r="U364" s="84"/>
      <c r="V364" s="84"/>
      <c r="W364" s="84"/>
      <c r="X364" s="84"/>
    </row>
    <row r="365" spans="1:24" s="83" customFormat="1" ht="28.9" hidden="1" customHeight="1" x14ac:dyDescent="0.3">
      <c r="A365" s="85"/>
      <c r="B365" s="15" t="s">
        <v>4</v>
      </c>
      <c r="C365" s="118"/>
      <c r="D365" s="33"/>
      <c r="E365" s="33"/>
      <c r="F365" s="112" t="s">
        <v>152</v>
      </c>
      <c r="G365" s="119">
        <v>240</v>
      </c>
      <c r="H365" s="119"/>
      <c r="I365" s="33"/>
      <c r="J365" s="1060">
        <f>J366</f>
        <v>1338.8210000000001</v>
      </c>
      <c r="K365" s="1058"/>
      <c r="L365" s="1058"/>
      <c r="M365" s="1555"/>
      <c r="N365" s="1590">
        <f>N366</f>
        <v>925.08500000000004</v>
      </c>
      <c r="O365" s="1097">
        <f>O366</f>
        <v>1199.08</v>
      </c>
      <c r="P365" s="1060">
        <f>P366</f>
        <v>1171.8689999999999</v>
      </c>
      <c r="Q365" s="1557">
        <f>Q366</f>
        <v>964.28800000000001</v>
      </c>
      <c r="R365" s="1590">
        <f>R366</f>
        <v>1005.98</v>
      </c>
      <c r="S365" s="84"/>
      <c r="T365" s="84"/>
      <c r="U365" s="84"/>
      <c r="V365" s="84"/>
      <c r="W365" s="84"/>
      <c r="X365" s="84"/>
    </row>
    <row r="366" spans="1:24" s="83" customFormat="1" ht="43.15" customHeight="1" x14ac:dyDescent="0.3">
      <c r="A366" s="85"/>
      <c r="B366" s="95" t="s">
        <v>114</v>
      </c>
      <c r="C366" s="118"/>
      <c r="D366" s="33"/>
      <c r="E366" s="33"/>
      <c r="F366" s="112" t="s">
        <v>152</v>
      </c>
      <c r="G366" s="119">
        <v>240</v>
      </c>
      <c r="H366" s="9" t="s">
        <v>456</v>
      </c>
      <c r="I366" s="33" t="s">
        <v>495</v>
      </c>
      <c r="J366" s="1060">
        <f>2387.795-1048.974</f>
        <v>1338.8210000000001</v>
      </c>
      <c r="K366" s="1058"/>
      <c r="L366" s="1062">
        <v>906.91</v>
      </c>
      <c r="M366" s="1556">
        <v>970.39300000000003</v>
      </c>
      <c r="N366" s="1590">
        <v>925.08500000000004</v>
      </c>
      <c r="O366" s="1097">
        <v>1199.08</v>
      </c>
      <c r="P366" s="1060">
        <v>1171.8689999999999</v>
      </c>
      <c r="Q366" s="1557">
        <v>964.28800000000001</v>
      </c>
      <c r="R366" s="1590">
        <v>1005.98</v>
      </c>
      <c r="S366" s="84"/>
      <c r="T366" s="84"/>
      <c r="U366" s="84"/>
      <c r="V366" s="84"/>
      <c r="W366" s="84"/>
      <c r="X366" s="84"/>
    </row>
    <row r="367" spans="1:24" s="83" customFormat="1" ht="20.25" hidden="1" customHeight="1" x14ac:dyDescent="0.3">
      <c r="A367" s="85"/>
      <c r="B367" s="1746" t="s">
        <v>94</v>
      </c>
      <c r="C367" s="118"/>
      <c r="D367" s="33"/>
      <c r="E367" s="33"/>
      <c r="F367" s="112" t="s">
        <v>152</v>
      </c>
      <c r="G367" s="119">
        <v>850</v>
      </c>
      <c r="H367" s="9" t="s">
        <v>456</v>
      </c>
      <c r="I367" s="33" t="s">
        <v>495</v>
      </c>
      <c r="J367" s="1060"/>
      <c r="K367" s="1058"/>
      <c r="L367" s="1062"/>
      <c r="M367" s="1556"/>
      <c r="N367" s="1590"/>
      <c r="O367" s="1097"/>
      <c r="P367" s="1060"/>
      <c r="Q367" s="1557"/>
      <c r="R367" s="1590"/>
      <c r="S367" s="84"/>
      <c r="T367" s="84"/>
      <c r="U367" s="84"/>
      <c r="V367" s="84"/>
      <c r="W367" s="84"/>
      <c r="X367" s="84"/>
    </row>
    <row r="368" spans="1:24" s="83" customFormat="1" ht="26.25" hidden="1" customHeight="1" x14ac:dyDescent="0.3">
      <c r="A368" s="85"/>
      <c r="B368" s="95" t="s">
        <v>571</v>
      </c>
      <c r="C368" s="118"/>
      <c r="D368" s="33"/>
      <c r="E368" s="33"/>
      <c r="F368" s="112" t="s">
        <v>113</v>
      </c>
      <c r="G368" s="119">
        <v>120</v>
      </c>
      <c r="H368" s="9" t="s">
        <v>456</v>
      </c>
      <c r="I368" s="33" t="s">
        <v>495</v>
      </c>
      <c r="J368" s="1060"/>
      <c r="K368" s="1058"/>
      <c r="L368" s="1062"/>
      <c r="M368" s="1556"/>
      <c r="N368" s="1590">
        <v>0</v>
      </c>
      <c r="O368" s="1097"/>
      <c r="P368" s="1060"/>
      <c r="Q368" s="1557">
        <v>0</v>
      </c>
      <c r="R368" s="1590">
        <v>0</v>
      </c>
      <c r="S368" s="84"/>
      <c r="T368" s="84"/>
      <c r="U368" s="84"/>
      <c r="V368" s="84"/>
      <c r="W368" s="84"/>
      <c r="X368" s="84"/>
    </row>
    <row r="369" spans="1:256" s="83" customFormat="1" ht="27" hidden="1" customHeight="1" x14ac:dyDescent="0.3">
      <c r="A369" s="85"/>
      <c r="B369" s="15" t="s">
        <v>4</v>
      </c>
      <c r="C369" s="118"/>
      <c r="D369" s="33"/>
      <c r="E369" s="33"/>
      <c r="F369" s="112" t="s">
        <v>152</v>
      </c>
      <c r="G369" s="88">
        <v>240</v>
      </c>
      <c r="H369" s="88"/>
      <c r="I369" s="88"/>
      <c r="J369" s="1061">
        <f>J370</f>
        <v>2273.5250000000001</v>
      </c>
      <c r="K369" s="1058"/>
      <c r="L369" s="1062"/>
      <c r="M369" s="1556"/>
      <c r="N369" s="1582">
        <f>N370</f>
        <v>2233.779</v>
      </c>
      <c r="O369" s="1087">
        <f>O370</f>
        <v>4596.67</v>
      </c>
      <c r="P369" s="1061">
        <f>P370</f>
        <v>4417.0990000000002</v>
      </c>
      <c r="Q369" s="1550">
        <f>Q370</f>
        <v>1985.7539999999999</v>
      </c>
      <c r="R369" s="1582">
        <f>R370</f>
        <v>1991.306</v>
      </c>
      <c r="S369" s="84"/>
      <c r="T369" s="84"/>
      <c r="U369" s="84"/>
      <c r="V369" s="84"/>
      <c r="W369" s="84"/>
      <c r="X369" s="84"/>
    </row>
    <row r="370" spans="1:256" ht="39" customHeight="1" x14ac:dyDescent="0.3">
      <c r="A370" s="32"/>
      <c r="B370" s="82" t="s">
        <v>105</v>
      </c>
      <c r="C370" s="88"/>
      <c r="D370" s="88" t="s">
        <v>69</v>
      </c>
      <c r="E370" s="88" t="s">
        <v>103</v>
      </c>
      <c r="F370" s="112" t="s">
        <v>152</v>
      </c>
      <c r="G370" s="88">
        <v>240</v>
      </c>
      <c r="H370" s="9" t="s">
        <v>456</v>
      </c>
      <c r="I370" s="33" t="s">
        <v>452</v>
      </c>
      <c r="J370" s="1061">
        <v>2273.5250000000001</v>
      </c>
      <c r="K370" s="1061"/>
      <c r="L370" s="1118">
        <v>2348.5070000000001</v>
      </c>
      <c r="M370" s="1567">
        <v>2512.9029999999998</v>
      </c>
      <c r="N370" s="1582">
        <f>1457.645+127.234+648.9</f>
        <v>2233.779</v>
      </c>
      <c r="O370" s="1087">
        <v>4596.67</v>
      </c>
      <c r="P370" s="1061">
        <v>4417.0990000000002</v>
      </c>
      <c r="Q370" s="1550">
        <v>1985.7539999999999</v>
      </c>
      <c r="R370" s="1582">
        <v>1991.306</v>
      </c>
    </row>
    <row r="371" spans="1:256" ht="39" customHeight="1" x14ac:dyDescent="0.25">
      <c r="A371" s="32"/>
      <c r="B371" s="1746" t="s">
        <v>94</v>
      </c>
      <c r="C371" s="88"/>
      <c r="D371" s="88"/>
      <c r="E371" s="88"/>
      <c r="F371" s="112" t="s">
        <v>152</v>
      </c>
      <c r="G371" s="119">
        <v>850</v>
      </c>
      <c r="H371" s="9"/>
      <c r="I371" s="33"/>
      <c r="J371" s="1061"/>
      <c r="K371" s="1061"/>
      <c r="L371" s="1118"/>
      <c r="M371" s="1567"/>
      <c r="N371" s="1582">
        <f>N372+N373</f>
        <v>15</v>
      </c>
      <c r="O371" s="1087"/>
      <c r="P371" s="1061"/>
      <c r="Q371" s="1550">
        <f>Q372+Q373</f>
        <v>0</v>
      </c>
      <c r="R371" s="1582">
        <f>R372+R373</f>
        <v>0</v>
      </c>
    </row>
    <row r="372" spans="1:256" ht="39" customHeight="1" x14ac:dyDescent="0.3">
      <c r="A372" s="32"/>
      <c r="B372" s="95" t="s">
        <v>114</v>
      </c>
      <c r="C372" s="118"/>
      <c r="D372" s="33"/>
      <c r="E372" s="33"/>
      <c r="F372" s="112" t="s">
        <v>152</v>
      </c>
      <c r="G372" s="119">
        <v>850</v>
      </c>
      <c r="H372" s="9" t="s">
        <v>456</v>
      </c>
      <c r="I372" s="33" t="s">
        <v>495</v>
      </c>
      <c r="J372" s="1060"/>
      <c r="K372" s="1058"/>
      <c r="L372" s="1062"/>
      <c r="M372" s="1556"/>
      <c r="N372" s="1590">
        <v>5</v>
      </c>
      <c r="O372" s="1087"/>
      <c r="P372" s="1061"/>
      <c r="Q372" s="1557"/>
      <c r="R372" s="1590"/>
    </row>
    <row r="373" spans="1:256" ht="38.5" customHeight="1" x14ac:dyDescent="0.3">
      <c r="A373" s="32"/>
      <c r="B373" s="82" t="s">
        <v>105</v>
      </c>
      <c r="C373" s="88"/>
      <c r="D373" s="88"/>
      <c r="E373" s="88"/>
      <c r="F373" s="112" t="s">
        <v>152</v>
      </c>
      <c r="G373" s="88">
        <v>850</v>
      </c>
      <c r="H373" s="9" t="s">
        <v>456</v>
      </c>
      <c r="I373" s="33" t="s">
        <v>452</v>
      </c>
      <c r="J373" s="1061"/>
      <c r="K373" s="1061"/>
      <c r="L373" s="1061"/>
      <c r="M373" s="1125"/>
      <c r="N373" s="1582">
        <v>10</v>
      </c>
      <c r="O373" s="1087"/>
      <c r="P373" s="1061"/>
      <c r="Q373" s="1550"/>
      <c r="R373" s="1582"/>
    </row>
    <row r="374" spans="1:256" ht="21" hidden="1" customHeight="1" x14ac:dyDescent="0.3">
      <c r="A374" s="32"/>
      <c r="B374" s="86" t="s">
        <v>16</v>
      </c>
      <c r="C374" s="88"/>
      <c r="D374" s="88" t="s">
        <v>69</v>
      </c>
      <c r="E374" s="88" t="s">
        <v>103</v>
      </c>
      <c r="F374" s="88">
        <v>9100004</v>
      </c>
      <c r="G374" s="88">
        <v>240</v>
      </c>
      <c r="H374" s="88"/>
      <c r="I374" s="88" t="s">
        <v>103</v>
      </c>
      <c r="J374" s="1061">
        <v>2215.5729999999999</v>
      </c>
      <c r="K374" s="1061"/>
      <c r="L374" s="1061">
        <f>J374*106%</f>
        <v>2348.50738</v>
      </c>
      <c r="M374" s="1125">
        <f>L374*107%</f>
        <v>2512.9028966000001</v>
      </c>
      <c r="N374" s="1582">
        <v>2215.5729999999999</v>
      </c>
      <c r="O374" s="1087">
        <v>2215.5729999999999</v>
      </c>
      <c r="P374" s="1061">
        <v>2215.5729999999999</v>
      </c>
      <c r="Q374" s="1550">
        <v>2215.5729999999999</v>
      </c>
      <c r="R374" s="1582">
        <v>2215.5729999999999</v>
      </c>
    </row>
    <row r="375" spans="1:256" ht="21" hidden="1" customHeight="1" x14ac:dyDescent="0.3">
      <c r="A375" s="32"/>
      <c r="B375" s="86"/>
      <c r="C375" s="88"/>
      <c r="D375" s="88"/>
      <c r="E375" s="88"/>
      <c r="F375" s="88"/>
      <c r="G375" s="88"/>
      <c r="H375" s="88"/>
      <c r="I375" s="88"/>
      <c r="J375" s="1061"/>
      <c r="K375" s="1061"/>
      <c r="L375" s="1061"/>
      <c r="M375" s="1125"/>
      <c r="N375" s="1582"/>
      <c r="O375" s="1087"/>
      <c r="P375" s="1061"/>
      <c r="Q375" s="1550"/>
      <c r="R375" s="1582"/>
    </row>
    <row r="376" spans="1:256" ht="21" hidden="1" customHeight="1" x14ac:dyDescent="0.3">
      <c r="A376" s="32"/>
      <c r="B376" s="86"/>
      <c r="C376" s="88"/>
      <c r="D376" s="88"/>
      <c r="E376" s="88"/>
      <c r="F376" s="88">
        <v>9100004</v>
      </c>
      <c r="G376" s="88"/>
      <c r="H376" s="88"/>
      <c r="I376" s="88" t="s">
        <v>103</v>
      </c>
      <c r="J376" s="1061" t="e">
        <f>#REF!+J370</f>
        <v>#REF!</v>
      </c>
      <c r="K376" s="1061"/>
      <c r="L376" s="1061" t="e">
        <f>#REF!+L370</f>
        <v>#REF!</v>
      </c>
      <c r="M376" s="1125" t="e">
        <f>#REF!+M370</f>
        <v>#REF!</v>
      </c>
      <c r="N376" s="1582" t="e">
        <f>#REF!+N370</f>
        <v>#REF!</v>
      </c>
      <c r="O376" s="1087" t="e">
        <f>#REF!+O370</f>
        <v>#REF!</v>
      </c>
      <c r="P376" s="1061" t="e">
        <f>#REF!+P370</f>
        <v>#REF!</v>
      </c>
      <c r="Q376" s="1550" t="e">
        <f>#REF!+Q370</f>
        <v>#REF!</v>
      </c>
      <c r="R376" s="1582" t="e">
        <f>#REF!+R370</f>
        <v>#REF!</v>
      </c>
    </row>
    <row r="377" spans="1:256" ht="39" x14ac:dyDescent="0.3">
      <c r="A377" s="32"/>
      <c r="B377" s="95" t="s">
        <v>151</v>
      </c>
      <c r="C377" s="88"/>
      <c r="D377" s="88"/>
      <c r="E377" s="88"/>
      <c r="F377" s="113" t="s">
        <v>623</v>
      </c>
      <c r="G377" s="94"/>
      <c r="H377" s="94"/>
      <c r="I377" s="94"/>
      <c r="J377" s="1064">
        <f>J378</f>
        <v>179.7</v>
      </c>
      <c r="K377" s="1064"/>
      <c r="L377" s="1064"/>
      <c r="M377" s="1552"/>
      <c r="N377" s="1597">
        <f t="shared" ref="N377:R378" si="109">N378</f>
        <v>50.6</v>
      </c>
      <c r="O377" s="1107">
        <f t="shared" si="109"/>
        <v>0</v>
      </c>
      <c r="P377" s="1064">
        <f t="shared" si="109"/>
        <v>0</v>
      </c>
      <c r="Q377" s="1563">
        <f t="shared" si="109"/>
        <v>0</v>
      </c>
      <c r="R377" s="1597">
        <f t="shared" si="109"/>
        <v>0</v>
      </c>
    </row>
    <row r="378" spans="1:256" ht="13" x14ac:dyDescent="0.3">
      <c r="A378" s="32"/>
      <c r="B378" s="95" t="s">
        <v>123</v>
      </c>
      <c r="C378" s="88"/>
      <c r="D378" s="88"/>
      <c r="E378" s="88"/>
      <c r="F378" s="112" t="s">
        <v>623</v>
      </c>
      <c r="G378" s="88">
        <v>540</v>
      </c>
      <c r="H378" s="88"/>
      <c r="I378" s="88"/>
      <c r="J378" s="1061">
        <f>J379</f>
        <v>179.7</v>
      </c>
      <c r="K378" s="1061"/>
      <c r="L378" s="1061"/>
      <c r="M378" s="1125"/>
      <c r="N378" s="1582">
        <f t="shared" si="109"/>
        <v>50.6</v>
      </c>
      <c r="O378" s="1087">
        <f t="shared" si="109"/>
        <v>0</v>
      </c>
      <c r="P378" s="1061">
        <f t="shared" si="109"/>
        <v>0</v>
      </c>
      <c r="Q378" s="1550">
        <f t="shared" si="109"/>
        <v>0</v>
      </c>
      <c r="R378" s="1582">
        <f t="shared" si="109"/>
        <v>0</v>
      </c>
    </row>
    <row r="379" spans="1:256" s="2" customFormat="1" ht="39" x14ac:dyDescent="0.3">
      <c r="A379" s="32"/>
      <c r="B379" s="100" t="s">
        <v>105</v>
      </c>
      <c r="C379" s="88"/>
      <c r="D379" s="88"/>
      <c r="E379" s="88"/>
      <c r="F379" s="112" t="s">
        <v>623</v>
      </c>
      <c r="G379" s="88">
        <v>540</v>
      </c>
      <c r="H379" s="9" t="s">
        <v>456</v>
      </c>
      <c r="I379" s="33" t="s">
        <v>452</v>
      </c>
      <c r="J379" s="1061">
        <v>179.7</v>
      </c>
      <c r="K379" s="1061"/>
      <c r="L379" s="1061"/>
      <c r="M379" s="1125"/>
      <c r="N379" s="1582">
        <v>50.6</v>
      </c>
      <c r="O379" s="1087"/>
      <c r="P379" s="1061"/>
      <c r="Q379" s="1550"/>
      <c r="R379" s="1582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</row>
    <row r="380" spans="1:256" s="2" customFormat="1" ht="39" x14ac:dyDescent="0.25">
      <c r="A380" s="32"/>
      <c r="B380" s="1119" t="s">
        <v>149</v>
      </c>
      <c r="C380" s="88"/>
      <c r="D380" s="88"/>
      <c r="E380" s="88"/>
      <c r="F380" s="113" t="s">
        <v>148</v>
      </c>
      <c r="G380" s="94"/>
      <c r="H380" s="94"/>
      <c r="I380" s="94"/>
      <c r="J380" s="1064">
        <f>J381</f>
        <v>303</v>
      </c>
      <c r="K380" s="1064"/>
      <c r="L380" s="1064"/>
      <c r="M380" s="1552"/>
      <c r="N380" s="1597">
        <f t="shared" ref="N380:R381" si="110">N381</f>
        <v>307.5</v>
      </c>
      <c r="O380" s="1107">
        <f t="shared" si="110"/>
        <v>0</v>
      </c>
      <c r="P380" s="1064">
        <f t="shared" si="110"/>
        <v>0</v>
      </c>
      <c r="Q380" s="1563">
        <f t="shared" si="110"/>
        <v>0</v>
      </c>
      <c r="R380" s="1597">
        <f t="shared" si="110"/>
        <v>0</v>
      </c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</row>
    <row r="381" spans="1:256" s="2" customFormat="1" ht="13" x14ac:dyDescent="0.25">
      <c r="A381" s="32"/>
      <c r="B381" s="1119" t="s">
        <v>130</v>
      </c>
      <c r="C381" s="88"/>
      <c r="D381" s="88"/>
      <c r="E381" s="88"/>
      <c r="F381" s="112" t="s">
        <v>148</v>
      </c>
      <c r="G381" s="88">
        <v>540</v>
      </c>
      <c r="H381" s="88"/>
      <c r="I381" s="88"/>
      <c r="J381" s="1061">
        <f>J382</f>
        <v>303</v>
      </c>
      <c r="K381" s="1061"/>
      <c r="L381" s="1061"/>
      <c r="M381" s="1125"/>
      <c r="N381" s="1582">
        <f t="shared" si="110"/>
        <v>307.5</v>
      </c>
      <c r="O381" s="1087">
        <f t="shared" si="110"/>
        <v>0</v>
      </c>
      <c r="P381" s="1061">
        <f t="shared" si="110"/>
        <v>0</v>
      </c>
      <c r="Q381" s="1550">
        <f t="shared" si="110"/>
        <v>0</v>
      </c>
      <c r="R381" s="1582">
        <f t="shared" si="110"/>
        <v>0</v>
      </c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</row>
    <row r="382" spans="1:256" s="2" customFormat="1" ht="39" x14ac:dyDescent="0.3">
      <c r="A382" s="32"/>
      <c r="B382" s="100" t="s">
        <v>105</v>
      </c>
      <c r="C382" s="88"/>
      <c r="D382" s="88"/>
      <c r="E382" s="88"/>
      <c r="F382" s="112" t="s">
        <v>148</v>
      </c>
      <c r="G382" s="88">
        <v>540</v>
      </c>
      <c r="H382" s="9" t="s">
        <v>456</v>
      </c>
      <c r="I382" s="33" t="s">
        <v>452</v>
      </c>
      <c r="J382" s="1061">
        <v>303</v>
      </c>
      <c r="K382" s="1061"/>
      <c r="L382" s="1061"/>
      <c r="M382" s="1125"/>
      <c r="N382" s="1582">
        <v>307.5</v>
      </c>
      <c r="O382" s="1087"/>
      <c r="P382" s="1061"/>
      <c r="Q382" s="1550"/>
      <c r="R382" s="1582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</row>
    <row r="383" spans="1:256" s="2" customFormat="1" ht="39" hidden="1" x14ac:dyDescent="0.25">
      <c r="A383" s="32"/>
      <c r="B383" s="1098" t="s">
        <v>147</v>
      </c>
      <c r="C383" s="88"/>
      <c r="D383" s="88"/>
      <c r="E383" s="88"/>
      <c r="F383" s="112" t="s">
        <v>146</v>
      </c>
      <c r="G383" s="88">
        <v>540</v>
      </c>
      <c r="H383" s="88"/>
      <c r="I383" s="88"/>
      <c r="J383" s="1061"/>
      <c r="K383" s="1061"/>
      <c r="L383" s="1061"/>
      <c r="M383" s="1125"/>
      <c r="N383" s="1582"/>
      <c r="O383" s="1087"/>
      <c r="P383" s="1061"/>
      <c r="Q383" s="1550"/>
      <c r="R383" s="1582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</row>
    <row r="384" spans="1:256" s="2" customFormat="1" ht="39" hidden="1" x14ac:dyDescent="0.3">
      <c r="A384" s="32"/>
      <c r="B384" s="100" t="s">
        <v>105</v>
      </c>
      <c r="C384" s="88"/>
      <c r="D384" s="88"/>
      <c r="E384" s="88"/>
      <c r="F384" s="112" t="s">
        <v>146</v>
      </c>
      <c r="G384" s="88">
        <v>540</v>
      </c>
      <c r="H384" s="88"/>
      <c r="I384" s="88" t="s">
        <v>103</v>
      </c>
      <c r="J384" s="1061"/>
      <c r="K384" s="1061"/>
      <c r="L384" s="1061"/>
      <c r="M384" s="1125"/>
      <c r="N384" s="1582"/>
      <c r="O384" s="1087"/>
      <c r="P384" s="1061"/>
      <c r="Q384" s="1550"/>
      <c r="R384" s="1582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</row>
    <row r="385" spans="1:256" s="2" customFormat="1" ht="65" hidden="1" x14ac:dyDescent="0.25">
      <c r="A385" s="32"/>
      <c r="B385" s="1120" t="s">
        <v>145</v>
      </c>
      <c r="C385" s="88"/>
      <c r="D385" s="88"/>
      <c r="E385" s="88"/>
      <c r="F385" s="113" t="s">
        <v>144</v>
      </c>
      <c r="G385" s="94"/>
      <c r="H385" s="94"/>
      <c r="I385" s="94"/>
      <c r="J385" s="1064">
        <f>J386</f>
        <v>169.6</v>
      </c>
      <c r="K385" s="1064"/>
      <c r="L385" s="1064"/>
      <c r="M385" s="1552"/>
      <c r="N385" s="1597">
        <f t="shared" ref="N385:R386" si="111">N386</f>
        <v>0</v>
      </c>
      <c r="O385" s="1107">
        <f t="shared" si="111"/>
        <v>0</v>
      </c>
      <c r="P385" s="1064">
        <f t="shared" si="111"/>
        <v>0</v>
      </c>
      <c r="Q385" s="1563">
        <f t="shared" si="111"/>
        <v>0</v>
      </c>
      <c r="R385" s="1597">
        <f t="shared" si="111"/>
        <v>0</v>
      </c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</row>
    <row r="386" spans="1:256" s="2" customFormat="1" ht="13" hidden="1" x14ac:dyDescent="0.25">
      <c r="A386" s="32"/>
      <c r="B386" s="1120" t="s">
        <v>130</v>
      </c>
      <c r="C386" s="88"/>
      <c r="D386" s="88"/>
      <c r="E386" s="88"/>
      <c r="F386" s="112" t="s">
        <v>144</v>
      </c>
      <c r="G386" s="88">
        <v>540</v>
      </c>
      <c r="H386" s="88"/>
      <c r="I386" s="88"/>
      <c r="J386" s="1061">
        <f>J387</f>
        <v>169.6</v>
      </c>
      <c r="K386" s="1061"/>
      <c r="L386" s="1061"/>
      <c r="M386" s="1125"/>
      <c r="N386" s="1582">
        <f t="shared" si="111"/>
        <v>0</v>
      </c>
      <c r="O386" s="1087">
        <f t="shared" si="111"/>
        <v>0</v>
      </c>
      <c r="P386" s="1061">
        <f t="shared" si="111"/>
        <v>0</v>
      </c>
      <c r="Q386" s="1550">
        <f t="shared" si="111"/>
        <v>0</v>
      </c>
      <c r="R386" s="1582">
        <f t="shared" si="111"/>
        <v>0</v>
      </c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</row>
    <row r="387" spans="1:256" s="2" customFormat="1" ht="39" hidden="1" x14ac:dyDescent="0.3">
      <c r="A387" s="32"/>
      <c r="B387" s="100" t="s">
        <v>105</v>
      </c>
      <c r="C387" s="88"/>
      <c r="D387" s="88"/>
      <c r="E387" s="88"/>
      <c r="F387" s="112" t="s">
        <v>144</v>
      </c>
      <c r="G387" s="88">
        <v>540</v>
      </c>
      <c r="H387" s="9" t="s">
        <v>456</v>
      </c>
      <c r="I387" s="33" t="s">
        <v>452</v>
      </c>
      <c r="J387" s="1061">
        <v>169.6</v>
      </c>
      <c r="K387" s="1061"/>
      <c r="L387" s="1061"/>
      <c r="M387" s="1125"/>
      <c r="N387" s="1582">
        <v>0</v>
      </c>
      <c r="O387" s="1087"/>
      <c r="P387" s="1061"/>
      <c r="Q387" s="1550">
        <v>0</v>
      </c>
      <c r="R387" s="1582">
        <v>0</v>
      </c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</row>
    <row r="388" spans="1:256" s="2" customFormat="1" ht="52" hidden="1" x14ac:dyDescent="0.25">
      <c r="A388" s="32"/>
      <c r="B388" s="1093" t="s">
        <v>111</v>
      </c>
      <c r="C388" s="88"/>
      <c r="D388" s="88"/>
      <c r="E388" s="88"/>
      <c r="F388" s="34" t="s">
        <v>110</v>
      </c>
      <c r="G388" s="88"/>
      <c r="H388" s="88"/>
      <c r="I388" s="88"/>
      <c r="J388" s="1064">
        <f>J389</f>
        <v>0</v>
      </c>
      <c r="K388" s="1061"/>
      <c r="L388" s="1061"/>
      <c r="M388" s="1125"/>
      <c r="N388" s="1597">
        <f t="shared" ref="N388:R391" si="112">N389</f>
        <v>0</v>
      </c>
      <c r="O388" s="1107">
        <f t="shared" si="112"/>
        <v>0</v>
      </c>
      <c r="P388" s="1064">
        <f t="shared" si="112"/>
        <v>0</v>
      </c>
      <c r="Q388" s="1563">
        <f t="shared" si="112"/>
        <v>0</v>
      </c>
      <c r="R388" s="1597">
        <f t="shared" si="112"/>
        <v>0</v>
      </c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</row>
    <row r="389" spans="1:256" s="2" customFormat="1" ht="21" hidden="1" customHeight="1" x14ac:dyDescent="0.25">
      <c r="A389" s="32"/>
      <c r="B389" s="1093" t="s">
        <v>109</v>
      </c>
      <c r="C389" s="88"/>
      <c r="D389" s="88"/>
      <c r="E389" s="88"/>
      <c r="F389" s="9" t="s">
        <v>108</v>
      </c>
      <c r="G389" s="88"/>
      <c r="H389" s="88"/>
      <c r="I389" s="88"/>
      <c r="J389" s="1061">
        <f>J390</f>
        <v>0</v>
      </c>
      <c r="K389" s="1061"/>
      <c r="L389" s="1061"/>
      <c r="M389" s="1125"/>
      <c r="N389" s="1582">
        <f t="shared" si="112"/>
        <v>0</v>
      </c>
      <c r="O389" s="1087">
        <f t="shared" si="112"/>
        <v>0</v>
      </c>
      <c r="P389" s="1061">
        <f t="shared" si="112"/>
        <v>0</v>
      </c>
      <c r="Q389" s="1550">
        <f t="shared" si="112"/>
        <v>0</v>
      </c>
      <c r="R389" s="1582">
        <f t="shared" si="112"/>
        <v>0</v>
      </c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</row>
    <row r="390" spans="1:256" s="2" customFormat="1" ht="26" hidden="1" x14ac:dyDescent="0.25">
      <c r="A390" s="32"/>
      <c r="B390" s="49" t="s">
        <v>107</v>
      </c>
      <c r="C390" s="88" t="s">
        <v>106</v>
      </c>
      <c r="D390" s="88" t="s">
        <v>69</v>
      </c>
      <c r="E390" s="88" t="s">
        <v>103</v>
      </c>
      <c r="F390" s="9" t="s">
        <v>104</v>
      </c>
      <c r="G390" s="9"/>
      <c r="H390" s="9"/>
      <c r="I390" s="88"/>
      <c r="J390" s="1060">
        <f>J391</f>
        <v>0</v>
      </c>
      <c r="K390" s="1059"/>
      <c r="L390" s="1059">
        <f>L391</f>
        <v>1223.8879999999999</v>
      </c>
      <c r="M390" s="1555">
        <f>M391</f>
        <v>1309.56</v>
      </c>
      <c r="N390" s="1590">
        <f t="shared" si="112"/>
        <v>0</v>
      </c>
      <c r="O390" s="1097">
        <f t="shared" si="112"/>
        <v>0</v>
      </c>
      <c r="P390" s="1060">
        <f t="shared" si="112"/>
        <v>0</v>
      </c>
      <c r="Q390" s="1557">
        <f t="shared" si="112"/>
        <v>0</v>
      </c>
      <c r="R390" s="1590">
        <f t="shared" si="112"/>
        <v>0</v>
      </c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</row>
    <row r="391" spans="1:256" s="2" customFormat="1" ht="13" hidden="1" x14ac:dyDescent="0.3">
      <c r="A391" s="32"/>
      <c r="B391" s="16" t="s">
        <v>7</v>
      </c>
      <c r="C391" s="88"/>
      <c r="D391" s="88" t="s">
        <v>69</v>
      </c>
      <c r="E391" s="88" t="s">
        <v>103</v>
      </c>
      <c r="F391" s="9" t="s">
        <v>104</v>
      </c>
      <c r="G391" s="88">
        <v>120</v>
      </c>
      <c r="H391" s="88"/>
      <c r="I391" s="88"/>
      <c r="J391" s="1060">
        <f>J392</f>
        <v>0</v>
      </c>
      <c r="K391" s="1060"/>
      <c r="L391" s="1061">
        <v>1223.8879999999999</v>
      </c>
      <c r="M391" s="1550">
        <v>1309.56</v>
      </c>
      <c r="N391" s="1590">
        <f t="shared" si="112"/>
        <v>0</v>
      </c>
      <c r="O391" s="1097">
        <f t="shared" si="112"/>
        <v>0</v>
      </c>
      <c r="P391" s="1060">
        <f t="shared" si="112"/>
        <v>0</v>
      </c>
      <c r="Q391" s="1557">
        <f t="shared" si="112"/>
        <v>0</v>
      </c>
      <c r="R391" s="1590">
        <f t="shared" si="112"/>
        <v>0</v>
      </c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</row>
    <row r="392" spans="1:256" s="2" customFormat="1" ht="39" hidden="1" x14ac:dyDescent="0.3">
      <c r="A392" s="32"/>
      <c r="B392" s="100" t="s">
        <v>105</v>
      </c>
      <c r="C392" s="88"/>
      <c r="D392" s="88"/>
      <c r="E392" s="88"/>
      <c r="F392" s="9" t="s">
        <v>104</v>
      </c>
      <c r="G392" s="88">
        <v>120</v>
      </c>
      <c r="H392" s="88"/>
      <c r="I392" s="88" t="s">
        <v>103</v>
      </c>
      <c r="J392" s="1060"/>
      <c r="K392" s="1060"/>
      <c r="L392" s="1061">
        <v>1223.8879999999999</v>
      </c>
      <c r="M392" s="1550">
        <v>1309.56</v>
      </c>
      <c r="N392" s="1590"/>
      <c r="O392" s="1097"/>
      <c r="P392" s="1060"/>
      <c r="Q392" s="1557"/>
      <c r="R392" s="1590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</row>
    <row r="393" spans="1:256" s="2" customFormat="1" ht="65" hidden="1" x14ac:dyDescent="0.25">
      <c r="A393" s="32"/>
      <c r="B393" s="90" t="s">
        <v>784</v>
      </c>
      <c r="C393" s="88"/>
      <c r="D393" s="88" t="s">
        <v>69</v>
      </c>
      <c r="E393" s="88" t="s">
        <v>103</v>
      </c>
      <c r="F393" s="34" t="s">
        <v>141</v>
      </c>
      <c r="G393" s="9"/>
      <c r="H393" s="9"/>
      <c r="I393" s="88"/>
      <c r="J393" s="1065">
        <f>J394</f>
        <v>0</v>
      </c>
      <c r="K393" s="1065"/>
      <c r="L393" s="1065">
        <f t="shared" ref="L393:R393" si="113">L394</f>
        <v>171.8</v>
      </c>
      <c r="M393" s="1552">
        <f t="shared" si="113"/>
        <v>171.8</v>
      </c>
      <c r="N393" s="1585">
        <f t="shared" si="113"/>
        <v>0</v>
      </c>
      <c r="O393" s="1091">
        <f t="shared" si="113"/>
        <v>0</v>
      </c>
      <c r="P393" s="1065">
        <f t="shared" si="113"/>
        <v>0</v>
      </c>
      <c r="Q393" s="1552">
        <f t="shared" si="113"/>
        <v>0</v>
      </c>
      <c r="R393" s="1585">
        <f t="shared" si="113"/>
        <v>0</v>
      </c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</row>
    <row r="394" spans="1:256" s="2" customFormat="1" ht="13" hidden="1" x14ac:dyDescent="0.3">
      <c r="A394" s="32"/>
      <c r="B394" s="16" t="s">
        <v>142</v>
      </c>
      <c r="C394" s="88"/>
      <c r="D394" s="88" t="s">
        <v>69</v>
      </c>
      <c r="E394" s="88" t="s">
        <v>103</v>
      </c>
      <c r="F394" s="9" t="s">
        <v>141</v>
      </c>
      <c r="G394" s="9" t="s">
        <v>140</v>
      </c>
      <c r="H394" s="9"/>
      <c r="I394" s="88"/>
      <c r="J394" s="1063">
        <f>J395</f>
        <v>0</v>
      </c>
      <c r="K394" s="1063"/>
      <c r="L394" s="1063">
        <v>171.8</v>
      </c>
      <c r="M394" s="1125">
        <v>171.8</v>
      </c>
      <c r="N394" s="1584">
        <f>N395</f>
        <v>0</v>
      </c>
      <c r="O394" s="1069">
        <f>O395</f>
        <v>0</v>
      </c>
      <c r="P394" s="1063">
        <f>P395</f>
        <v>0</v>
      </c>
      <c r="Q394" s="1125">
        <f>Q395</f>
        <v>0</v>
      </c>
      <c r="R394" s="1584">
        <f>R395</f>
        <v>0</v>
      </c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</row>
    <row r="395" spans="1:256" ht="39" hidden="1" x14ac:dyDescent="0.3">
      <c r="A395" s="32"/>
      <c r="B395" s="100" t="s">
        <v>105</v>
      </c>
      <c r="C395" s="88"/>
      <c r="D395" s="88"/>
      <c r="E395" s="88"/>
      <c r="F395" s="9" t="s">
        <v>141</v>
      </c>
      <c r="G395" s="9" t="s">
        <v>140</v>
      </c>
      <c r="H395" s="9"/>
      <c r="I395" s="88" t="s">
        <v>103</v>
      </c>
      <c r="J395" s="1063"/>
      <c r="K395" s="1063"/>
      <c r="L395" s="1063">
        <v>171.8</v>
      </c>
      <c r="M395" s="1125">
        <v>171.8</v>
      </c>
      <c r="N395" s="1584"/>
      <c r="O395" s="1069"/>
      <c r="P395" s="1063"/>
      <c r="Q395" s="1125"/>
      <c r="R395" s="1584"/>
    </row>
    <row r="396" spans="1:256" ht="75.650000000000006" hidden="1" customHeight="1" x14ac:dyDescent="0.25">
      <c r="A396" s="32"/>
      <c r="B396" s="111" t="s">
        <v>785</v>
      </c>
      <c r="C396" s="88"/>
      <c r="D396" s="9" t="s">
        <v>69</v>
      </c>
      <c r="E396" s="9" t="s">
        <v>103</v>
      </c>
      <c r="F396" s="34" t="s">
        <v>136</v>
      </c>
      <c r="G396" s="9"/>
      <c r="H396" s="9"/>
      <c r="I396" s="9"/>
      <c r="J396" s="1065">
        <f>J398</f>
        <v>0</v>
      </c>
      <c r="K396" s="1065"/>
      <c r="L396" s="1065">
        <f t="shared" ref="L396:R396" si="114">L398</f>
        <v>263</v>
      </c>
      <c r="M396" s="1552">
        <f t="shared" si="114"/>
        <v>263</v>
      </c>
      <c r="N396" s="1585">
        <f t="shared" si="114"/>
        <v>0</v>
      </c>
      <c r="O396" s="1091">
        <f t="shared" si="114"/>
        <v>0</v>
      </c>
      <c r="P396" s="1065">
        <f t="shared" si="114"/>
        <v>0</v>
      </c>
      <c r="Q396" s="1552">
        <f t="shared" si="114"/>
        <v>0</v>
      </c>
      <c r="R396" s="1585">
        <f t="shared" si="114"/>
        <v>0</v>
      </c>
    </row>
    <row r="397" spans="1:256" ht="18" hidden="1" customHeight="1" x14ac:dyDescent="0.25">
      <c r="A397" s="32"/>
      <c r="B397" s="42" t="s">
        <v>138</v>
      </c>
      <c r="C397" s="9"/>
      <c r="D397" s="9" t="s">
        <v>69</v>
      </c>
      <c r="E397" s="9" t="s">
        <v>103</v>
      </c>
      <c r="F397" s="9" t="s">
        <v>137</v>
      </c>
      <c r="G397" s="9"/>
      <c r="H397" s="9"/>
      <c r="I397" s="9" t="s">
        <v>103</v>
      </c>
      <c r="J397" s="1062"/>
      <c r="K397" s="1062"/>
      <c r="L397" s="1062"/>
      <c r="M397" s="1556"/>
      <c r="N397" s="1589"/>
      <c r="O397" s="1096"/>
      <c r="P397" s="1062"/>
      <c r="Q397" s="1556"/>
      <c r="R397" s="1589"/>
    </row>
    <row r="398" spans="1:256" ht="15" hidden="1" customHeight="1" x14ac:dyDescent="0.3">
      <c r="A398" s="32"/>
      <c r="B398" s="16" t="s">
        <v>123</v>
      </c>
      <c r="C398" s="9"/>
      <c r="D398" s="9" t="s">
        <v>69</v>
      </c>
      <c r="E398" s="9" t="s">
        <v>103</v>
      </c>
      <c r="F398" s="9" t="s">
        <v>136</v>
      </c>
      <c r="G398" s="9" t="s">
        <v>120</v>
      </c>
      <c r="H398" s="9"/>
      <c r="I398" s="9"/>
      <c r="J398" s="1062">
        <f>J399</f>
        <v>0</v>
      </c>
      <c r="K398" s="1062"/>
      <c r="L398" s="1062">
        <v>263</v>
      </c>
      <c r="M398" s="1556">
        <v>263</v>
      </c>
      <c r="N398" s="1589">
        <f>N399</f>
        <v>0</v>
      </c>
      <c r="O398" s="1096">
        <f>O399</f>
        <v>0</v>
      </c>
      <c r="P398" s="1062">
        <f>P399</f>
        <v>0</v>
      </c>
      <c r="Q398" s="1556">
        <f>Q399</f>
        <v>0</v>
      </c>
      <c r="R398" s="1589">
        <f>R399</f>
        <v>0</v>
      </c>
    </row>
    <row r="399" spans="1:256" ht="42" hidden="1" customHeight="1" x14ac:dyDescent="0.3">
      <c r="A399" s="32"/>
      <c r="B399" s="100" t="s">
        <v>105</v>
      </c>
      <c r="C399" s="9"/>
      <c r="D399" s="9"/>
      <c r="E399" s="9"/>
      <c r="F399" s="9" t="s">
        <v>136</v>
      </c>
      <c r="G399" s="9" t="s">
        <v>120</v>
      </c>
      <c r="H399" s="9"/>
      <c r="I399" s="9" t="s">
        <v>103</v>
      </c>
      <c r="J399" s="1062"/>
      <c r="K399" s="1062"/>
      <c r="L399" s="1062">
        <v>263</v>
      </c>
      <c r="M399" s="1556">
        <v>263</v>
      </c>
      <c r="N399" s="1589"/>
      <c r="O399" s="1096"/>
      <c r="P399" s="1062"/>
      <c r="Q399" s="1556"/>
      <c r="R399" s="1589"/>
    </row>
    <row r="400" spans="1:256" ht="99" hidden="1" customHeight="1" x14ac:dyDescent="0.25">
      <c r="A400" s="32"/>
      <c r="B400" s="110" t="s">
        <v>786</v>
      </c>
      <c r="C400" s="9"/>
      <c r="D400" s="9" t="s">
        <v>69</v>
      </c>
      <c r="E400" s="9" t="s">
        <v>103</v>
      </c>
      <c r="F400" s="34" t="s">
        <v>132</v>
      </c>
      <c r="G400" s="9"/>
      <c r="H400" s="9"/>
      <c r="I400" s="9"/>
      <c r="J400" s="1058">
        <f>J401</f>
        <v>0</v>
      </c>
      <c r="K400" s="1058"/>
      <c r="L400" s="1058">
        <f t="shared" ref="L400:R400" si="115">L401</f>
        <v>130.1</v>
      </c>
      <c r="M400" s="1555">
        <f t="shared" si="115"/>
        <v>130.1</v>
      </c>
      <c r="N400" s="1588">
        <f t="shared" si="115"/>
        <v>0</v>
      </c>
      <c r="O400" s="1095">
        <f t="shared" si="115"/>
        <v>0</v>
      </c>
      <c r="P400" s="1058">
        <f t="shared" si="115"/>
        <v>0</v>
      </c>
      <c r="Q400" s="1555">
        <f t="shared" si="115"/>
        <v>0</v>
      </c>
      <c r="R400" s="1588">
        <f t="shared" si="115"/>
        <v>0</v>
      </c>
    </row>
    <row r="401" spans="1:256" ht="15" hidden="1" customHeight="1" x14ac:dyDescent="0.3">
      <c r="A401" s="32"/>
      <c r="B401" s="16" t="s">
        <v>123</v>
      </c>
      <c r="C401" s="9"/>
      <c r="D401" s="9" t="s">
        <v>69</v>
      </c>
      <c r="E401" s="9" t="s">
        <v>103</v>
      </c>
      <c r="F401" s="9" t="s">
        <v>132</v>
      </c>
      <c r="G401" s="9" t="s">
        <v>120</v>
      </c>
      <c r="H401" s="9"/>
      <c r="I401" s="9"/>
      <c r="J401" s="1062">
        <f>J403</f>
        <v>0</v>
      </c>
      <c r="K401" s="1062"/>
      <c r="L401" s="1062">
        <v>130.1</v>
      </c>
      <c r="M401" s="1556">
        <v>130.1</v>
      </c>
      <c r="N401" s="1589">
        <f>N403</f>
        <v>0</v>
      </c>
      <c r="O401" s="1096">
        <f>O403</f>
        <v>0</v>
      </c>
      <c r="P401" s="1062">
        <f>P403</f>
        <v>0</v>
      </c>
      <c r="Q401" s="1556">
        <f>Q403</f>
        <v>0</v>
      </c>
      <c r="R401" s="1589">
        <f>R403</f>
        <v>0</v>
      </c>
    </row>
    <row r="402" spans="1:256" ht="60.65" hidden="1" customHeight="1" x14ac:dyDescent="0.25">
      <c r="A402" s="32"/>
      <c r="B402" s="109" t="s">
        <v>134</v>
      </c>
      <c r="C402" s="88"/>
      <c r="D402" s="88" t="s">
        <v>69</v>
      </c>
      <c r="E402" s="88" t="s">
        <v>103</v>
      </c>
      <c r="F402" s="9" t="s">
        <v>133</v>
      </c>
      <c r="G402" s="9"/>
      <c r="H402" s="9"/>
      <c r="I402" s="88" t="s">
        <v>103</v>
      </c>
      <c r="J402" s="1062"/>
      <c r="K402" s="1062"/>
      <c r="L402" s="1062"/>
      <c r="M402" s="1556"/>
      <c r="N402" s="1589"/>
      <c r="O402" s="1096"/>
      <c r="P402" s="1062"/>
      <c r="Q402" s="1556"/>
      <c r="R402" s="1589"/>
    </row>
    <row r="403" spans="1:256" ht="40.15" hidden="1" customHeight="1" x14ac:dyDescent="0.3">
      <c r="A403" s="32"/>
      <c r="B403" s="82" t="s">
        <v>105</v>
      </c>
      <c r="C403" s="88"/>
      <c r="D403" s="88"/>
      <c r="E403" s="88"/>
      <c r="F403" s="9" t="s">
        <v>132</v>
      </c>
      <c r="G403" s="9" t="s">
        <v>120</v>
      </c>
      <c r="H403" s="9"/>
      <c r="I403" s="9" t="s">
        <v>103</v>
      </c>
      <c r="J403" s="1062"/>
      <c r="K403" s="1062"/>
      <c r="L403" s="1062">
        <v>130.1</v>
      </c>
      <c r="M403" s="1556">
        <v>130.1</v>
      </c>
      <c r="N403" s="1589"/>
      <c r="O403" s="1096"/>
      <c r="P403" s="1062"/>
      <c r="Q403" s="1556"/>
      <c r="R403" s="1589"/>
    </row>
    <row r="404" spans="1:256" ht="40.15" customHeight="1" x14ac:dyDescent="0.3">
      <c r="A404" s="32"/>
      <c r="B404" s="95" t="s">
        <v>131</v>
      </c>
      <c r="C404" s="88"/>
      <c r="D404" s="88"/>
      <c r="E404" s="88"/>
      <c r="F404" s="34" t="s">
        <v>129</v>
      </c>
      <c r="G404" s="34"/>
      <c r="H404" s="34"/>
      <c r="I404" s="34"/>
      <c r="J404" s="1058">
        <f>J406</f>
        <v>170.1</v>
      </c>
      <c r="K404" s="1058"/>
      <c r="L404" s="1058"/>
      <c r="M404" s="1555"/>
      <c r="N404" s="1588">
        <f>N406</f>
        <v>419.95499999999998</v>
      </c>
      <c r="O404" s="1095">
        <f>O406</f>
        <v>0</v>
      </c>
      <c r="P404" s="1058">
        <f>P406</f>
        <v>0</v>
      </c>
      <c r="Q404" s="1555"/>
      <c r="R404" s="1588"/>
    </row>
    <row r="405" spans="1:256" ht="13" x14ac:dyDescent="0.25">
      <c r="A405" s="32"/>
      <c r="B405" s="1120" t="s">
        <v>130</v>
      </c>
      <c r="C405" s="88"/>
      <c r="D405" s="88"/>
      <c r="E405" s="88"/>
      <c r="F405" s="9" t="s">
        <v>129</v>
      </c>
      <c r="G405" s="9" t="s">
        <v>120</v>
      </c>
      <c r="H405" s="9"/>
      <c r="I405" s="9"/>
      <c r="J405" s="1062"/>
      <c r="K405" s="1062"/>
      <c r="L405" s="1062"/>
      <c r="M405" s="1556"/>
      <c r="N405" s="1589">
        <f>N406</f>
        <v>419.95499999999998</v>
      </c>
      <c r="O405" s="1096">
        <f>O406</f>
        <v>0</v>
      </c>
      <c r="P405" s="1062">
        <f>P406</f>
        <v>0</v>
      </c>
      <c r="Q405" s="1556"/>
      <c r="R405" s="1589"/>
    </row>
    <row r="406" spans="1:256" ht="26" x14ac:dyDescent="0.3">
      <c r="A406" s="32"/>
      <c r="B406" s="82" t="s">
        <v>122</v>
      </c>
      <c r="C406" s="88"/>
      <c r="D406" s="88"/>
      <c r="E406" s="88"/>
      <c r="F406" s="9" t="s">
        <v>129</v>
      </c>
      <c r="G406" s="9" t="s">
        <v>120</v>
      </c>
      <c r="H406" s="9" t="s">
        <v>456</v>
      </c>
      <c r="I406" s="33" t="s">
        <v>585</v>
      </c>
      <c r="J406" s="1062">
        <v>170.1</v>
      </c>
      <c r="K406" s="1062"/>
      <c r="L406" s="1062"/>
      <c r="M406" s="1556"/>
      <c r="N406" s="1589">
        <v>419.95499999999998</v>
      </c>
      <c r="O406" s="1096"/>
      <c r="P406" s="1062"/>
      <c r="Q406" s="1556"/>
      <c r="R406" s="1589"/>
    </row>
    <row r="407" spans="1:256" ht="52" x14ac:dyDescent="0.25">
      <c r="A407" s="32"/>
      <c r="B407" s="107" t="s">
        <v>128</v>
      </c>
      <c r="C407" s="88"/>
      <c r="D407" s="88" t="s">
        <v>69</v>
      </c>
      <c r="E407" s="88" t="s">
        <v>103</v>
      </c>
      <c r="F407" s="34" t="s">
        <v>127</v>
      </c>
      <c r="G407" s="9"/>
      <c r="H407" s="9"/>
      <c r="I407" s="88"/>
      <c r="J407" s="1058">
        <f>J408+J410</f>
        <v>547.5</v>
      </c>
      <c r="K407" s="1058"/>
      <c r="L407" s="1058">
        <f t="shared" ref="L407:R407" si="116">L408+L410</f>
        <v>546.70000000000005</v>
      </c>
      <c r="M407" s="1555">
        <f t="shared" si="116"/>
        <v>546.70000000000005</v>
      </c>
      <c r="N407" s="1785">
        <f t="shared" si="116"/>
        <v>7.1</v>
      </c>
      <c r="O407" s="1786">
        <f t="shared" si="116"/>
        <v>37.200000000000003</v>
      </c>
      <c r="P407" s="1787">
        <f t="shared" si="116"/>
        <v>37.200000000000003</v>
      </c>
      <c r="Q407" s="1788">
        <f t="shared" si="116"/>
        <v>7.1</v>
      </c>
      <c r="R407" s="1785">
        <f t="shared" si="116"/>
        <v>7.1</v>
      </c>
      <c r="S407" s="830">
        <v>-648.9</v>
      </c>
      <c r="T407" s="830">
        <v>-648.9</v>
      </c>
      <c r="U407" s="830">
        <v>-648.9</v>
      </c>
    </row>
    <row r="408" spans="1:256" ht="13" hidden="1" x14ac:dyDescent="0.3">
      <c r="A408" s="32"/>
      <c r="B408" s="106" t="s">
        <v>7</v>
      </c>
      <c r="C408" s="88"/>
      <c r="D408" s="88" t="s">
        <v>69</v>
      </c>
      <c r="E408" s="88" t="s">
        <v>103</v>
      </c>
      <c r="F408" s="9" t="s">
        <v>127</v>
      </c>
      <c r="G408" s="9" t="s">
        <v>5</v>
      </c>
      <c r="H408" s="9"/>
      <c r="I408" s="88"/>
      <c r="J408" s="1062">
        <f>J409</f>
        <v>510.3</v>
      </c>
      <c r="K408" s="1062"/>
      <c r="L408" s="1062">
        <f>546.7-45.2</f>
        <v>501.50000000000006</v>
      </c>
      <c r="M408" s="1556">
        <f>546.7-45.2</f>
        <v>501.50000000000006</v>
      </c>
      <c r="N408" s="1589">
        <f>N409</f>
        <v>0</v>
      </c>
      <c r="O408" s="1096">
        <f>O409</f>
        <v>0</v>
      </c>
      <c r="P408" s="1062">
        <f>P409</f>
        <v>0</v>
      </c>
      <c r="Q408" s="1556">
        <f>Q409</f>
        <v>0</v>
      </c>
      <c r="R408" s="1589">
        <f>R409</f>
        <v>0</v>
      </c>
    </row>
    <row r="409" spans="1:256" s="6" customFormat="1" ht="33.65" hidden="1" customHeight="1" x14ac:dyDescent="0.25">
      <c r="A409" s="839"/>
      <c r="B409" s="52" t="s">
        <v>833</v>
      </c>
      <c r="C409" s="76"/>
      <c r="D409" s="76"/>
      <c r="E409" s="76"/>
      <c r="F409" s="9" t="s">
        <v>127</v>
      </c>
      <c r="G409" s="9" t="s">
        <v>5</v>
      </c>
      <c r="H409" s="9" t="s">
        <v>495</v>
      </c>
      <c r="I409" s="9" t="s">
        <v>832</v>
      </c>
      <c r="J409" s="1121">
        <f>392.863+117.437</f>
        <v>510.3</v>
      </c>
      <c r="K409" s="1121"/>
      <c r="L409" s="1121">
        <f>546.7-45.2</f>
        <v>501.50000000000006</v>
      </c>
      <c r="M409" s="1568">
        <f>546.7-45.2</f>
        <v>501.50000000000006</v>
      </c>
      <c r="N409" s="1589"/>
      <c r="O409" s="1774"/>
      <c r="P409" s="1121"/>
      <c r="Q409" s="1556"/>
      <c r="R409" s="1589"/>
      <c r="S409" s="750"/>
      <c r="T409" s="750"/>
      <c r="U409" s="750"/>
      <c r="V409" s="750"/>
      <c r="W409" s="750"/>
      <c r="X409" s="750"/>
    </row>
    <row r="410" spans="1:256" ht="26" x14ac:dyDescent="0.25">
      <c r="A410" s="32"/>
      <c r="B410" s="15" t="s">
        <v>4</v>
      </c>
      <c r="C410" s="88"/>
      <c r="D410" s="88"/>
      <c r="E410" s="88"/>
      <c r="F410" s="9" t="s">
        <v>127</v>
      </c>
      <c r="G410" s="9" t="s">
        <v>1</v>
      </c>
      <c r="H410" s="9"/>
      <c r="I410" s="88"/>
      <c r="J410" s="1062">
        <f>J411</f>
        <v>37.200000000000003</v>
      </c>
      <c r="K410" s="1062"/>
      <c r="L410" s="1062">
        <v>45.2</v>
      </c>
      <c r="M410" s="1556">
        <v>45.2</v>
      </c>
      <c r="N410" s="1589">
        <f>N411</f>
        <v>7.1</v>
      </c>
      <c r="O410" s="1096">
        <f>O411</f>
        <v>37.200000000000003</v>
      </c>
      <c r="P410" s="1062">
        <f>P411</f>
        <v>37.200000000000003</v>
      </c>
      <c r="Q410" s="1556">
        <f>Q411</f>
        <v>7.1</v>
      </c>
      <c r="R410" s="1589">
        <f>R411</f>
        <v>7.1</v>
      </c>
    </row>
    <row r="411" spans="1:256" s="2" customFormat="1" ht="39" x14ac:dyDescent="0.25">
      <c r="A411" s="32"/>
      <c r="B411" s="52" t="s">
        <v>833</v>
      </c>
      <c r="C411" s="88"/>
      <c r="D411" s="88"/>
      <c r="E411" s="88"/>
      <c r="F411" s="9" t="s">
        <v>127</v>
      </c>
      <c r="G411" s="9" t="s">
        <v>1</v>
      </c>
      <c r="H411" s="9" t="s">
        <v>495</v>
      </c>
      <c r="I411" s="9" t="s">
        <v>832</v>
      </c>
      <c r="J411" s="1062">
        <f>17.5+15.7+4</f>
        <v>37.200000000000003</v>
      </c>
      <c r="K411" s="1062"/>
      <c r="L411" s="1062">
        <v>45.2</v>
      </c>
      <c r="M411" s="1556">
        <v>45.2</v>
      </c>
      <c r="N411" s="1589">
        <v>7.1</v>
      </c>
      <c r="O411" s="1096">
        <v>37.200000000000003</v>
      </c>
      <c r="P411" s="1062">
        <v>37.200000000000003</v>
      </c>
      <c r="Q411" s="1556">
        <v>7.1</v>
      </c>
      <c r="R411" s="1589">
        <v>7.1</v>
      </c>
      <c r="S411" s="178">
        <v>7.1</v>
      </c>
      <c r="T411" s="178">
        <v>7.1</v>
      </c>
      <c r="U411" s="178">
        <v>7.1</v>
      </c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</row>
    <row r="412" spans="1:256" s="2" customFormat="1" ht="42" hidden="1" customHeight="1" x14ac:dyDescent="0.25">
      <c r="A412" s="32"/>
      <c r="B412" s="52" t="s">
        <v>122</v>
      </c>
      <c r="C412" s="9"/>
      <c r="D412" s="94" t="s">
        <v>69</v>
      </c>
      <c r="E412" s="34" t="s">
        <v>119</v>
      </c>
      <c r="F412" s="94" t="s">
        <v>71</v>
      </c>
      <c r="G412" s="94" t="s">
        <v>71</v>
      </c>
      <c r="H412" s="94"/>
      <c r="I412" s="34"/>
      <c r="J412" s="1065">
        <f>J413</f>
        <v>0</v>
      </c>
      <c r="K412" s="1065"/>
      <c r="L412" s="1065">
        <f t="shared" ref="L412:R415" si="117">L413</f>
        <v>99.305000000000007</v>
      </c>
      <c r="M412" s="1552">
        <f t="shared" si="117"/>
        <v>99.305000000000007</v>
      </c>
      <c r="N412" s="1585">
        <f t="shared" si="117"/>
        <v>0</v>
      </c>
      <c r="O412" s="1091">
        <f t="shared" si="117"/>
        <v>0</v>
      </c>
      <c r="P412" s="1065">
        <f t="shared" si="117"/>
        <v>0</v>
      </c>
      <c r="Q412" s="1552">
        <f t="shared" si="117"/>
        <v>0</v>
      </c>
      <c r="R412" s="1585">
        <f t="shared" si="117"/>
        <v>0</v>
      </c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</row>
    <row r="413" spans="1:256" s="2" customFormat="1" ht="39" hidden="1" x14ac:dyDescent="0.25">
      <c r="A413" s="32"/>
      <c r="B413" s="52" t="s">
        <v>126</v>
      </c>
      <c r="C413" s="9"/>
      <c r="D413" s="94" t="s">
        <v>69</v>
      </c>
      <c r="E413" s="94" t="s">
        <v>119</v>
      </c>
      <c r="F413" s="34" t="s">
        <v>125</v>
      </c>
      <c r="G413" s="79"/>
      <c r="H413" s="79"/>
      <c r="I413" s="94"/>
      <c r="J413" s="1065">
        <f>J414</f>
        <v>0</v>
      </c>
      <c r="K413" s="1065"/>
      <c r="L413" s="1065">
        <f t="shared" si="117"/>
        <v>99.305000000000007</v>
      </c>
      <c r="M413" s="1552">
        <f t="shared" si="117"/>
        <v>99.305000000000007</v>
      </c>
      <c r="N413" s="1585">
        <f t="shared" si="117"/>
        <v>0</v>
      </c>
      <c r="O413" s="1091">
        <f t="shared" si="117"/>
        <v>0</v>
      </c>
      <c r="P413" s="1065">
        <f t="shared" si="117"/>
        <v>0</v>
      </c>
      <c r="Q413" s="1552">
        <f t="shared" si="117"/>
        <v>0</v>
      </c>
      <c r="R413" s="1585">
        <f t="shared" si="117"/>
        <v>0</v>
      </c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</row>
    <row r="414" spans="1:256" s="2" customFormat="1" ht="68.5" hidden="1" customHeight="1" x14ac:dyDescent="0.25">
      <c r="A414" s="32"/>
      <c r="B414" s="105" t="s">
        <v>787</v>
      </c>
      <c r="C414" s="9"/>
      <c r="D414" s="88" t="s">
        <v>69</v>
      </c>
      <c r="E414" s="88" t="s">
        <v>119</v>
      </c>
      <c r="F414" s="34" t="s">
        <v>121</v>
      </c>
      <c r="G414" s="9"/>
      <c r="H414" s="9"/>
      <c r="I414" s="88"/>
      <c r="J414" s="1062">
        <f>J415</f>
        <v>0</v>
      </c>
      <c r="K414" s="1062"/>
      <c r="L414" s="1062">
        <f t="shared" si="117"/>
        <v>99.305000000000007</v>
      </c>
      <c r="M414" s="1556">
        <f t="shared" si="117"/>
        <v>99.305000000000007</v>
      </c>
      <c r="N414" s="1589">
        <f t="shared" si="117"/>
        <v>0</v>
      </c>
      <c r="O414" s="1096">
        <f t="shared" si="117"/>
        <v>0</v>
      </c>
      <c r="P414" s="1062">
        <f t="shared" si="117"/>
        <v>0</v>
      </c>
      <c r="Q414" s="1556">
        <f t="shared" si="117"/>
        <v>0</v>
      </c>
      <c r="R414" s="1589">
        <f t="shared" si="117"/>
        <v>0</v>
      </c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</row>
    <row r="415" spans="1:256" s="2" customFormat="1" ht="13.9" hidden="1" customHeight="1" x14ac:dyDescent="0.3">
      <c r="A415" s="32"/>
      <c r="B415" s="86" t="s">
        <v>123</v>
      </c>
      <c r="C415" s="9"/>
      <c r="D415" s="88" t="s">
        <v>69</v>
      </c>
      <c r="E415" s="88" t="s">
        <v>119</v>
      </c>
      <c r="F415" s="9" t="s">
        <v>121</v>
      </c>
      <c r="G415" s="9" t="s">
        <v>120</v>
      </c>
      <c r="H415" s="9"/>
      <c r="I415" s="88"/>
      <c r="J415" s="1062">
        <f>J416</f>
        <v>0</v>
      </c>
      <c r="K415" s="1062"/>
      <c r="L415" s="1062">
        <v>99.305000000000007</v>
      </c>
      <c r="M415" s="1556">
        <v>99.305000000000007</v>
      </c>
      <c r="N415" s="1589">
        <f t="shared" si="117"/>
        <v>0</v>
      </c>
      <c r="O415" s="1096">
        <f t="shared" si="117"/>
        <v>0</v>
      </c>
      <c r="P415" s="1062">
        <f t="shared" si="117"/>
        <v>0</v>
      </c>
      <c r="Q415" s="1556">
        <f t="shared" si="117"/>
        <v>0</v>
      </c>
      <c r="R415" s="1589">
        <f t="shared" si="117"/>
        <v>0</v>
      </c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</row>
    <row r="416" spans="1:256" s="2" customFormat="1" ht="28.15" hidden="1" customHeight="1" x14ac:dyDescent="0.3">
      <c r="A416" s="32"/>
      <c r="B416" s="82" t="s">
        <v>122</v>
      </c>
      <c r="C416" s="9"/>
      <c r="D416" s="88"/>
      <c r="E416" s="88"/>
      <c r="F416" s="9" t="s">
        <v>121</v>
      </c>
      <c r="G416" s="9" t="s">
        <v>120</v>
      </c>
      <c r="H416" s="9"/>
      <c r="I416" s="88" t="s">
        <v>119</v>
      </c>
      <c r="J416" s="1062"/>
      <c r="K416" s="1062"/>
      <c r="L416" s="1062">
        <v>99.305000000000007</v>
      </c>
      <c r="M416" s="1556">
        <v>99.305000000000007</v>
      </c>
      <c r="N416" s="1589"/>
      <c r="O416" s="1096"/>
      <c r="P416" s="1062"/>
      <c r="Q416" s="1556"/>
      <c r="R416" s="1589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</row>
    <row r="417" spans="1:256" s="2" customFormat="1" ht="54.65" hidden="1" customHeight="1" x14ac:dyDescent="0.25">
      <c r="A417" s="32"/>
      <c r="B417" s="1093" t="s">
        <v>118</v>
      </c>
      <c r="C417" s="9"/>
      <c r="D417" s="88"/>
      <c r="E417" s="88"/>
      <c r="F417" s="34" t="s">
        <v>117</v>
      </c>
      <c r="G417" s="9"/>
      <c r="H417" s="9"/>
      <c r="I417" s="88"/>
      <c r="J417" s="1062"/>
      <c r="K417" s="1062"/>
      <c r="L417" s="1062"/>
      <c r="M417" s="1556"/>
      <c r="N417" s="1589">
        <f>N418</f>
        <v>0</v>
      </c>
      <c r="O417" s="1096">
        <f t="shared" ref="O417:P420" si="118">O418</f>
        <v>659.56200000000001</v>
      </c>
      <c r="P417" s="1062">
        <f t="shared" si="118"/>
        <v>725.51900000000001</v>
      </c>
      <c r="Q417" s="1556">
        <f t="shared" ref="Q417:R420" si="119">Q418</f>
        <v>0</v>
      </c>
      <c r="R417" s="1589">
        <f t="shared" si="119"/>
        <v>0</v>
      </c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</row>
    <row r="418" spans="1:256" s="2" customFormat="1" ht="28.15" hidden="1" customHeight="1" x14ac:dyDescent="0.25">
      <c r="A418" s="32"/>
      <c r="B418" s="1093" t="s">
        <v>109</v>
      </c>
      <c r="C418" s="9"/>
      <c r="D418" s="88"/>
      <c r="E418" s="88"/>
      <c r="F418" s="9" t="s">
        <v>116</v>
      </c>
      <c r="G418" s="9"/>
      <c r="H418" s="9"/>
      <c r="I418" s="88"/>
      <c r="J418" s="1062"/>
      <c r="K418" s="1062"/>
      <c r="L418" s="1062"/>
      <c r="M418" s="1556"/>
      <c r="N418" s="1589">
        <f>N419</f>
        <v>0</v>
      </c>
      <c r="O418" s="1096">
        <f t="shared" si="118"/>
        <v>659.56200000000001</v>
      </c>
      <c r="P418" s="1062">
        <f t="shared" si="118"/>
        <v>725.51900000000001</v>
      </c>
      <c r="Q418" s="1556">
        <f t="shared" si="119"/>
        <v>0</v>
      </c>
      <c r="R418" s="1589">
        <f t="shared" si="119"/>
        <v>0</v>
      </c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</row>
    <row r="419" spans="1:256" s="2" customFormat="1" ht="28.15" hidden="1" customHeight="1" x14ac:dyDescent="0.25">
      <c r="A419" s="32"/>
      <c r="B419" s="1110" t="s">
        <v>115</v>
      </c>
      <c r="C419" s="9"/>
      <c r="D419" s="88"/>
      <c r="E419" s="88"/>
      <c r="F419" s="9" t="s">
        <v>113</v>
      </c>
      <c r="G419" s="9"/>
      <c r="H419" s="9"/>
      <c r="I419" s="88"/>
      <c r="J419" s="1062"/>
      <c r="K419" s="1062"/>
      <c r="L419" s="1062"/>
      <c r="M419" s="1556"/>
      <c r="N419" s="1589">
        <f>N420</f>
        <v>0</v>
      </c>
      <c r="O419" s="1096">
        <f t="shared" si="118"/>
        <v>659.56200000000001</v>
      </c>
      <c r="P419" s="1062">
        <f t="shared" si="118"/>
        <v>725.51900000000001</v>
      </c>
      <c r="Q419" s="1556">
        <f t="shared" si="119"/>
        <v>0</v>
      </c>
      <c r="R419" s="1589">
        <f t="shared" si="119"/>
        <v>0</v>
      </c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</row>
    <row r="420" spans="1:256" s="2" customFormat="1" ht="16.149999999999999" hidden="1" customHeight="1" x14ac:dyDescent="0.3">
      <c r="A420" s="32"/>
      <c r="B420" s="16" t="s">
        <v>7</v>
      </c>
      <c r="C420" s="9"/>
      <c r="D420" s="88"/>
      <c r="E420" s="88"/>
      <c r="F420" s="9" t="s">
        <v>113</v>
      </c>
      <c r="G420" s="9" t="s">
        <v>5</v>
      </c>
      <c r="H420" s="9"/>
      <c r="I420" s="88"/>
      <c r="J420" s="1062"/>
      <c r="K420" s="1062"/>
      <c r="L420" s="1062"/>
      <c r="M420" s="1556"/>
      <c r="N420" s="1589">
        <f>N421</f>
        <v>0</v>
      </c>
      <c r="O420" s="1096">
        <f t="shared" si="118"/>
        <v>659.56200000000001</v>
      </c>
      <c r="P420" s="1062">
        <f t="shared" si="118"/>
        <v>725.51900000000001</v>
      </c>
      <c r="Q420" s="1556">
        <f t="shared" si="119"/>
        <v>0</v>
      </c>
      <c r="R420" s="1589">
        <f t="shared" si="119"/>
        <v>0</v>
      </c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</row>
    <row r="421" spans="1:256" s="2" customFormat="1" ht="40.15" hidden="1" customHeight="1" x14ac:dyDescent="0.3">
      <c r="A421" s="32"/>
      <c r="B421" s="95" t="s">
        <v>114</v>
      </c>
      <c r="C421" s="9"/>
      <c r="D421" s="88"/>
      <c r="E421" s="88"/>
      <c r="F421" s="9" t="s">
        <v>113</v>
      </c>
      <c r="G421" s="9" t="s">
        <v>5</v>
      </c>
      <c r="H421" s="9" t="s">
        <v>456</v>
      </c>
      <c r="I421" s="9" t="s">
        <v>495</v>
      </c>
      <c r="J421" s="1062"/>
      <c r="K421" s="1062"/>
      <c r="L421" s="1062"/>
      <c r="M421" s="1556"/>
      <c r="N421" s="1605">
        <f>530.24-530.24</f>
        <v>0</v>
      </c>
      <c r="O421" s="1096">
        <v>659.56200000000001</v>
      </c>
      <c r="P421" s="1062">
        <v>725.51900000000001</v>
      </c>
      <c r="Q421" s="1640">
        <f>530.24-530.24</f>
        <v>0</v>
      </c>
      <c r="R421" s="1605">
        <f>530.24-530.24</f>
        <v>0</v>
      </c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</row>
    <row r="422" spans="1:256" s="2" customFormat="1" ht="52" x14ac:dyDescent="0.25">
      <c r="A422" s="32"/>
      <c r="B422" s="1093" t="s">
        <v>111</v>
      </c>
      <c r="C422" s="88"/>
      <c r="D422" s="88"/>
      <c r="E422" s="88"/>
      <c r="F422" s="34" t="s">
        <v>110</v>
      </c>
      <c r="G422" s="88"/>
      <c r="H422" s="88"/>
      <c r="I422" s="88"/>
      <c r="J422" s="1064">
        <f>J423</f>
        <v>1183.2429999999999</v>
      </c>
      <c r="K422" s="1061"/>
      <c r="L422" s="1061"/>
      <c r="M422" s="1125"/>
      <c r="N422" s="1597">
        <f t="shared" ref="N422:R425" si="120">N423</f>
        <v>1512.6</v>
      </c>
      <c r="O422" s="1107">
        <f t="shared" si="120"/>
        <v>1627.663</v>
      </c>
      <c r="P422" s="1064">
        <f t="shared" si="120"/>
        <v>1782.7329999999999</v>
      </c>
      <c r="Q422" s="1563">
        <f t="shared" si="120"/>
        <v>1573.104</v>
      </c>
      <c r="R422" s="1597">
        <f t="shared" si="120"/>
        <v>1636.028</v>
      </c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</row>
    <row r="423" spans="1:256" s="2" customFormat="1" ht="21" customHeight="1" x14ac:dyDescent="0.25">
      <c r="A423" s="32"/>
      <c r="B423" s="1093" t="s">
        <v>109</v>
      </c>
      <c r="C423" s="88"/>
      <c r="D423" s="88"/>
      <c r="E423" s="88"/>
      <c r="F423" s="9" t="s">
        <v>108</v>
      </c>
      <c r="G423" s="88"/>
      <c r="H423" s="88"/>
      <c r="I423" s="88"/>
      <c r="J423" s="1061">
        <f>J424</f>
        <v>1183.2429999999999</v>
      </c>
      <c r="K423" s="1061"/>
      <c r="L423" s="1061"/>
      <c r="M423" s="1125"/>
      <c r="N423" s="1582">
        <f t="shared" si="120"/>
        <v>1512.6</v>
      </c>
      <c r="O423" s="1087">
        <f t="shared" si="120"/>
        <v>1627.663</v>
      </c>
      <c r="P423" s="1061">
        <f t="shared" si="120"/>
        <v>1782.7329999999999</v>
      </c>
      <c r="Q423" s="1550">
        <f t="shared" si="120"/>
        <v>1573.104</v>
      </c>
      <c r="R423" s="1582">
        <f t="shared" si="120"/>
        <v>1636.028</v>
      </c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</row>
    <row r="424" spans="1:256" s="2" customFormat="1" ht="26" x14ac:dyDescent="0.25">
      <c r="A424" s="32"/>
      <c r="B424" s="49" t="s">
        <v>107</v>
      </c>
      <c r="C424" s="88" t="s">
        <v>106</v>
      </c>
      <c r="D424" s="88" t="s">
        <v>69</v>
      </c>
      <c r="E424" s="88" t="s">
        <v>103</v>
      </c>
      <c r="F424" s="9" t="s">
        <v>104</v>
      </c>
      <c r="G424" s="9"/>
      <c r="H424" s="9"/>
      <c r="I424" s="88"/>
      <c r="J424" s="1060">
        <f>J425</f>
        <v>1183.2429999999999</v>
      </c>
      <c r="K424" s="1059"/>
      <c r="L424" s="1059">
        <f>L425</f>
        <v>1223.8879999999999</v>
      </c>
      <c r="M424" s="1555">
        <f>M425</f>
        <v>1309.56</v>
      </c>
      <c r="N424" s="1590">
        <f t="shared" si="120"/>
        <v>1512.6</v>
      </c>
      <c r="O424" s="1097">
        <f t="shared" si="120"/>
        <v>1627.663</v>
      </c>
      <c r="P424" s="1060">
        <f t="shared" si="120"/>
        <v>1782.7329999999999</v>
      </c>
      <c r="Q424" s="1557">
        <f t="shared" si="120"/>
        <v>1573.104</v>
      </c>
      <c r="R424" s="1590">
        <f t="shared" si="120"/>
        <v>1636.028</v>
      </c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</row>
    <row r="425" spans="1:256" s="2" customFormat="1" ht="13" x14ac:dyDescent="0.3">
      <c r="A425" s="32"/>
      <c r="B425" s="16" t="s">
        <v>7</v>
      </c>
      <c r="C425" s="88"/>
      <c r="D425" s="88" t="s">
        <v>69</v>
      </c>
      <c r="E425" s="88" t="s">
        <v>103</v>
      </c>
      <c r="F425" s="9" t="s">
        <v>104</v>
      </c>
      <c r="G425" s="88">
        <v>120</v>
      </c>
      <c r="H425" s="88"/>
      <c r="I425" s="88"/>
      <c r="J425" s="1060">
        <f>J426</f>
        <v>1183.2429999999999</v>
      </c>
      <c r="K425" s="1060"/>
      <c r="L425" s="1061">
        <v>1223.8879999999999</v>
      </c>
      <c r="M425" s="1550">
        <v>1309.56</v>
      </c>
      <c r="N425" s="1590">
        <f t="shared" si="120"/>
        <v>1512.6</v>
      </c>
      <c r="O425" s="1097">
        <f t="shared" si="120"/>
        <v>1627.663</v>
      </c>
      <c r="P425" s="1060">
        <f t="shared" si="120"/>
        <v>1782.7329999999999</v>
      </c>
      <c r="Q425" s="1557">
        <f t="shared" si="120"/>
        <v>1573.104</v>
      </c>
      <c r="R425" s="1590">
        <f t="shared" si="120"/>
        <v>1636.028</v>
      </c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</row>
    <row r="426" spans="1:256" s="2" customFormat="1" ht="39" x14ac:dyDescent="0.3">
      <c r="A426" s="32"/>
      <c r="B426" s="100" t="s">
        <v>105</v>
      </c>
      <c r="C426" s="88"/>
      <c r="D426" s="88"/>
      <c r="E426" s="88"/>
      <c r="F426" s="9" t="s">
        <v>104</v>
      </c>
      <c r="G426" s="88">
        <v>120</v>
      </c>
      <c r="H426" s="9" t="s">
        <v>456</v>
      </c>
      <c r="I426" s="33" t="s">
        <v>452</v>
      </c>
      <c r="J426" s="1060">
        <f>946.688+236.555</f>
        <v>1183.2429999999999</v>
      </c>
      <c r="K426" s="1060"/>
      <c r="L426" s="1061">
        <v>1223.8879999999999</v>
      </c>
      <c r="M426" s="1550">
        <v>1309.56</v>
      </c>
      <c r="N426" s="1590">
        <v>1512.6</v>
      </c>
      <c r="O426" s="1097">
        <v>1627.663</v>
      </c>
      <c r="P426" s="1060">
        <v>1782.7329999999999</v>
      </c>
      <c r="Q426" s="1557">
        <v>1573.104</v>
      </c>
      <c r="R426" s="1590">
        <v>1636.028</v>
      </c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</row>
    <row r="427" spans="1:256" ht="26" x14ac:dyDescent="0.25">
      <c r="A427" s="91">
        <v>12</v>
      </c>
      <c r="B427" s="52" t="s">
        <v>102</v>
      </c>
      <c r="C427" s="34"/>
      <c r="D427" s="34" t="s">
        <v>69</v>
      </c>
      <c r="E427" s="34" t="s">
        <v>90</v>
      </c>
      <c r="F427" s="34" t="s">
        <v>101</v>
      </c>
      <c r="G427" s="34"/>
      <c r="H427" s="34"/>
      <c r="I427" s="34"/>
      <c r="J427" s="1065">
        <f>J429</f>
        <v>213.2</v>
      </c>
      <c r="K427" s="1065"/>
      <c r="L427" s="1065">
        <f>L430</f>
        <v>108</v>
      </c>
      <c r="M427" s="1552">
        <f>M430</f>
        <v>108</v>
      </c>
      <c r="N427" s="1585">
        <f t="shared" ref="N427:R428" si="121">N428</f>
        <v>894.24400000000003</v>
      </c>
      <c r="O427" s="1091">
        <f t="shared" si="121"/>
        <v>213.5</v>
      </c>
      <c r="P427" s="1065">
        <f t="shared" si="121"/>
        <v>213.5</v>
      </c>
      <c r="Q427" s="1552">
        <f t="shared" si="121"/>
        <v>500</v>
      </c>
      <c r="R427" s="1585">
        <f t="shared" si="121"/>
        <v>600</v>
      </c>
    </row>
    <row r="428" spans="1:256" ht="13" x14ac:dyDescent="0.25">
      <c r="A428" s="91"/>
      <c r="B428" s="49" t="s">
        <v>83</v>
      </c>
      <c r="C428" s="34"/>
      <c r="D428" s="34"/>
      <c r="E428" s="34"/>
      <c r="F428" s="9" t="s">
        <v>100</v>
      </c>
      <c r="G428" s="34"/>
      <c r="H428" s="34"/>
      <c r="I428" s="34"/>
      <c r="J428" s="1065"/>
      <c r="K428" s="1065"/>
      <c r="L428" s="1065"/>
      <c r="M428" s="1552"/>
      <c r="N428" s="1584">
        <f t="shared" si="121"/>
        <v>894.24400000000003</v>
      </c>
      <c r="O428" s="1069">
        <f t="shared" si="121"/>
        <v>213.5</v>
      </c>
      <c r="P428" s="1063">
        <f t="shared" si="121"/>
        <v>213.5</v>
      </c>
      <c r="Q428" s="1125">
        <f t="shared" si="121"/>
        <v>500</v>
      </c>
      <c r="R428" s="1584">
        <f t="shared" si="121"/>
        <v>600</v>
      </c>
    </row>
    <row r="429" spans="1:256" ht="13" x14ac:dyDescent="0.25">
      <c r="A429" s="91"/>
      <c r="B429" s="49" t="s">
        <v>83</v>
      </c>
      <c r="C429" s="34"/>
      <c r="D429" s="34"/>
      <c r="E429" s="34"/>
      <c r="F429" s="9" t="s">
        <v>99</v>
      </c>
      <c r="G429" s="34"/>
      <c r="H429" s="34"/>
      <c r="I429" s="34"/>
      <c r="J429" s="1063">
        <f>J432+J436</f>
        <v>213.2</v>
      </c>
      <c r="K429" s="1065"/>
      <c r="L429" s="1065"/>
      <c r="M429" s="1552"/>
      <c r="N429" s="1584">
        <f>N432+N436</f>
        <v>894.24400000000003</v>
      </c>
      <c r="O429" s="1069">
        <f>O432+O436</f>
        <v>213.5</v>
      </c>
      <c r="P429" s="1063">
        <f>P432+P436</f>
        <v>213.5</v>
      </c>
      <c r="Q429" s="1125">
        <f>Q432+Q436</f>
        <v>500</v>
      </c>
      <c r="R429" s="1584">
        <f>R432+R436</f>
        <v>600</v>
      </c>
    </row>
    <row r="430" spans="1:256" ht="13" x14ac:dyDescent="0.25">
      <c r="A430" s="32"/>
      <c r="B430" s="49" t="s">
        <v>98</v>
      </c>
      <c r="C430" s="34"/>
      <c r="D430" s="9" t="s">
        <v>69</v>
      </c>
      <c r="E430" s="9" t="s">
        <v>90</v>
      </c>
      <c r="F430" s="9" t="s">
        <v>92</v>
      </c>
      <c r="G430" s="34"/>
      <c r="H430" s="34"/>
      <c r="I430" s="9"/>
      <c r="J430" s="1063">
        <f>J431</f>
        <v>198.2</v>
      </c>
      <c r="K430" s="1063"/>
      <c r="L430" s="1063">
        <f>L431+L435</f>
        <v>108</v>
      </c>
      <c r="M430" s="1125">
        <f>M431+M435</f>
        <v>108</v>
      </c>
      <c r="N430" s="1584">
        <f>N431+N435</f>
        <v>894.24400000000003</v>
      </c>
      <c r="O430" s="1069">
        <f t="shared" ref="N430:R431" si="122">O431</f>
        <v>178.5</v>
      </c>
      <c r="P430" s="1063">
        <f t="shared" si="122"/>
        <v>178.5</v>
      </c>
      <c r="Q430" s="1125">
        <f>Q431+Q435</f>
        <v>500</v>
      </c>
      <c r="R430" s="1584">
        <f>R431+R435</f>
        <v>600</v>
      </c>
    </row>
    <row r="431" spans="1:256" ht="26" x14ac:dyDescent="0.25">
      <c r="A431" s="32"/>
      <c r="B431" s="15" t="s">
        <v>4</v>
      </c>
      <c r="C431" s="34"/>
      <c r="D431" s="9" t="s">
        <v>69</v>
      </c>
      <c r="E431" s="9" t="s">
        <v>90</v>
      </c>
      <c r="F431" s="9" t="s">
        <v>92</v>
      </c>
      <c r="G431" s="9" t="s">
        <v>1</v>
      </c>
      <c r="H431" s="9"/>
      <c r="I431" s="9"/>
      <c r="J431" s="1063">
        <f>J432</f>
        <v>198.2</v>
      </c>
      <c r="K431" s="1063"/>
      <c r="L431" s="1063">
        <v>105</v>
      </c>
      <c r="M431" s="1125">
        <v>105</v>
      </c>
      <c r="N431" s="1584">
        <f t="shared" si="122"/>
        <v>844.24400000000003</v>
      </c>
      <c r="O431" s="1069">
        <f t="shared" si="122"/>
        <v>178.5</v>
      </c>
      <c r="P431" s="1063">
        <f t="shared" si="122"/>
        <v>178.5</v>
      </c>
      <c r="Q431" s="1125">
        <f t="shared" si="122"/>
        <v>400</v>
      </c>
      <c r="R431" s="1584">
        <f t="shared" si="122"/>
        <v>500</v>
      </c>
    </row>
    <row r="432" spans="1:256" ht="13" x14ac:dyDescent="0.25">
      <c r="A432" s="32"/>
      <c r="B432" s="52" t="s">
        <v>93</v>
      </c>
      <c r="C432" s="34"/>
      <c r="D432" s="9"/>
      <c r="E432" s="9"/>
      <c r="F432" s="9" t="s">
        <v>92</v>
      </c>
      <c r="G432" s="9" t="s">
        <v>1</v>
      </c>
      <c r="H432" s="9" t="s">
        <v>456</v>
      </c>
      <c r="I432" s="9" t="s">
        <v>573</v>
      </c>
      <c r="J432" s="1063">
        <v>198.2</v>
      </c>
      <c r="K432" s="1063"/>
      <c r="L432" s="1063">
        <v>105</v>
      </c>
      <c r="M432" s="1125">
        <v>105</v>
      </c>
      <c r="N432" s="1584">
        <v>844.24400000000003</v>
      </c>
      <c r="O432" s="1069">
        <v>178.5</v>
      </c>
      <c r="P432" s="1063">
        <v>178.5</v>
      </c>
      <c r="Q432" s="1125">
        <v>400</v>
      </c>
      <c r="R432" s="1584">
        <v>500</v>
      </c>
    </row>
    <row r="433" spans="1:24" ht="13" hidden="1" x14ac:dyDescent="0.25">
      <c r="A433" s="32"/>
      <c r="B433" s="99" t="s">
        <v>97</v>
      </c>
      <c r="C433" s="34"/>
      <c r="D433" s="9" t="s">
        <v>69</v>
      </c>
      <c r="E433" s="9" t="s">
        <v>90</v>
      </c>
      <c r="F433" s="9" t="s">
        <v>96</v>
      </c>
      <c r="G433" s="9" t="s">
        <v>95</v>
      </c>
      <c r="H433" s="9"/>
      <c r="I433" s="1063"/>
      <c r="J433" s="1063">
        <f>J434</f>
        <v>0</v>
      </c>
      <c r="K433" s="1063"/>
      <c r="L433" s="1063"/>
      <c r="M433" s="2"/>
      <c r="N433" s="1584">
        <f>N434</f>
        <v>0</v>
      </c>
      <c r="O433" s="1069">
        <f>O434</f>
        <v>0</v>
      </c>
      <c r="P433" s="1063">
        <f>P434</f>
        <v>0</v>
      </c>
      <c r="Q433" s="1125">
        <f>Q434</f>
        <v>0</v>
      </c>
      <c r="R433" s="1584">
        <f>R434</f>
        <v>0</v>
      </c>
    </row>
    <row r="434" spans="1:24" ht="13" hidden="1" x14ac:dyDescent="0.25">
      <c r="A434" s="32"/>
      <c r="B434" s="52" t="s">
        <v>93</v>
      </c>
      <c r="C434" s="34"/>
      <c r="D434" s="9"/>
      <c r="E434" s="9"/>
      <c r="F434" s="9" t="s">
        <v>96</v>
      </c>
      <c r="G434" s="9" t="s">
        <v>95</v>
      </c>
      <c r="H434" s="9"/>
      <c r="I434" s="9" t="s">
        <v>90</v>
      </c>
      <c r="J434" s="1063"/>
      <c r="K434" s="1063"/>
      <c r="L434" s="1063"/>
      <c r="M434" s="1125"/>
      <c r="N434" s="1584"/>
      <c r="O434" s="1069"/>
      <c r="P434" s="1063"/>
      <c r="Q434" s="1125"/>
      <c r="R434" s="1584"/>
    </row>
    <row r="435" spans="1:24" ht="13" x14ac:dyDescent="0.3">
      <c r="A435" s="32"/>
      <c r="B435" s="86" t="s">
        <v>94</v>
      </c>
      <c r="C435" s="34"/>
      <c r="D435" s="9" t="s">
        <v>69</v>
      </c>
      <c r="E435" s="9" t="s">
        <v>90</v>
      </c>
      <c r="F435" s="9" t="s">
        <v>92</v>
      </c>
      <c r="G435" s="9" t="s">
        <v>91</v>
      </c>
      <c r="H435" s="9"/>
      <c r="I435" s="9"/>
      <c r="J435" s="1063">
        <f>J436</f>
        <v>15</v>
      </c>
      <c r="K435" s="1063"/>
      <c r="L435" s="1063">
        <v>3</v>
      </c>
      <c r="M435" s="1125">
        <v>3</v>
      </c>
      <c r="N435" s="1584">
        <f>N436</f>
        <v>50</v>
      </c>
      <c r="O435" s="1069">
        <f>O436</f>
        <v>35</v>
      </c>
      <c r="P435" s="1063">
        <f>P436</f>
        <v>35</v>
      </c>
      <c r="Q435" s="1125">
        <f>Q436</f>
        <v>100</v>
      </c>
      <c r="R435" s="1584">
        <f>R436</f>
        <v>100</v>
      </c>
    </row>
    <row r="436" spans="1:24" ht="13" x14ac:dyDescent="0.25">
      <c r="A436" s="32"/>
      <c r="B436" s="52" t="s">
        <v>93</v>
      </c>
      <c r="C436" s="34"/>
      <c r="D436" s="9"/>
      <c r="E436" s="9"/>
      <c r="F436" s="9" t="s">
        <v>92</v>
      </c>
      <c r="G436" s="9" t="s">
        <v>91</v>
      </c>
      <c r="H436" s="9" t="s">
        <v>456</v>
      </c>
      <c r="I436" s="9" t="s">
        <v>573</v>
      </c>
      <c r="J436" s="1063">
        <f>13+2</f>
        <v>15</v>
      </c>
      <c r="K436" s="1063"/>
      <c r="L436" s="1063">
        <v>3</v>
      </c>
      <c r="M436" s="1125">
        <v>3</v>
      </c>
      <c r="N436" s="1584">
        <v>50</v>
      </c>
      <c r="O436" s="1069">
        <v>35</v>
      </c>
      <c r="P436" s="1063">
        <v>35</v>
      </c>
      <c r="Q436" s="1125">
        <v>100</v>
      </c>
      <c r="R436" s="1584">
        <v>100</v>
      </c>
    </row>
    <row r="437" spans="1:24" s="83" customFormat="1" ht="39" x14ac:dyDescent="0.3">
      <c r="A437" s="91">
        <v>13</v>
      </c>
      <c r="B437" s="52" t="s">
        <v>25</v>
      </c>
      <c r="C437" s="9"/>
      <c r="D437" s="94" t="s">
        <v>69</v>
      </c>
      <c r="E437" s="34" t="s">
        <v>66</v>
      </c>
      <c r="F437" s="94" t="s">
        <v>89</v>
      </c>
      <c r="G437" s="94"/>
      <c r="H437" s="94"/>
      <c r="I437" s="34"/>
      <c r="J437" s="1072">
        <f>J449+J461+J464+J476+J480+J502+J505+J516+J444+J488+J458+J446+J493+J496+J438+J454+J455+J538</f>
        <v>32462.342000000001</v>
      </c>
      <c r="K437" s="1061"/>
      <c r="L437" s="1064">
        <f>L449+L461+L464+L476+L480+L502+L505+L541+L444+L488</f>
        <v>13168.182999999999</v>
      </c>
      <c r="M437" s="1563">
        <f>M449+M461+M464+M476+M480+M502+M505+M541+M444+M488</f>
        <v>13168.182999999999</v>
      </c>
      <c r="N437" s="1606">
        <f>N445+N451+N469+N472+N478+N487+N526+N528+N531+N537+N540</f>
        <v>7966.7260000000006</v>
      </c>
      <c r="O437" s="1123">
        <f>O445+O451+O478+O487+O489+O492+O504+O518+O520+O540</f>
        <v>4416.915</v>
      </c>
      <c r="P437" s="1072">
        <f>P445+P451+P478+P487+P489+P492+P504+P518+P520+P540</f>
        <v>4792.1499999999996</v>
      </c>
      <c r="Q437" s="1641">
        <f>Q445+Q451+Q469+Q478+Q487+Q526+Q528+Q531+Q537+Q540</f>
        <v>7937.2269999999999</v>
      </c>
      <c r="R437" s="1606">
        <f>R445+R451+R469+R472+R478+R487+R526+R528+R531+R537+R540</f>
        <v>7219.3109999999997</v>
      </c>
      <c r="S437" s="84"/>
      <c r="T437" s="84"/>
      <c r="U437" s="84"/>
      <c r="V437" s="84"/>
      <c r="W437" s="84"/>
      <c r="X437" s="84"/>
    </row>
    <row r="438" spans="1:24" s="83" customFormat="1" ht="26" hidden="1" x14ac:dyDescent="0.3">
      <c r="A438" s="91"/>
      <c r="B438" s="95" t="s">
        <v>88</v>
      </c>
      <c r="C438" s="9"/>
      <c r="D438" s="94"/>
      <c r="E438" s="34"/>
      <c r="F438" s="34" t="s">
        <v>86</v>
      </c>
      <c r="G438" s="94"/>
      <c r="H438" s="94"/>
      <c r="I438" s="34"/>
      <c r="J438" s="1060"/>
      <c r="K438" s="1061"/>
      <c r="L438" s="1064"/>
      <c r="M438" s="1563"/>
      <c r="N438" s="1590"/>
      <c r="O438" s="1097"/>
      <c r="P438" s="1060"/>
      <c r="Q438" s="1557"/>
      <c r="R438" s="1590"/>
      <c r="S438" s="84"/>
      <c r="T438" s="84"/>
      <c r="U438" s="84"/>
      <c r="V438" s="84"/>
      <c r="W438" s="84"/>
      <c r="X438" s="84"/>
    </row>
    <row r="439" spans="1:24" s="83" customFormat="1" ht="26" hidden="1" x14ac:dyDescent="0.3">
      <c r="A439" s="91"/>
      <c r="B439" s="15" t="s">
        <v>4</v>
      </c>
      <c r="C439" s="9"/>
      <c r="D439" s="94"/>
      <c r="E439" s="34"/>
      <c r="F439" s="9" t="s">
        <v>86</v>
      </c>
      <c r="G439" s="9" t="s">
        <v>1</v>
      </c>
      <c r="H439" s="9"/>
      <c r="I439" s="34"/>
      <c r="J439" s="1060"/>
      <c r="K439" s="1061"/>
      <c r="L439" s="1064"/>
      <c r="M439" s="1563"/>
      <c r="N439" s="1590"/>
      <c r="O439" s="1097"/>
      <c r="P439" s="1060"/>
      <c r="Q439" s="1557"/>
      <c r="R439" s="1590"/>
      <c r="S439" s="84"/>
      <c r="T439" s="84"/>
      <c r="U439" s="84"/>
      <c r="V439" s="84"/>
      <c r="W439" s="84"/>
      <c r="X439" s="84"/>
    </row>
    <row r="440" spans="1:24" s="83" customFormat="1" ht="13" hidden="1" x14ac:dyDescent="0.3">
      <c r="A440" s="91"/>
      <c r="B440" s="49" t="s">
        <v>87</v>
      </c>
      <c r="C440" s="9"/>
      <c r="D440" s="94"/>
      <c r="E440" s="34"/>
      <c r="F440" s="9" t="s">
        <v>86</v>
      </c>
      <c r="G440" s="9" t="s">
        <v>1</v>
      </c>
      <c r="H440" s="9"/>
      <c r="I440" s="33" t="s">
        <v>85</v>
      </c>
      <c r="J440" s="1060"/>
      <c r="K440" s="1061"/>
      <c r="L440" s="1064"/>
      <c r="M440" s="1563"/>
      <c r="N440" s="1590"/>
      <c r="O440" s="1097"/>
      <c r="P440" s="1060"/>
      <c r="Q440" s="1557"/>
      <c r="R440" s="1590"/>
      <c r="S440" s="84"/>
      <c r="T440" s="84"/>
      <c r="U440" s="84"/>
      <c r="V440" s="84"/>
      <c r="W440" s="84"/>
      <c r="X440" s="84"/>
    </row>
    <row r="441" spans="1:24" s="83" customFormat="1" ht="13" x14ac:dyDescent="0.3">
      <c r="A441" s="91"/>
      <c r="B441" s="49" t="s">
        <v>83</v>
      </c>
      <c r="C441" s="9"/>
      <c r="D441" s="94"/>
      <c r="E441" s="34"/>
      <c r="F441" s="88" t="s">
        <v>84</v>
      </c>
      <c r="G441" s="9"/>
      <c r="H441" s="9"/>
      <c r="I441" s="33"/>
      <c r="J441" s="1060">
        <f>J442</f>
        <v>32462.342000000001</v>
      </c>
      <c r="K441" s="1061"/>
      <c r="L441" s="1064"/>
      <c r="M441" s="1563"/>
      <c r="N441" s="1590">
        <f>N442</f>
        <v>7966.7260000000006</v>
      </c>
      <c r="O441" s="1097">
        <f>O442</f>
        <v>4416.915</v>
      </c>
      <c r="P441" s="1060">
        <f>P442</f>
        <v>4792.1499999999996</v>
      </c>
      <c r="Q441" s="1557">
        <f>Q442</f>
        <v>7937.2269999999999</v>
      </c>
      <c r="R441" s="1590">
        <f>R442</f>
        <v>7219.3109999999997</v>
      </c>
      <c r="S441" s="84"/>
      <c r="T441" s="84"/>
      <c r="U441" s="84"/>
      <c r="V441" s="84"/>
      <c r="W441" s="84"/>
      <c r="X441" s="84"/>
    </row>
    <row r="442" spans="1:24" s="83" customFormat="1" ht="13" x14ac:dyDescent="0.3">
      <c r="A442" s="91"/>
      <c r="B442" s="49" t="s">
        <v>83</v>
      </c>
      <c r="C442" s="9"/>
      <c r="D442" s="94"/>
      <c r="E442" s="34"/>
      <c r="F442" s="88" t="s">
        <v>82</v>
      </c>
      <c r="G442" s="9"/>
      <c r="H442" s="9"/>
      <c r="I442" s="33"/>
      <c r="J442" s="1060">
        <f>J437</f>
        <v>32462.342000000001</v>
      </c>
      <c r="K442" s="1061"/>
      <c r="L442" s="1064"/>
      <c r="M442" s="1563"/>
      <c r="N442" s="1590">
        <f>N437</f>
        <v>7966.7260000000006</v>
      </c>
      <c r="O442" s="1097">
        <f>O437</f>
        <v>4416.915</v>
      </c>
      <c r="P442" s="1060">
        <f>P437</f>
        <v>4792.1499999999996</v>
      </c>
      <c r="Q442" s="1557">
        <f>Q437</f>
        <v>7937.2269999999999</v>
      </c>
      <c r="R442" s="1590">
        <f>R437</f>
        <v>7219.3109999999997</v>
      </c>
      <c r="S442" s="84"/>
      <c r="T442" s="84"/>
      <c r="U442" s="84"/>
      <c r="V442" s="84"/>
      <c r="W442" s="84"/>
      <c r="X442" s="84"/>
    </row>
    <row r="443" spans="1:24" s="83" customFormat="1" ht="13" x14ac:dyDescent="0.3">
      <c r="A443" s="91"/>
      <c r="B443" s="262" t="s">
        <v>81</v>
      </c>
      <c r="C443" s="9"/>
      <c r="D443" s="94"/>
      <c r="E443" s="34"/>
      <c r="F443" s="79" t="s">
        <v>78</v>
      </c>
      <c r="G443" s="9"/>
      <c r="H443" s="9"/>
      <c r="I443" s="33"/>
      <c r="J443" s="1060">
        <f>J444</f>
        <v>48</v>
      </c>
      <c r="K443" s="1061"/>
      <c r="L443" s="1064"/>
      <c r="M443" s="1563"/>
      <c r="N443" s="1583">
        <f t="shared" ref="N443:R444" si="123">N444</f>
        <v>615.01599999999996</v>
      </c>
      <c r="O443" s="1088">
        <f t="shared" si="123"/>
        <v>531.38</v>
      </c>
      <c r="P443" s="1059">
        <f t="shared" si="123"/>
        <v>584.51300000000003</v>
      </c>
      <c r="Q443" s="1551">
        <f t="shared" si="123"/>
        <v>639.61699999999996</v>
      </c>
      <c r="R443" s="1583">
        <f t="shared" si="123"/>
        <v>665.20100000000002</v>
      </c>
      <c r="S443" s="84"/>
      <c r="T443" s="84"/>
      <c r="U443" s="84"/>
      <c r="V443" s="84"/>
      <c r="W443" s="84"/>
      <c r="X443" s="84"/>
    </row>
    <row r="444" spans="1:24" s="83" customFormat="1" ht="23.5" customHeight="1" x14ac:dyDescent="0.3">
      <c r="A444" s="91"/>
      <c r="B444" s="82" t="s">
        <v>80</v>
      </c>
      <c r="C444" s="89"/>
      <c r="D444" s="9" t="s">
        <v>44</v>
      </c>
      <c r="E444" s="9" t="s">
        <v>76</v>
      </c>
      <c r="F444" s="77" t="s">
        <v>78</v>
      </c>
      <c r="G444" s="33" t="s">
        <v>77</v>
      </c>
      <c r="H444" s="33"/>
      <c r="I444" s="89"/>
      <c r="J444" s="1063">
        <f>J445</f>
        <v>48</v>
      </c>
      <c r="K444" s="1063">
        <f>K445</f>
        <v>240.5</v>
      </c>
      <c r="L444" s="1063">
        <f>L445</f>
        <v>240.5</v>
      </c>
      <c r="M444" s="1125">
        <f>M445</f>
        <v>240.5</v>
      </c>
      <c r="N444" s="1584">
        <f t="shared" si="123"/>
        <v>615.01599999999996</v>
      </c>
      <c r="O444" s="1069">
        <f t="shared" si="123"/>
        <v>531.38</v>
      </c>
      <c r="P444" s="1063">
        <f t="shared" si="123"/>
        <v>584.51300000000003</v>
      </c>
      <c r="Q444" s="1125">
        <f t="shared" si="123"/>
        <v>639.61699999999996</v>
      </c>
      <c r="R444" s="1584">
        <f t="shared" si="123"/>
        <v>665.20100000000002</v>
      </c>
      <c r="S444" s="84"/>
      <c r="T444" s="84"/>
      <c r="U444" s="84"/>
      <c r="V444" s="84"/>
      <c r="W444" s="84"/>
      <c r="X444" s="84"/>
    </row>
    <row r="445" spans="1:24" s="83" customFormat="1" ht="13" x14ac:dyDescent="0.3">
      <c r="A445" s="91"/>
      <c r="B445" s="90" t="s">
        <v>79</v>
      </c>
      <c r="C445" s="89"/>
      <c r="D445" s="9" t="s">
        <v>44</v>
      </c>
      <c r="E445" s="9" t="s">
        <v>76</v>
      </c>
      <c r="F445" s="77" t="s">
        <v>78</v>
      </c>
      <c r="G445" s="33" t="s">
        <v>77</v>
      </c>
      <c r="H445" s="33" t="s">
        <v>496</v>
      </c>
      <c r="I445" s="33" t="s">
        <v>456</v>
      </c>
      <c r="J445" s="1063">
        <v>48</v>
      </c>
      <c r="K445" s="1063">
        <v>240.5</v>
      </c>
      <c r="L445" s="1063">
        <v>240.5</v>
      </c>
      <c r="M445" s="1125">
        <v>240.5</v>
      </c>
      <c r="N445" s="1589">
        <v>615.01599999999996</v>
      </c>
      <c r="O445" s="1069">
        <v>531.38</v>
      </c>
      <c r="P445" s="1063">
        <v>584.51300000000003</v>
      </c>
      <c r="Q445" s="1556">
        <v>639.61699999999996</v>
      </c>
      <c r="R445" s="1589">
        <v>665.20100000000002</v>
      </c>
      <c r="S445" s="84"/>
      <c r="T445" s="84"/>
      <c r="U445" s="84"/>
      <c r="V445" s="84"/>
      <c r="W445" s="84"/>
      <c r="X445" s="84"/>
    </row>
    <row r="446" spans="1:24" s="83" customFormat="1" ht="39" hidden="1" x14ac:dyDescent="0.3">
      <c r="A446" s="91"/>
      <c r="B446" s="49" t="s">
        <v>75</v>
      </c>
      <c r="C446" s="9"/>
      <c r="D446" s="9" t="s">
        <v>15</v>
      </c>
      <c r="E446" s="9" t="s">
        <v>13</v>
      </c>
      <c r="F446" s="34" t="s">
        <v>73</v>
      </c>
      <c r="G446" s="33"/>
      <c r="H446" s="33"/>
      <c r="I446" s="33"/>
      <c r="J446" s="47"/>
      <c r="K446" s="1063"/>
      <c r="L446" s="1063"/>
      <c r="M446" s="1125"/>
      <c r="N446" s="1595"/>
      <c r="O446" s="791"/>
      <c r="P446" s="47"/>
      <c r="Q446" s="209"/>
      <c r="R446" s="1595"/>
      <c r="S446" s="84"/>
      <c r="T446" s="84"/>
      <c r="U446" s="84"/>
      <c r="V446" s="84"/>
      <c r="W446" s="84"/>
      <c r="X446" s="84"/>
    </row>
    <row r="447" spans="1:24" s="83" customFormat="1" ht="13" hidden="1" x14ac:dyDescent="0.3">
      <c r="A447" s="91"/>
      <c r="B447" s="58" t="s">
        <v>28</v>
      </c>
      <c r="C447" s="9"/>
      <c r="D447" s="9"/>
      <c r="E447" s="9"/>
      <c r="F447" s="9" t="s">
        <v>73</v>
      </c>
      <c r="G447" s="9" t="s">
        <v>74</v>
      </c>
      <c r="H447" s="9"/>
      <c r="I447" s="33"/>
      <c r="J447" s="47"/>
      <c r="K447" s="1063"/>
      <c r="L447" s="1063"/>
      <c r="M447" s="1125"/>
      <c r="N447" s="1595"/>
      <c r="O447" s="791"/>
      <c r="P447" s="47"/>
      <c r="Q447" s="209"/>
      <c r="R447" s="1595"/>
      <c r="S447" s="84"/>
      <c r="T447" s="84"/>
      <c r="U447" s="84"/>
      <c r="V447" s="84"/>
      <c r="W447" s="84"/>
      <c r="X447" s="84"/>
    </row>
    <row r="448" spans="1:24" s="83" customFormat="1" ht="13" hidden="1" x14ac:dyDescent="0.3">
      <c r="A448" s="91"/>
      <c r="B448" s="49" t="s">
        <v>39</v>
      </c>
      <c r="C448" s="9"/>
      <c r="D448" s="9"/>
      <c r="E448" s="9"/>
      <c r="F448" s="9" t="s">
        <v>73</v>
      </c>
      <c r="G448" s="9" t="s">
        <v>26</v>
      </c>
      <c r="H448" s="9"/>
      <c r="I448" s="9" t="s">
        <v>13</v>
      </c>
      <c r="J448" s="47"/>
      <c r="K448" s="1063"/>
      <c r="L448" s="1063"/>
      <c r="M448" s="1125"/>
      <c r="N448" s="1595"/>
      <c r="O448" s="791"/>
      <c r="P448" s="47"/>
      <c r="Q448" s="209"/>
      <c r="R448" s="1595"/>
      <c r="S448" s="84"/>
      <c r="T448" s="84"/>
      <c r="U448" s="84"/>
      <c r="V448" s="84"/>
      <c r="W448" s="84"/>
      <c r="X448" s="84"/>
    </row>
    <row r="449" spans="1:24" ht="30" customHeight="1" x14ac:dyDescent="0.25">
      <c r="A449" s="32"/>
      <c r="B449" s="49" t="s">
        <v>72</v>
      </c>
      <c r="C449" s="9"/>
      <c r="D449" s="88" t="s">
        <v>69</v>
      </c>
      <c r="E449" s="9" t="s">
        <v>66</v>
      </c>
      <c r="F449" s="34" t="s">
        <v>67</v>
      </c>
      <c r="G449" s="88" t="s">
        <v>71</v>
      </c>
      <c r="H449" s="88"/>
      <c r="I449" s="9"/>
      <c r="J449" s="1061">
        <f>J450</f>
        <v>2173</v>
      </c>
      <c r="K449" s="1061"/>
      <c r="L449" s="1061">
        <f t="shared" ref="L449:R449" si="124">L450</f>
        <v>2000</v>
      </c>
      <c r="M449" s="1550">
        <f t="shared" si="124"/>
        <v>2000</v>
      </c>
      <c r="N449" s="1597">
        <f t="shared" si="124"/>
        <v>2870</v>
      </c>
      <c r="O449" s="1107">
        <f t="shared" si="124"/>
        <v>2500.6</v>
      </c>
      <c r="P449" s="1064">
        <f t="shared" si="124"/>
        <v>2701.74</v>
      </c>
      <c r="Q449" s="1563">
        <f t="shared" si="124"/>
        <v>2900</v>
      </c>
      <c r="R449" s="1597">
        <f t="shared" si="124"/>
        <v>2980</v>
      </c>
    </row>
    <row r="450" spans="1:24" ht="13" x14ac:dyDescent="0.3">
      <c r="A450" s="32"/>
      <c r="B450" s="16" t="s">
        <v>70</v>
      </c>
      <c r="C450" s="9"/>
      <c r="D450" s="88" t="s">
        <v>69</v>
      </c>
      <c r="E450" s="9" t="s">
        <v>66</v>
      </c>
      <c r="F450" s="9" t="s">
        <v>67</v>
      </c>
      <c r="G450" s="88">
        <v>870</v>
      </c>
      <c r="H450" s="88"/>
      <c r="I450" s="9"/>
      <c r="J450" s="1061">
        <f>J451</f>
        <v>2173</v>
      </c>
      <c r="K450" s="1061"/>
      <c r="L450" s="1061">
        <v>2000</v>
      </c>
      <c r="M450" s="1550">
        <v>2000</v>
      </c>
      <c r="N450" s="1582">
        <f>N451</f>
        <v>2870</v>
      </c>
      <c r="O450" s="1087">
        <f>O451</f>
        <v>2500.6</v>
      </c>
      <c r="P450" s="1061">
        <f>P451</f>
        <v>2701.74</v>
      </c>
      <c r="Q450" s="1550">
        <f>Q451</f>
        <v>2900</v>
      </c>
      <c r="R450" s="1582">
        <f>R451</f>
        <v>2980</v>
      </c>
    </row>
    <row r="451" spans="1:24" ht="13" x14ac:dyDescent="0.3">
      <c r="A451" s="32"/>
      <c r="B451" s="86" t="s">
        <v>68</v>
      </c>
      <c r="C451" s="9"/>
      <c r="D451" s="88"/>
      <c r="E451" s="9"/>
      <c r="F451" s="9" t="s">
        <v>67</v>
      </c>
      <c r="G451" s="88">
        <v>870</v>
      </c>
      <c r="H451" s="9" t="s">
        <v>456</v>
      </c>
      <c r="I451" s="9" t="s">
        <v>464</v>
      </c>
      <c r="J451" s="1061">
        <f>2175-2</f>
        <v>2173</v>
      </c>
      <c r="K451" s="1061"/>
      <c r="L451" s="1061">
        <v>2000</v>
      </c>
      <c r="M451" s="1550">
        <v>2000</v>
      </c>
      <c r="N451" s="1582">
        <v>2870</v>
      </c>
      <c r="O451" s="1087">
        <v>2500.6</v>
      </c>
      <c r="P451" s="1061">
        <v>2701.74</v>
      </c>
      <c r="Q451" s="1550">
        <v>2900</v>
      </c>
      <c r="R451" s="1582">
        <v>2980</v>
      </c>
    </row>
    <row r="452" spans="1:24" ht="39" hidden="1" x14ac:dyDescent="0.25">
      <c r="A452" s="32"/>
      <c r="B452" s="15" t="s">
        <v>65</v>
      </c>
      <c r="C452" s="9"/>
      <c r="D452" s="88"/>
      <c r="E452" s="9"/>
      <c r="F452" s="34" t="s">
        <v>63</v>
      </c>
      <c r="G452" s="88"/>
      <c r="H452" s="88"/>
      <c r="I452" s="9"/>
      <c r="J452" s="1061"/>
      <c r="K452" s="1061"/>
      <c r="L452" s="1061"/>
      <c r="M452" s="1124"/>
      <c r="N452" s="1582"/>
      <c r="O452" s="1087"/>
      <c r="P452" s="1061"/>
      <c r="Q452" s="1550"/>
      <c r="R452" s="1582"/>
    </row>
    <row r="453" spans="1:24" ht="26" hidden="1" x14ac:dyDescent="0.25">
      <c r="A453" s="32"/>
      <c r="B453" s="15" t="s">
        <v>4</v>
      </c>
      <c r="C453" s="9"/>
      <c r="D453" s="88"/>
      <c r="E453" s="9"/>
      <c r="F453" s="9" t="s">
        <v>63</v>
      </c>
      <c r="G453" s="9" t="s">
        <v>1</v>
      </c>
      <c r="H453" s="9"/>
      <c r="I453" s="9"/>
      <c r="J453" s="1061"/>
      <c r="K453" s="1061"/>
      <c r="L453" s="1061"/>
      <c r="M453" s="1124"/>
      <c r="N453" s="1582"/>
      <c r="O453" s="1087"/>
      <c r="P453" s="1061"/>
      <c r="Q453" s="1550"/>
      <c r="R453" s="1582"/>
    </row>
    <row r="454" spans="1:24" ht="13" hidden="1" x14ac:dyDescent="0.25">
      <c r="A454" s="32"/>
      <c r="B454" s="49" t="s">
        <v>64</v>
      </c>
      <c r="C454" s="9"/>
      <c r="D454" s="88"/>
      <c r="E454" s="9"/>
      <c r="F454" s="9" t="s">
        <v>63</v>
      </c>
      <c r="G454" s="9" t="s">
        <v>1</v>
      </c>
      <c r="H454" s="9"/>
      <c r="I454" s="9" t="s">
        <v>62</v>
      </c>
      <c r="J454" s="1061"/>
      <c r="K454" s="1061"/>
      <c r="L454" s="1061"/>
      <c r="M454" s="1124"/>
      <c r="N454" s="1582"/>
      <c r="O454" s="1087"/>
      <c r="P454" s="1061"/>
      <c r="Q454" s="1550"/>
      <c r="R454" s="1582"/>
    </row>
    <row r="455" spans="1:24" ht="26" hidden="1" x14ac:dyDescent="0.25">
      <c r="A455" s="32"/>
      <c r="B455" s="58" t="s">
        <v>29</v>
      </c>
      <c r="C455" s="9"/>
      <c r="D455" s="9" t="s">
        <v>15</v>
      </c>
      <c r="E455" s="9" t="s">
        <v>9</v>
      </c>
      <c r="F455" s="34" t="s">
        <v>27</v>
      </c>
      <c r="G455" s="48"/>
      <c r="H455" s="48"/>
      <c r="I455" s="9"/>
      <c r="J455" s="57">
        <f>J457</f>
        <v>0</v>
      </c>
      <c r="K455" s="1061"/>
      <c r="L455" s="1061"/>
      <c r="M455" s="1124"/>
      <c r="N455" s="1607">
        <f>N457</f>
        <v>0</v>
      </c>
      <c r="O455" s="57">
        <f>O457</f>
        <v>0</v>
      </c>
      <c r="P455" s="57">
        <f>P457</f>
        <v>0</v>
      </c>
      <c r="Q455" s="1572">
        <f>Q457</f>
        <v>0</v>
      </c>
      <c r="R455" s="1607">
        <f>R457</f>
        <v>0</v>
      </c>
    </row>
    <row r="456" spans="1:24" ht="13" hidden="1" x14ac:dyDescent="0.25">
      <c r="A456" s="32"/>
      <c r="B456" s="55" t="s">
        <v>28</v>
      </c>
      <c r="C456" s="9"/>
      <c r="D456" s="9"/>
      <c r="E456" s="9"/>
      <c r="F456" s="9" t="s">
        <v>27</v>
      </c>
      <c r="G456" s="9" t="s">
        <v>26</v>
      </c>
      <c r="H456" s="9"/>
      <c r="I456" s="9"/>
      <c r="J456" s="1061"/>
      <c r="K456" s="1061"/>
      <c r="L456" s="1061"/>
      <c r="M456" s="1124"/>
      <c r="N456" s="1582"/>
      <c r="O456" s="1087"/>
      <c r="P456" s="1061"/>
      <c r="Q456" s="1550"/>
      <c r="R456" s="1582"/>
    </row>
    <row r="457" spans="1:24" ht="13" hidden="1" x14ac:dyDescent="0.3">
      <c r="A457" s="32"/>
      <c r="B457" s="16" t="s">
        <v>11</v>
      </c>
      <c r="C457" s="9"/>
      <c r="D457" s="9" t="s">
        <v>15</v>
      </c>
      <c r="E457" s="9" t="s">
        <v>9</v>
      </c>
      <c r="F457" s="9" t="s">
        <v>27</v>
      </c>
      <c r="G457" s="9" t="s">
        <v>26</v>
      </c>
      <c r="H457" s="9"/>
      <c r="I457" s="9" t="s">
        <v>9</v>
      </c>
      <c r="J457" s="1061"/>
      <c r="K457" s="1061"/>
      <c r="L457" s="1061"/>
      <c r="M457" s="1124"/>
      <c r="N457" s="1582"/>
      <c r="O457" s="1087"/>
      <c r="P457" s="1061"/>
      <c r="Q457" s="1550"/>
      <c r="R457" s="1582"/>
    </row>
    <row r="458" spans="1:24" ht="26" hidden="1" x14ac:dyDescent="0.25">
      <c r="A458" s="32"/>
      <c r="B458" s="1098" t="s">
        <v>863</v>
      </c>
      <c r="C458" s="9"/>
      <c r="D458" s="88"/>
      <c r="E458" s="9"/>
      <c r="F458" s="34" t="s">
        <v>862</v>
      </c>
      <c r="G458" s="88"/>
      <c r="H458" s="88"/>
      <c r="I458" s="9"/>
      <c r="J458" s="1061"/>
      <c r="K458" s="1061"/>
      <c r="L458" s="1061"/>
      <c r="M458" s="1124"/>
      <c r="N458" s="1597"/>
      <c r="O458" s="1087"/>
      <c r="P458" s="1061"/>
      <c r="Q458" s="1563"/>
      <c r="R458" s="1597"/>
    </row>
    <row r="459" spans="1:24" ht="26" hidden="1" x14ac:dyDescent="0.3">
      <c r="A459" s="32"/>
      <c r="B459" s="15" t="s">
        <v>4</v>
      </c>
      <c r="C459" s="89"/>
      <c r="D459" s="9" t="s">
        <v>52</v>
      </c>
      <c r="E459" s="9" t="s">
        <v>58</v>
      </c>
      <c r="F459" s="9" t="s">
        <v>862</v>
      </c>
      <c r="G459" s="88">
        <v>240</v>
      </c>
      <c r="H459" s="88"/>
      <c r="I459" s="1063"/>
      <c r="J459" s="1061"/>
      <c r="K459" s="1063"/>
      <c r="L459" s="1063"/>
      <c r="M459" s="84"/>
      <c r="N459" s="1582"/>
      <c r="O459" s="1087"/>
      <c r="P459" s="1061"/>
      <c r="Q459" s="1550"/>
      <c r="R459" s="1582"/>
    </row>
    <row r="460" spans="1:24" ht="13" hidden="1" x14ac:dyDescent="0.3">
      <c r="A460" s="32"/>
      <c r="B460" s="90" t="s">
        <v>60</v>
      </c>
      <c r="C460" s="89"/>
      <c r="D460" s="9"/>
      <c r="E460" s="9"/>
      <c r="F460" s="9" t="s">
        <v>862</v>
      </c>
      <c r="G460" s="88">
        <v>240</v>
      </c>
      <c r="H460" s="9" t="s">
        <v>452</v>
      </c>
      <c r="I460" s="9" t="s">
        <v>539</v>
      </c>
      <c r="J460" s="1061"/>
      <c r="K460" s="1063"/>
      <c r="L460" s="1063"/>
      <c r="M460" s="84"/>
      <c r="N460" s="1582"/>
      <c r="O460" s="1087"/>
      <c r="P460" s="1061"/>
      <c r="Q460" s="1550"/>
      <c r="R460" s="1582"/>
    </row>
    <row r="461" spans="1:24" s="83" customFormat="1" ht="13" hidden="1" x14ac:dyDescent="0.3">
      <c r="A461" s="85"/>
      <c r="B461" s="49" t="s">
        <v>57</v>
      </c>
      <c r="C461" s="9"/>
      <c r="D461" s="9" t="s">
        <v>52</v>
      </c>
      <c r="E461" s="9" t="s">
        <v>49</v>
      </c>
      <c r="F461" s="34" t="s">
        <v>56</v>
      </c>
      <c r="G461" s="34"/>
      <c r="H461" s="34"/>
      <c r="I461" s="9"/>
      <c r="J461" s="1065">
        <f>J462</f>
        <v>0</v>
      </c>
      <c r="K461" s="1065"/>
      <c r="L461" s="1065">
        <f t="shared" ref="L461:R461" si="125">L462</f>
        <v>0</v>
      </c>
      <c r="M461" s="1552">
        <f t="shared" si="125"/>
        <v>0</v>
      </c>
      <c r="N461" s="1585">
        <f t="shared" si="125"/>
        <v>0</v>
      </c>
      <c r="O461" s="1091">
        <f t="shared" si="125"/>
        <v>0</v>
      </c>
      <c r="P461" s="1065">
        <f t="shared" si="125"/>
        <v>0</v>
      </c>
      <c r="Q461" s="1552">
        <f t="shared" si="125"/>
        <v>0</v>
      </c>
      <c r="R461" s="1585">
        <f t="shared" si="125"/>
        <v>0</v>
      </c>
      <c r="S461" s="84"/>
      <c r="T461" s="84"/>
      <c r="U461" s="84"/>
      <c r="V461" s="84"/>
      <c r="W461" s="84"/>
      <c r="X461" s="84"/>
    </row>
    <row r="462" spans="1:24" s="83" customFormat="1" ht="26" hidden="1" x14ac:dyDescent="0.3">
      <c r="A462" s="85"/>
      <c r="B462" s="15" t="s">
        <v>4</v>
      </c>
      <c r="C462" s="9"/>
      <c r="D462" s="9" t="s">
        <v>52</v>
      </c>
      <c r="E462" s="9" t="s">
        <v>49</v>
      </c>
      <c r="F462" s="9" t="s">
        <v>56</v>
      </c>
      <c r="G462" s="9" t="s">
        <v>1</v>
      </c>
      <c r="H462" s="9"/>
      <c r="I462" s="9"/>
      <c r="J462" s="1063">
        <f>J463</f>
        <v>0</v>
      </c>
      <c r="K462" s="1063"/>
      <c r="L462" s="1063"/>
      <c r="M462" s="1125"/>
      <c r="N462" s="1584">
        <f>N463</f>
        <v>0</v>
      </c>
      <c r="O462" s="1069">
        <f>O463</f>
        <v>0</v>
      </c>
      <c r="P462" s="1063">
        <f>P463</f>
        <v>0</v>
      </c>
      <c r="Q462" s="1125">
        <f>Q463</f>
        <v>0</v>
      </c>
      <c r="R462" s="1584">
        <f>R463</f>
        <v>0</v>
      </c>
      <c r="S462" s="84"/>
      <c r="T462" s="84"/>
      <c r="U462" s="84"/>
      <c r="V462" s="84"/>
      <c r="W462" s="84"/>
      <c r="X462" s="84"/>
    </row>
    <row r="463" spans="1:24" s="83" customFormat="1" ht="13" hidden="1" x14ac:dyDescent="0.3">
      <c r="A463" s="85"/>
      <c r="B463" s="86" t="s">
        <v>51</v>
      </c>
      <c r="C463" s="9"/>
      <c r="D463" s="9"/>
      <c r="E463" s="9"/>
      <c r="F463" s="9" t="s">
        <v>56</v>
      </c>
      <c r="G463" s="9" t="s">
        <v>1</v>
      </c>
      <c r="H463" s="9"/>
      <c r="I463" s="9" t="s">
        <v>49</v>
      </c>
      <c r="J463" s="1063"/>
      <c r="K463" s="1063"/>
      <c r="L463" s="1063"/>
      <c r="M463" s="1125"/>
      <c r="N463" s="1584"/>
      <c r="O463" s="1069"/>
      <c r="P463" s="1063"/>
      <c r="Q463" s="1125"/>
      <c r="R463" s="1584"/>
      <c r="S463" s="84"/>
      <c r="T463" s="84"/>
      <c r="U463" s="84"/>
      <c r="V463" s="84"/>
      <c r="W463" s="84"/>
      <c r="X463" s="84"/>
    </row>
    <row r="464" spans="1:24" s="83" customFormat="1" ht="13" hidden="1" x14ac:dyDescent="0.3">
      <c r="A464" s="85"/>
      <c r="B464" s="49" t="s">
        <v>55</v>
      </c>
      <c r="C464" s="9"/>
      <c r="D464" s="9" t="s">
        <v>52</v>
      </c>
      <c r="E464" s="9" t="s">
        <v>49</v>
      </c>
      <c r="F464" s="34" t="s">
        <v>54</v>
      </c>
      <c r="G464" s="9"/>
      <c r="H464" s="9"/>
      <c r="I464" s="9"/>
      <c r="J464" s="1065">
        <f>J465</f>
        <v>94.8</v>
      </c>
      <c r="K464" s="1065"/>
      <c r="L464" s="1065">
        <f t="shared" ref="L464:R464" si="126">L465</f>
        <v>64.8</v>
      </c>
      <c r="M464" s="1552">
        <f t="shared" si="126"/>
        <v>64.8</v>
      </c>
      <c r="N464" s="1585">
        <f t="shared" si="126"/>
        <v>0</v>
      </c>
      <c r="O464" s="1091">
        <f t="shared" si="126"/>
        <v>0</v>
      </c>
      <c r="P464" s="1065">
        <f t="shared" si="126"/>
        <v>0</v>
      </c>
      <c r="Q464" s="1552">
        <f t="shared" si="126"/>
        <v>0</v>
      </c>
      <c r="R464" s="1585">
        <f t="shared" si="126"/>
        <v>0</v>
      </c>
      <c r="S464" s="84"/>
      <c r="T464" s="84"/>
      <c r="U464" s="84"/>
      <c r="V464" s="84"/>
      <c r="W464" s="84"/>
      <c r="X464" s="84"/>
    </row>
    <row r="465" spans="1:24" s="83" customFormat="1" ht="26" hidden="1" x14ac:dyDescent="0.3">
      <c r="A465" s="85"/>
      <c r="B465" s="15" t="s">
        <v>4</v>
      </c>
      <c r="C465" s="9"/>
      <c r="D465" s="9" t="s">
        <v>52</v>
      </c>
      <c r="E465" s="9" t="s">
        <v>49</v>
      </c>
      <c r="F465" s="9" t="s">
        <v>54</v>
      </c>
      <c r="G465" s="9" t="s">
        <v>1</v>
      </c>
      <c r="H465" s="9"/>
      <c r="I465" s="9"/>
      <c r="J465" s="1063">
        <f>J466</f>
        <v>94.8</v>
      </c>
      <c r="K465" s="1063"/>
      <c r="L465" s="1063">
        <v>64.8</v>
      </c>
      <c r="M465" s="1125">
        <v>64.8</v>
      </c>
      <c r="N465" s="1584">
        <f>N466</f>
        <v>0</v>
      </c>
      <c r="O465" s="1069">
        <f>O466</f>
        <v>0</v>
      </c>
      <c r="P465" s="1063">
        <f>P466</f>
        <v>0</v>
      </c>
      <c r="Q465" s="1125">
        <f>Q466</f>
        <v>0</v>
      </c>
      <c r="R465" s="1584">
        <f>R466</f>
        <v>0</v>
      </c>
      <c r="S465" s="84"/>
      <c r="T465" s="84"/>
      <c r="U465" s="84"/>
      <c r="V465" s="84"/>
      <c r="W465" s="84"/>
      <c r="X465" s="84"/>
    </row>
    <row r="466" spans="1:24" s="83" customFormat="1" ht="13" hidden="1" x14ac:dyDescent="0.3">
      <c r="A466" s="85"/>
      <c r="B466" s="86" t="s">
        <v>51</v>
      </c>
      <c r="C466" s="9"/>
      <c r="D466" s="9"/>
      <c r="E466" s="9"/>
      <c r="F466" s="9" t="s">
        <v>54</v>
      </c>
      <c r="G466" s="9" t="s">
        <v>1</v>
      </c>
      <c r="H466" s="9"/>
      <c r="I466" s="9" t="s">
        <v>49</v>
      </c>
      <c r="J466" s="1063">
        <v>94.8</v>
      </c>
      <c r="K466" s="1063"/>
      <c r="L466" s="1063">
        <v>64.8</v>
      </c>
      <c r="M466" s="1125">
        <v>64.8</v>
      </c>
      <c r="N466" s="1584"/>
      <c r="O466" s="1069"/>
      <c r="P466" s="1063"/>
      <c r="Q466" s="1125"/>
      <c r="R466" s="1584"/>
      <c r="S466" s="84"/>
      <c r="T466" s="84"/>
      <c r="U466" s="84"/>
      <c r="V466" s="84"/>
      <c r="W466" s="84"/>
      <c r="X466" s="84"/>
    </row>
    <row r="467" spans="1:24" s="83" customFormat="1" ht="13" x14ac:dyDescent="0.3">
      <c r="A467" s="85"/>
      <c r="B467" s="49" t="s">
        <v>57</v>
      </c>
      <c r="C467" s="9"/>
      <c r="D467" s="9"/>
      <c r="E467" s="9"/>
      <c r="F467" s="89" t="s">
        <v>536</v>
      </c>
      <c r="G467" s="9"/>
      <c r="H467" s="9"/>
      <c r="I467" s="535"/>
      <c r="J467" s="1125"/>
      <c r="K467" s="1122"/>
      <c r="L467" s="1122"/>
      <c r="M467" s="1122"/>
      <c r="N467" s="1585">
        <f>N468</f>
        <v>500</v>
      </c>
      <c r="O467" s="1122"/>
      <c r="P467" s="1122"/>
      <c r="Q467" s="1552">
        <f>Q468</f>
        <v>902.4</v>
      </c>
      <c r="R467" s="1585">
        <f>R468</f>
        <v>248.7</v>
      </c>
      <c r="S467" s="84"/>
      <c r="T467" s="84"/>
      <c r="U467" s="84"/>
      <c r="V467" s="84"/>
      <c r="W467" s="84"/>
      <c r="X467" s="84"/>
    </row>
    <row r="468" spans="1:24" s="83" customFormat="1" ht="13" x14ac:dyDescent="0.3">
      <c r="A468" s="85"/>
      <c r="B468" s="16" t="s">
        <v>16</v>
      </c>
      <c r="C468" s="9"/>
      <c r="D468" s="9"/>
      <c r="E468" s="9"/>
      <c r="F468" s="33" t="s">
        <v>536</v>
      </c>
      <c r="G468" s="9" t="s">
        <v>1</v>
      </c>
      <c r="H468" s="9"/>
      <c r="I468" s="535"/>
      <c r="J468" s="1125"/>
      <c r="K468" s="1122"/>
      <c r="L468" s="1122"/>
      <c r="M468" s="1122"/>
      <c r="N468" s="1584">
        <f>N469</f>
        <v>500</v>
      </c>
      <c r="O468" s="1122"/>
      <c r="P468" s="1122"/>
      <c r="Q468" s="1125">
        <f>Q469</f>
        <v>902.4</v>
      </c>
      <c r="R468" s="1584">
        <f>R469</f>
        <v>248.7</v>
      </c>
      <c r="S468" s="84"/>
      <c r="T468" s="84"/>
      <c r="U468" s="84"/>
      <c r="V468" s="84"/>
      <c r="W468" s="84"/>
      <c r="X468" s="84"/>
    </row>
    <row r="469" spans="1:24" s="83" customFormat="1" ht="13" x14ac:dyDescent="0.3">
      <c r="A469" s="85"/>
      <c r="B469" s="86" t="s">
        <v>51</v>
      </c>
      <c r="C469" s="9"/>
      <c r="D469" s="9"/>
      <c r="E469" s="9"/>
      <c r="F469" s="33" t="s">
        <v>536</v>
      </c>
      <c r="G469" s="9" t="s">
        <v>1</v>
      </c>
      <c r="H469" s="9" t="s">
        <v>452</v>
      </c>
      <c r="I469" s="535" t="s">
        <v>534</v>
      </c>
      <c r="J469" s="1125"/>
      <c r="K469" s="1122"/>
      <c r="L469" s="1122"/>
      <c r="M469" s="1122"/>
      <c r="N469" s="1584">
        <v>500</v>
      </c>
      <c r="O469" s="1122"/>
      <c r="P469" s="1122"/>
      <c r="Q469" s="1125">
        <v>902.4</v>
      </c>
      <c r="R469" s="1584">
        <v>248.7</v>
      </c>
      <c r="S469" s="84"/>
      <c r="T469" s="84"/>
      <c r="U469" s="84"/>
      <c r="V469" s="84"/>
      <c r="W469" s="84"/>
      <c r="X469" s="84"/>
    </row>
    <row r="470" spans="1:24" s="83" customFormat="1" ht="13" x14ac:dyDescent="0.3">
      <c r="A470" s="85"/>
      <c r="B470" s="537" t="s">
        <v>535</v>
      </c>
      <c r="C470" s="9"/>
      <c r="D470" s="9"/>
      <c r="E470" s="9"/>
      <c r="F470" s="89" t="s">
        <v>54</v>
      </c>
      <c r="G470" s="9"/>
      <c r="H470" s="9"/>
      <c r="I470" s="535"/>
      <c r="J470" s="1125"/>
      <c r="K470" s="1122"/>
      <c r="L470" s="1122"/>
      <c r="M470" s="1122"/>
      <c r="N470" s="1585">
        <f>N471</f>
        <v>94.8</v>
      </c>
      <c r="O470" s="1122"/>
      <c r="P470" s="1122"/>
      <c r="Q470" s="1552"/>
      <c r="R470" s="1585"/>
      <c r="S470" s="84"/>
      <c r="T470" s="84"/>
      <c r="U470" s="84"/>
      <c r="V470" s="84"/>
      <c r="W470" s="84"/>
      <c r="X470" s="84"/>
    </row>
    <row r="471" spans="1:24" s="83" customFormat="1" ht="13" x14ac:dyDescent="0.3">
      <c r="A471" s="85"/>
      <c r="B471" s="16" t="s">
        <v>16</v>
      </c>
      <c r="C471" s="9"/>
      <c r="D471" s="9"/>
      <c r="E471" s="9"/>
      <c r="F471" s="33" t="s">
        <v>54</v>
      </c>
      <c r="G471" s="9" t="s">
        <v>1</v>
      </c>
      <c r="H471" s="9"/>
      <c r="I471" s="535"/>
      <c r="J471" s="1125"/>
      <c r="K471" s="1122"/>
      <c r="L471" s="1122"/>
      <c r="M471" s="1122"/>
      <c r="N471" s="1584">
        <f>N472</f>
        <v>94.8</v>
      </c>
      <c r="O471" s="1122"/>
      <c r="P471" s="1122"/>
      <c r="Q471" s="1125"/>
      <c r="R471" s="1584"/>
      <c r="S471" s="84"/>
      <c r="T471" s="84"/>
      <c r="U471" s="84"/>
      <c r="V471" s="84"/>
      <c r="W471" s="84"/>
      <c r="X471" s="84"/>
    </row>
    <row r="472" spans="1:24" s="83" customFormat="1" ht="13" x14ac:dyDescent="0.3">
      <c r="A472" s="85"/>
      <c r="B472" s="86" t="s">
        <v>51</v>
      </c>
      <c r="C472" s="9"/>
      <c r="D472" s="9"/>
      <c r="E472" s="9"/>
      <c r="F472" s="33" t="s">
        <v>54</v>
      </c>
      <c r="G472" s="9" t="s">
        <v>1</v>
      </c>
      <c r="H472" s="9" t="s">
        <v>452</v>
      </c>
      <c r="I472" s="535" t="s">
        <v>534</v>
      </c>
      <c r="J472" s="1125"/>
      <c r="K472" s="1122"/>
      <c r="L472" s="1122"/>
      <c r="M472" s="1122"/>
      <c r="N472" s="1584">
        <v>94.8</v>
      </c>
      <c r="O472" s="1122"/>
      <c r="P472" s="1122"/>
      <c r="Q472" s="1125"/>
      <c r="R472" s="1584"/>
      <c r="S472" s="84"/>
      <c r="T472" s="84"/>
      <c r="U472" s="84"/>
      <c r="V472" s="84"/>
      <c r="W472" s="84"/>
      <c r="X472" s="84"/>
    </row>
    <row r="473" spans="1:24" s="83" customFormat="1" ht="39" hidden="1" x14ac:dyDescent="0.3">
      <c r="A473" s="85"/>
      <c r="B473" s="533" t="s">
        <v>788</v>
      </c>
      <c r="C473" s="9"/>
      <c r="D473" s="9"/>
      <c r="E473" s="9"/>
      <c r="F473" s="89" t="s">
        <v>789</v>
      </c>
      <c r="G473" s="9"/>
      <c r="H473" s="9"/>
      <c r="I473" s="535"/>
      <c r="J473" s="1125"/>
      <c r="K473" s="1122"/>
      <c r="L473" s="1122"/>
      <c r="M473" s="1122"/>
      <c r="N473" s="1585">
        <f>N474</f>
        <v>0</v>
      </c>
      <c r="O473" s="1122"/>
      <c r="P473" s="1122"/>
      <c r="Q473" s="1552">
        <f>Q474</f>
        <v>0</v>
      </c>
      <c r="R473" s="1585">
        <f>R474</f>
        <v>0</v>
      </c>
      <c r="S473" s="84"/>
      <c r="T473" s="84"/>
      <c r="U473" s="84"/>
      <c r="V473" s="84"/>
      <c r="W473" s="84"/>
      <c r="X473" s="84"/>
    </row>
    <row r="474" spans="1:24" ht="13" hidden="1" x14ac:dyDescent="0.3">
      <c r="A474" s="842"/>
      <c r="B474" s="16" t="s">
        <v>16</v>
      </c>
      <c r="C474" s="409" t="s">
        <v>430</v>
      </c>
      <c r="D474" s="409" t="s">
        <v>456</v>
      </c>
      <c r="E474" s="409" t="s">
        <v>506</v>
      </c>
      <c r="F474" s="33" t="s">
        <v>789</v>
      </c>
      <c r="G474" s="532" t="s">
        <v>1</v>
      </c>
      <c r="H474" s="531"/>
      <c r="I474" s="529"/>
      <c r="J474" s="269"/>
      <c r="K474" s="830"/>
      <c r="L474" s="2"/>
      <c r="M474" s="2"/>
      <c r="N474" s="1608">
        <f>N475</f>
        <v>0</v>
      </c>
      <c r="O474" s="2"/>
      <c r="P474" s="2"/>
      <c r="Q474" s="1642">
        <f>Q475</f>
        <v>0</v>
      </c>
      <c r="R474" s="1608">
        <f>R475</f>
        <v>0</v>
      </c>
      <c r="S474" s="1"/>
      <c r="T474" s="1"/>
      <c r="U474" s="1"/>
      <c r="V474" s="1"/>
      <c r="W474" s="1"/>
      <c r="X474" s="1"/>
    </row>
    <row r="475" spans="1:24" ht="13" hidden="1" x14ac:dyDescent="0.3">
      <c r="A475" s="843"/>
      <c r="B475" s="534" t="s">
        <v>419</v>
      </c>
      <c r="C475" s="409" t="s">
        <v>430</v>
      </c>
      <c r="D475" s="409" t="s">
        <v>456</v>
      </c>
      <c r="E475" s="409" t="s">
        <v>506</v>
      </c>
      <c r="F475" s="33" t="s">
        <v>789</v>
      </c>
      <c r="G475" s="532" t="s">
        <v>1</v>
      </c>
      <c r="H475" s="9" t="s">
        <v>456</v>
      </c>
      <c r="I475" s="9" t="s">
        <v>506</v>
      </c>
      <c r="J475" s="269"/>
      <c r="K475" s="830"/>
      <c r="L475" s="2"/>
      <c r="M475" s="2"/>
      <c r="N475" s="1608">
        <v>0</v>
      </c>
      <c r="O475" s="2"/>
      <c r="P475" s="2"/>
      <c r="Q475" s="1642">
        <v>0</v>
      </c>
      <c r="R475" s="1608">
        <v>0</v>
      </c>
      <c r="S475" s="1"/>
      <c r="T475" s="1"/>
      <c r="U475" s="1"/>
      <c r="V475" s="1"/>
      <c r="W475" s="1"/>
      <c r="X475" s="1"/>
    </row>
    <row r="476" spans="1:24" s="83" customFormat="1" ht="13" x14ac:dyDescent="0.3">
      <c r="A476" s="85"/>
      <c r="B476" s="49" t="s">
        <v>53</v>
      </c>
      <c r="C476" s="9"/>
      <c r="D476" s="9" t="s">
        <v>52</v>
      </c>
      <c r="E476" s="9" t="s">
        <v>49</v>
      </c>
      <c r="F476" s="34" t="s">
        <v>50</v>
      </c>
      <c r="G476" s="9"/>
      <c r="H476" s="9"/>
      <c r="I476" s="9"/>
      <c r="J476" s="1064">
        <f>J477</f>
        <v>3163.5070000000001</v>
      </c>
      <c r="K476" s="1065"/>
      <c r="L476" s="1065">
        <f t="shared" ref="L476:R476" si="127">L477</f>
        <v>0</v>
      </c>
      <c r="M476" s="1552">
        <f t="shared" si="127"/>
        <v>0</v>
      </c>
      <c r="N476" s="1597">
        <f t="shared" si="127"/>
        <v>905.2</v>
      </c>
      <c r="O476" s="1107">
        <f t="shared" si="127"/>
        <v>0</v>
      </c>
      <c r="P476" s="1064">
        <f t="shared" si="127"/>
        <v>0</v>
      </c>
      <c r="Q476" s="1563">
        <f t="shared" si="127"/>
        <v>504</v>
      </c>
      <c r="R476" s="1597">
        <f t="shared" si="127"/>
        <v>304</v>
      </c>
      <c r="S476" s="84"/>
      <c r="T476" s="84"/>
      <c r="U476" s="84"/>
      <c r="V476" s="84"/>
      <c r="W476" s="84"/>
      <c r="X476" s="84"/>
    </row>
    <row r="477" spans="1:24" s="83" customFormat="1" ht="13" x14ac:dyDescent="0.3">
      <c r="A477" s="85"/>
      <c r="B477" s="16" t="s">
        <v>16</v>
      </c>
      <c r="C477" s="9"/>
      <c r="D477" s="9" t="s">
        <v>52</v>
      </c>
      <c r="E477" s="9" t="s">
        <v>49</v>
      </c>
      <c r="F477" s="9" t="s">
        <v>50</v>
      </c>
      <c r="G477" s="9" t="s">
        <v>1</v>
      </c>
      <c r="H477" s="9"/>
      <c r="I477" s="9"/>
      <c r="J477" s="1061">
        <f>J478</f>
        <v>3163.5070000000001</v>
      </c>
      <c r="K477" s="1065"/>
      <c r="L477" s="1065"/>
      <c r="M477" s="1552"/>
      <c r="N477" s="1582">
        <f>N478</f>
        <v>905.2</v>
      </c>
      <c r="O477" s="1087">
        <f>O478</f>
        <v>0</v>
      </c>
      <c r="P477" s="1061">
        <f>P478</f>
        <v>0</v>
      </c>
      <c r="Q477" s="1550">
        <f>Q478</f>
        <v>504</v>
      </c>
      <c r="R477" s="1582">
        <f>R478</f>
        <v>304</v>
      </c>
      <c r="S477" s="84"/>
      <c r="T477" s="84"/>
      <c r="U477" s="84"/>
      <c r="V477" s="84"/>
      <c r="W477" s="84"/>
      <c r="X477" s="84"/>
    </row>
    <row r="478" spans="1:24" s="83" customFormat="1" ht="13" x14ac:dyDescent="0.3">
      <c r="A478" s="85"/>
      <c r="B478" s="86" t="s">
        <v>51</v>
      </c>
      <c r="C478" s="9"/>
      <c r="D478" s="9"/>
      <c r="E478" s="9"/>
      <c r="F478" s="9" t="s">
        <v>50</v>
      </c>
      <c r="G478" s="9" t="s">
        <v>1</v>
      </c>
      <c r="H478" s="9" t="s">
        <v>452</v>
      </c>
      <c r="I478" s="9" t="s">
        <v>534</v>
      </c>
      <c r="J478" s="1126">
        <v>3163.5070000000001</v>
      </c>
      <c r="K478" s="1065"/>
      <c r="L478" s="1065"/>
      <c r="M478" s="1552"/>
      <c r="N478" s="1582">
        <v>905.2</v>
      </c>
      <c r="O478" s="1087"/>
      <c r="P478" s="1061"/>
      <c r="Q478" s="1550">
        <v>504</v>
      </c>
      <c r="R478" s="1582">
        <v>304</v>
      </c>
      <c r="S478" s="84"/>
      <c r="T478" s="84"/>
      <c r="U478" s="84"/>
      <c r="V478" s="84"/>
      <c r="W478" s="84"/>
      <c r="X478" s="84"/>
    </row>
    <row r="479" spans="1:24" s="83" customFormat="1" ht="39" hidden="1" x14ac:dyDescent="0.3">
      <c r="A479" s="85"/>
      <c r="B479" s="52" t="s">
        <v>25</v>
      </c>
      <c r="C479" s="9"/>
      <c r="D479" s="34" t="s">
        <v>15</v>
      </c>
      <c r="E479" s="34" t="s">
        <v>13</v>
      </c>
      <c r="F479" s="34" t="s">
        <v>24</v>
      </c>
      <c r="G479" s="48"/>
      <c r="H479" s="48"/>
      <c r="I479" s="34"/>
      <c r="J479" s="131">
        <f>J480</f>
        <v>182.53199999999998</v>
      </c>
      <c r="K479" s="51"/>
      <c r="L479" s="51">
        <f t="shared" ref="L479:R479" si="128">L480</f>
        <v>85</v>
      </c>
      <c r="M479" s="1553">
        <f t="shared" si="128"/>
        <v>85</v>
      </c>
      <c r="N479" s="1586">
        <f t="shared" si="128"/>
        <v>0</v>
      </c>
      <c r="O479" s="205">
        <f t="shared" si="128"/>
        <v>0</v>
      </c>
      <c r="P479" s="51">
        <f t="shared" si="128"/>
        <v>0</v>
      </c>
      <c r="Q479" s="1553">
        <f t="shared" si="128"/>
        <v>0</v>
      </c>
      <c r="R479" s="1586">
        <f t="shared" si="128"/>
        <v>0</v>
      </c>
      <c r="S479" s="84"/>
      <c r="T479" s="84"/>
      <c r="U479" s="84"/>
      <c r="V479" s="84"/>
      <c r="W479" s="84"/>
      <c r="X479" s="84"/>
    </row>
    <row r="480" spans="1:24" s="83" customFormat="1" ht="39" hidden="1" x14ac:dyDescent="0.3">
      <c r="A480" s="85"/>
      <c r="B480" s="49" t="s">
        <v>23</v>
      </c>
      <c r="C480" s="9"/>
      <c r="D480" s="9" t="s">
        <v>15</v>
      </c>
      <c r="E480" s="9" t="s">
        <v>13</v>
      </c>
      <c r="F480" s="34" t="s">
        <v>48</v>
      </c>
      <c r="G480" s="48"/>
      <c r="H480" s="48"/>
      <c r="I480" s="9"/>
      <c r="J480" s="131">
        <f>J483</f>
        <v>182.53199999999998</v>
      </c>
      <c r="K480" s="51"/>
      <c r="L480" s="51">
        <f t="shared" ref="L480:R480" si="129">L483</f>
        <v>85</v>
      </c>
      <c r="M480" s="1553">
        <f t="shared" si="129"/>
        <v>85</v>
      </c>
      <c r="N480" s="1586">
        <f t="shared" si="129"/>
        <v>0</v>
      </c>
      <c r="O480" s="205">
        <f t="shared" si="129"/>
        <v>0</v>
      </c>
      <c r="P480" s="51">
        <f t="shared" si="129"/>
        <v>0</v>
      </c>
      <c r="Q480" s="1553">
        <f t="shared" si="129"/>
        <v>0</v>
      </c>
      <c r="R480" s="1586">
        <f t="shared" si="129"/>
        <v>0</v>
      </c>
      <c r="S480" s="84"/>
      <c r="T480" s="84"/>
      <c r="U480" s="84"/>
      <c r="V480" s="84"/>
      <c r="W480" s="84"/>
      <c r="X480" s="84"/>
    </row>
    <row r="481" spans="1:29" s="83" customFormat="1" ht="26.5" hidden="1" customHeight="1" x14ac:dyDescent="0.3">
      <c r="A481" s="85"/>
      <c r="B481" s="42" t="s">
        <v>22</v>
      </c>
      <c r="C481" s="31"/>
      <c r="D481" s="31" t="s">
        <v>15</v>
      </c>
      <c r="E481" s="31" t="s">
        <v>13</v>
      </c>
      <c r="F481" s="31" t="s">
        <v>21</v>
      </c>
      <c r="G481" s="3373" t="s">
        <v>20</v>
      </c>
      <c r="H481" s="3374"/>
      <c r="I481" s="3374"/>
      <c r="J481" s="3375"/>
      <c r="K481" s="45"/>
      <c r="L481" s="44"/>
      <c r="M481" s="44"/>
      <c r="N481" s="1609"/>
      <c r="O481" s="84"/>
      <c r="P481" s="84"/>
      <c r="Q481" s="84"/>
      <c r="R481" s="1609"/>
      <c r="S481" s="84"/>
      <c r="T481" s="84"/>
      <c r="U481" s="84"/>
      <c r="V481" s="84"/>
      <c r="W481" s="84"/>
      <c r="X481" s="84"/>
    </row>
    <row r="482" spans="1:29" ht="39.65" hidden="1" customHeight="1" x14ac:dyDescent="0.25">
      <c r="A482" s="32"/>
      <c r="B482" s="42" t="s">
        <v>19</v>
      </c>
      <c r="C482" s="31"/>
      <c r="D482" s="31" t="s">
        <v>15</v>
      </c>
      <c r="E482" s="31" t="s">
        <v>13</v>
      </c>
      <c r="F482" s="31" t="s">
        <v>18</v>
      </c>
      <c r="G482" s="3373" t="s">
        <v>17</v>
      </c>
      <c r="H482" s="3374"/>
      <c r="I482" s="3374"/>
      <c r="J482" s="3375"/>
      <c r="K482" s="41"/>
      <c r="L482" s="2"/>
      <c r="M482" s="2"/>
      <c r="N482" s="1610"/>
      <c r="O482" s="2"/>
      <c r="P482" s="2"/>
      <c r="Q482" s="2"/>
      <c r="R482" s="1610"/>
    </row>
    <row r="483" spans="1:29" ht="26" hidden="1" x14ac:dyDescent="0.3">
      <c r="A483" s="32"/>
      <c r="B483" s="15" t="s">
        <v>4</v>
      </c>
      <c r="C483" s="31"/>
      <c r="D483" s="9" t="s">
        <v>15</v>
      </c>
      <c r="E483" s="9" t="s">
        <v>13</v>
      </c>
      <c r="F483" s="9" t="s">
        <v>48</v>
      </c>
      <c r="G483" s="33" t="s">
        <v>1</v>
      </c>
      <c r="H483" s="33"/>
      <c r="I483" s="9"/>
      <c r="J483" s="515">
        <f>J484</f>
        <v>182.53199999999998</v>
      </c>
      <c r="K483" s="30"/>
      <c r="L483" s="29">
        <v>85</v>
      </c>
      <c r="M483" s="1569">
        <v>85</v>
      </c>
      <c r="N483" s="1611">
        <f>N484</f>
        <v>0</v>
      </c>
      <c r="O483" s="28">
        <f>O484</f>
        <v>0</v>
      </c>
      <c r="P483" s="28">
        <f>P484</f>
        <v>0</v>
      </c>
      <c r="Q483" s="1569">
        <f>Q484</f>
        <v>0</v>
      </c>
      <c r="R483" s="1611">
        <f>R484</f>
        <v>0</v>
      </c>
    </row>
    <row r="484" spans="1:29" ht="13" hidden="1" x14ac:dyDescent="0.3">
      <c r="A484" s="32"/>
      <c r="B484" s="16" t="s">
        <v>39</v>
      </c>
      <c r="C484" s="31"/>
      <c r="D484" s="9"/>
      <c r="E484" s="9"/>
      <c r="F484" s="9" t="s">
        <v>48</v>
      </c>
      <c r="G484" s="33" t="s">
        <v>1</v>
      </c>
      <c r="H484" s="33"/>
      <c r="I484" s="9" t="s">
        <v>13</v>
      </c>
      <c r="J484" s="515">
        <f>85+97.532</f>
        <v>182.53199999999998</v>
      </c>
      <c r="K484" s="30"/>
      <c r="L484" s="29">
        <v>85</v>
      </c>
      <c r="M484" s="1569">
        <v>85</v>
      </c>
      <c r="N484" s="1611"/>
      <c r="O484" s="28"/>
      <c r="P484" s="28"/>
      <c r="Q484" s="1569"/>
      <c r="R484" s="1611"/>
    </row>
    <row r="485" spans="1:29" ht="24" customHeight="1" x14ac:dyDescent="0.3">
      <c r="A485" s="32"/>
      <c r="B485" s="534" t="s">
        <v>918</v>
      </c>
      <c r="C485" s="1745"/>
      <c r="D485" s="9"/>
      <c r="E485" s="9"/>
      <c r="F485" s="79" t="s">
        <v>919</v>
      </c>
      <c r="G485" s="33"/>
      <c r="H485" s="33"/>
      <c r="I485" s="9"/>
      <c r="J485" s="515">
        <f>J488</f>
        <v>153.32</v>
      </c>
      <c r="K485" s="30"/>
      <c r="L485" s="29"/>
      <c r="M485" s="1569"/>
      <c r="N485" s="1612">
        <f>N488+N486</f>
        <v>1200</v>
      </c>
      <c r="O485" s="81">
        <f>O488+O486</f>
        <v>585.81999999999994</v>
      </c>
      <c r="P485" s="81">
        <f>P488+P486</f>
        <v>610.88699999999994</v>
      </c>
      <c r="Q485" s="1643">
        <f>Q488+Q486</f>
        <v>1200</v>
      </c>
      <c r="R485" s="1612">
        <f>R488+R486</f>
        <v>1200</v>
      </c>
    </row>
    <row r="486" spans="1:29" ht="13" x14ac:dyDescent="0.3">
      <c r="A486" s="32"/>
      <c r="B486" s="724" t="s">
        <v>16</v>
      </c>
      <c r="C486" s="1745"/>
      <c r="D486" s="9"/>
      <c r="E486" s="9"/>
      <c r="F486" s="77" t="s">
        <v>919</v>
      </c>
      <c r="G486" s="33" t="s">
        <v>1</v>
      </c>
      <c r="H486" s="33"/>
      <c r="I486" s="9"/>
      <c r="J486" s="515"/>
      <c r="K486" s="30"/>
      <c r="L486" s="29"/>
      <c r="M486" s="1569"/>
      <c r="N486" s="1611">
        <f>N487</f>
        <v>1200</v>
      </c>
      <c r="O486" s="28">
        <f>O487</f>
        <v>31.3</v>
      </c>
      <c r="P486" s="28">
        <f>P487</f>
        <v>34.43</v>
      </c>
      <c r="Q486" s="1569">
        <f>Q487</f>
        <v>1200</v>
      </c>
      <c r="R486" s="1611">
        <f>R487</f>
        <v>1200</v>
      </c>
    </row>
    <row r="487" spans="1:29" ht="13" x14ac:dyDescent="0.3">
      <c r="A487" s="32"/>
      <c r="B487" s="724" t="s">
        <v>920</v>
      </c>
      <c r="C487" s="1745"/>
      <c r="D487" s="9"/>
      <c r="E487" s="9"/>
      <c r="F487" s="77" t="s">
        <v>919</v>
      </c>
      <c r="G487" s="33" t="s">
        <v>1</v>
      </c>
      <c r="H487" s="33" t="s">
        <v>534</v>
      </c>
      <c r="I487" s="9" t="s">
        <v>488</v>
      </c>
      <c r="J487" s="515"/>
      <c r="K487" s="30"/>
      <c r="L487" s="29"/>
      <c r="M487" s="1569"/>
      <c r="N487" s="1611">
        <v>1200</v>
      </c>
      <c r="O487" s="28">
        <v>31.3</v>
      </c>
      <c r="P487" s="28">
        <v>34.43</v>
      </c>
      <c r="Q487" s="1569">
        <v>1200</v>
      </c>
      <c r="R487" s="1611">
        <v>1200</v>
      </c>
    </row>
    <row r="488" spans="1:29" ht="13" hidden="1" x14ac:dyDescent="0.25">
      <c r="A488" s="32"/>
      <c r="B488" s="724" t="s">
        <v>109</v>
      </c>
      <c r="C488" s="70"/>
      <c r="D488" s="9" t="s">
        <v>44</v>
      </c>
      <c r="E488" s="9" t="s">
        <v>41</v>
      </c>
      <c r="F488" s="77" t="s">
        <v>919</v>
      </c>
      <c r="G488" s="33" t="s">
        <v>1</v>
      </c>
      <c r="H488" s="33"/>
      <c r="I488" s="9"/>
      <c r="J488" s="1126">
        <f t="shared" ref="J488:R488" si="130">J489</f>
        <v>153.32</v>
      </c>
      <c r="K488" s="1063">
        <f t="shared" si="130"/>
        <v>172</v>
      </c>
      <c r="L488" s="1063">
        <f t="shared" si="130"/>
        <v>172</v>
      </c>
      <c r="M488" s="1125">
        <f t="shared" si="130"/>
        <v>172</v>
      </c>
      <c r="N488" s="1584">
        <f t="shared" si="130"/>
        <v>0</v>
      </c>
      <c r="O488" s="1069">
        <f t="shared" si="130"/>
        <v>554.52</v>
      </c>
      <c r="P488" s="1063">
        <f t="shared" si="130"/>
        <v>576.45699999999999</v>
      </c>
      <c r="Q488" s="1125">
        <f t="shared" si="130"/>
        <v>0</v>
      </c>
      <c r="R488" s="1584">
        <f t="shared" si="130"/>
        <v>0</v>
      </c>
    </row>
    <row r="489" spans="1:29" ht="39" hidden="1" x14ac:dyDescent="0.25">
      <c r="A489" s="32"/>
      <c r="B489" s="90" t="s">
        <v>918</v>
      </c>
      <c r="C489" s="70"/>
      <c r="D489" s="9" t="s">
        <v>44</v>
      </c>
      <c r="E489" s="9" t="s">
        <v>41</v>
      </c>
      <c r="F489" s="77" t="s">
        <v>43</v>
      </c>
      <c r="G489" s="33" t="s">
        <v>42</v>
      </c>
      <c r="H489" s="33" t="s">
        <v>496</v>
      </c>
      <c r="I489" s="9" t="s">
        <v>495</v>
      </c>
      <c r="J489" s="1126">
        <v>153.32</v>
      </c>
      <c r="K489" s="1063">
        <v>172</v>
      </c>
      <c r="L489" s="1063">
        <v>172</v>
      </c>
      <c r="M489" s="1125">
        <v>172</v>
      </c>
      <c r="N489" s="1584"/>
      <c r="O489" s="1069">
        <v>554.52</v>
      </c>
      <c r="P489" s="1063">
        <v>576.45699999999999</v>
      </c>
      <c r="Q489" s="1125"/>
      <c r="R489" s="1584"/>
    </row>
    <row r="490" spans="1:29" ht="25" hidden="1" x14ac:dyDescent="0.25">
      <c r="A490" s="32"/>
      <c r="B490" s="1127" t="s">
        <v>921</v>
      </c>
      <c r="C490" s="70"/>
      <c r="D490" s="9"/>
      <c r="E490" s="9"/>
      <c r="F490" s="79" t="s">
        <v>38</v>
      </c>
      <c r="G490" s="33"/>
      <c r="H490" s="33"/>
      <c r="I490" s="9"/>
      <c r="J490" s="1126">
        <f>J491</f>
        <v>0</v>
      </c>
      <c r="K490" s="1128"/>
      <c r="L490" s="1129"/>
      <c r="M490" s="1128"/>
      <c r="N490" s="1585">
        <f t="shared" ref="N490:R491" si="131">N491</f>
        <v>0</v>
      </c>
      <c r="O490" s="1091">
        <f t="shared" si="131"/>
        <v>0</v>
      </c>
      <c r="P490" s="1065">
        <f t="shared" si="131"/>
        <v>0</v>
      </c>
      <c r="Q490" s="1552">
        <f t="shared" si="131"/>
        <v>0</v>
      </c>
      <c r="R490" s="1585">
        <f t="shared" si="131"/>
        <v>0</v>
      </c>
    </row>
    <row r="491" spans="1:29" ht="25.5" hidden="1" thickBot="1" x14ac:dyDescent="0.3">
      <c r="A491" s="32"/>
      <c r="B491" s="1130" t="s">
        <v>454</v>
      </c>
      <c r="C491" s="70"/>
      <c r="D491" s="9"/>
      <c r="E491" s="9"/>
      <c r="F491" s="77" t="s">
        <v>38</v>
      </c>
      <c r="G491" s="33" t="s">
        <v>26</v>
      </c>
      <c r="H491" s="33"/>
      <c r="I491" s="9"/>
      <c r="J491" s="1126">
        <f>J492</f>
        <v>0</v>
      </c>
      <c r="K491" s="1128"/>
      <c r="L491" s="1129"/>
      <c r="M491" s="1128"/>
      <c r="N491" s="1584">
        <f t="shared" si="131"/>
        <v>0</v>
      </c>
      <c r="O491" s="1069">
        <f t="shared" si="131"/>
        <v>0</v>
      </c>
      <c r="P491" s="1063">
        <f t="shared" si="131"/>
        <v>0</v>
      </c>
      <c r="Q491" s="1125">
        <f t="shared" si="131"/>
        <v>0</v>
      </c>
      <c r="R491" s="1584">
        <f t="shared" si="131"/>
        <v>0</v>
      </c>
    </row>
    <row r="492" spans="1:29" ht="13" hidden="1" x14ac:dyDescent="0.3">
      <c r="A492" s="32"/>
      <c r="B492" s="16" t="s">
        <v>39</v>
      </c>
      <c r="C492" s="70"/>
      <c r="D492" s="9"/>
      <c r="E492" s="9"/>
      <c r="F492" s="77" t="s">
        <v>38</v>
      </c>
      <c r="G492" s="33" t="s">
        <v>26</v>
      </c>
      <c r="H492" s="33" t="s">
        <v>463</v>
      </c>
      <c r="I492" s="9" t="s">
        <v>488</v>
      </c>
      <c r="J492" s="1126"/>
      <c r="K492" s="1128"/>
      <c r="L492" s="1129"/>
      <c r="M492" s="1128"/>
      <c r="N492" s="1584"/>
      <c r="O492" s="1069"/>
      <c r="P492" s="1063"/>
      <c r="Q492" s="1125"/>
      <c r="R492" s="1584"/>
    </row>
    <row r="493" spans="1:29" ht="26" hidden="1" x14ac:dyDescent="0.25">
      <c r="A493" s="32"/>
      <c r="B493" s="76" t="s">
        <v>37</v>
      </c>
      <c r="C493" s="70"/>
      <c r="D493" s="9"/>
      <c r="E493" s="9"/>
      <c r="F493" s="34" t="s">
        <v>36</v>
      </c>
      <c r="G493" s="33"/>
      <c r="H493" s="33"/>
      <c r="I493" s="9"/>
      <c r="J493" s="1131">
        <f>J494</f>
        <v>17908.526000000002</v>
      </c>
      <c r="K493" s="1128"/>
      <c r="L493" s="1129"/>
      <c r="M493" s="1128"/>
      <c r="N493" s="1613">
        <f t="shared" ref="N493:R494" si="132">N494</f>
        <v>0</v>
      </c>
      <c r="O493" s="1079">
        <f t="shared" si="132"/>
        <v>0</v>
      </c>
      <c r="P493" s="1132">
        <f t="shared" si="132"/>
        <v>0</v>
      </c>
      <c r="Q493" s="1644">
        <f t="shared" si="132"/>
        <v>0</v>
      </c>
      <c r="R493" s="1613">
        <f t="shared" si="132"/>
        <v>0</v>
      </c>
    </row>
    <row r="494" spans="1:29" ht="26" hidden="1" x14ac:dyDescent="0.25">
      <c r="A494" s="32"/>
      <c r="B494" s="15" t="s">
        <v>4</v>
      </c>
      <c r="C494" s="70"/>
      <c r="D494" s="9"/>
      <c r="E494" s="9"/>
      <c r="F494" s="9" t="s">
        <v>36</v>
      </c>
      <c r="G494" s="33" t="s">
        <v>1</v>
      </c>
      <c r="H494" s="33"/>
      <c r="I494" s="9"/>
      <c r="J494" s="1131">
        <f>J495</f>
        <v>17908.526000000002</v>
      </c>
      <c r="K494" s="1128"/>
      <c r="L494" s="1129"/>
      <c r="M494" s="1128"/>
      <c r="N494" s="1613">
        <f t="shared" si="132"/>
        <v>0</v>
      </c>
      <c r="O494" s="1079">
        <f t="shared" si="132"/>
        <v>0</v>
      </c>
      <c r="P494" s="1132">
        <f t="shared" si="132"/>
        <v>0</v>
      </c>
      <c r="Q494" s="1644">
        <f t="shared" si="132"/>
        <v>0</v>
      </c>
      <c r="R494" s="1613">
        <f t="shared" si="132"/>
        <v>0</v>
      </c>
      <c r="S494" s="75"/>
      <c r="T494" s="75"/>
      <c r="U494" s="1124"/>
      <c r="V494" s="73"/>
      <c r="W494" s="72"/>
      <c r="X494" s="72"/>
      <c r="AC494" s="1074">
        <f>AC495</f>
        <v>672.10500000000002</v>
      </c>
    </row>
    <row r="495" spans="1:29" ht="13" hidden="1" x14ac:dyDescent="0.25">
      <c r="A495" s="32"/>
      <c r="B495" s="49" t="s">
        <v>34</v>
      </c>
      <c r="C495" s="70"/>
      <c r="D495" s="9"/>
      <c r="E495" s="9"/>
      <c r="F495" s="9" t="s">
        <v>36</v>
      </c>
      <c r="G495" s="33" t="s">
        <v>1</v>
      </c>
      <c r="H495" s="33"/>
      <c r="I495" s="9" t="s">
        <v>32</v>
      </c>
      <c r="J495" s="1131">
        <v>17908.526000000002</v>
      </c>
      <c r="K495" s="1128"/>
      <c r="L495" s="1129"/>
      <c r="M495" s="1128"/>
      <c r="N495" s="1613"/>
      <c r="O495" s="1079"/>
      <c r="P495" s="1132"/>
      <c r="Q495" s="1644"/>
      <c r="R495" s="1613"/>
      <c r="S495" s="75"/>
      <c r="T495" s="75"/>
      <c r="U495" s="1124"/>
      <c r="V495" s="73"/>
      <c r="W495" s="72"/>
      <c r="X495" s="72"/>
      <c r="AC495" s="1074">
        <v>672.10500000000002</v>
      </c>
    </row>
    <row r="496" spans="1:29" ht="39" hidden="1" x14ac:dyDescent="0.25">
      <c r="A496" s="32"/>
      <c r="B496" s="15" t="s">
        <v>35</v>
      </c>
      <c r="C496" s="70"/>
      <c r="D496" s="9"/>
      <c r="E496" s="9"/>
      <c r="F496" s="34" t="s">
        <v>33</v>
      </c>
      <c r="G496" s="33"/>
      <c r="H496" s="33"/>
      <c r="I496" s="9"/>
      <c r="J496" s="1131">
        <f>J497</f>
        <v>7028.6390000000001</v>
      </c>
      <c r="K496" s="1128"/>
      <c r="L496" s="1129"/>
      <c r="M496" s="1128"/>
      <c r="N496" s="1613">
        <f t="shared" ref="N496:R497" si="133">N497</f>
        <v>0</v>
      </c>
      <c r="O496" s="1079">
        <f t="shared" si="133"/>
        <v>0</v>
      </c>
      <c r="P496" s="1132">
        <f t="shared" si="133"/>
        <v>0</v>
      </c>
      <c r="Q496" s="1644">
        <f t="shared" si="133"/>
        <v>0</v>
      </c>
      <c r="R496" s="1613">
        <f t="shared" si="133"/>
        <v>0</v>
      </c>
    </row>
    <row r="497" spans="1:18" ht="26" hidden="1" x14ac:dyDescent="0.25">
      <c r="A497" s="32"/>
      <c r="B497" s="15" t="s">
        <v>4</v>
      </c>
      <c r="C497" s="70"/>
      <c r="D497" s="9"/>
      <c r="E497" s="9"/>
      <c r="F497" s="9" t="s">
        <v>33</v>
      </c>
      <c r="G497" s="33" t="s">
        <v>1</v>
      </c>
      <c r="H497" s="33"/>
      <c r="I497" s="9"/>
      <c r="J497" s="1131">
        <f>J498</f>
        <v>7028.6390000000001</v>
      </c>
      <c r="K497" s="1128"/>
      <c r="L497" s="1129"/>
      <c r="M497" s="1128"/>
      <c r="N497" s="1613">
        <f t="shared" si="133"/>
        <v>0</v>
      </c>
      <c r="O497" s="1079">
        <f t="shared" si="133"/>
        <v>0</v>
      </c>
      <c r="P497" s="1132">
        <f t="shared" si="133"/>
        <v>0</v>
      </c>
      <c r="Q497" s="1644">
        <f t="shared" si="133"/>
        <v>0</v>
      </c>
      <c r="R497" s="1613">
        <f t="shared" si="133"/>
        <v>0</v>
      </c>
    </row>
    <row r="498" spans="1:18" ht="13" hidden="1" x14ac:dyDescent="0.25">
      <c r="A498" s="32"/>
      <c r="B498" s="49" t="s">
        <v>34</v>
      </c>
      <c r="C498" s="70"/>
      <c r="D498" s="9"/>
      <c r="E498" s="9"/>
      <c r="F498" s="9" t="s">
        <v>33</v>
      </c>
      <c r="G498" s="33" t="s">
        <v>1</v>
      </c>
      <c r="H498" s="33"/>
      <c r="I498" s="9" t="s">
        <v>32</v>
      </c>
      <c r="J498" s="1131">
        <f>838.062+6190.577</f>
        <v>7028.6390000000001</v>
      </c>
      <c r="K498" s="1128"/>
      <c r="L498" s="1129"/>
      <c r="M498" s="1128"/>
      <c r="N498" s="1613"/>
      <c r="O498" s="1079"/>
      <c r="P498" s="1132"/>
      <c r="Q498" s="1644"/>
      <c r="R498" s="1613"/>
    </row>
    <row r="499" spans="1:18" ht="26" hidden="1" x14ac:dyDescent="0.25">
      <c r="A499" s="32"/>
      <c r="B499" s="90" t="s">
        <v>296</v>
      </c>
      <c r="C499" s="70"/>
      <c r="D499" s="9"/>
      <c r="E499" s="9"/>
      <c r="F499" s="34" t="s">
        <v>624</v>
      </c>
      <c r="G499" s="33"/>
      <c r="H499" s="33"/>
      <c r="I499" s="9"/>
      <c r="J499" s="1133"/>
      <c r="K499" s="1128"/>
      <c r="L499" s="1129"/>
      <c r="M499" s="1128"/>
      <c r="N499" s="1614">
        <f>N500</f>
        <v>0</v>
      </c>
      <c r="O499" s="1134"/>
      <c r="P499" s="1134"/>
      <c r="Q499" s="1645">
        <f>Q500</f>
        <v>0</v>
      </c>
      <c r="R499" s="1614">
        <f>R500</f>
        <v>0</v>
      </c>
    </row>
    <row r="500" spans="1:18" ht="13" hidden="1" x14ac:dyDescent="0.3">
      <c r="A500" s="32"/>
      <c r="B500" s="16" t="s">
        <v>16</v>
      </c>
      <c r="C500" s="70"/>
      <c r="D500" s="9"/>
      <c r="E500" s="9"/>
      <c r="F500" s="9" t="s">
        <v>624</v>
      </c>
      <c r="G500" s="9" t="s">
        <v>1</v>
      </c>
      <c r="H500" s="33"/>
      <c r="I500" s="9"/>
      <c r="J500" s="1133"/>
      <c r="K500" s="1128"/>
      <c r="L500" s="1129"/>
      <c r="M500" s="1128"/>
      <c r="N500" s="1615">
        <f>N501</f>
        <v>0</v>
      </c>
      <c r="O500" s="1134"/>
      <c r="P500" s="1134"/>
      <c r="Q500" s="1646">
        <f>Q501</f>
        <v>0</v>
      </c>
      <c r="R500" s="1615">
        <f>R501</f>
        <v>0</v>
      </c>
    </row>
    <row r="501" spans="1:18" ht="13" hidden="1" x14ac:dyDescent="0.25">
      <c r="A501" s="32"/>
      <c r="B501" s="49" t="s">
        <v>64</v>
      </c>
      <c r="C501" s="70"/>
      <c r="D501" s="9"/>
      <c r="E501" s="9"/>
      <c r="F501" s="9" t="s">
        <v>624</v>
      </c>
      <c r="G501" s="9" t="s">
        <v>1</v>
      </c>
      <c r="H501" s="33" t="s">
        <v>464</v>
      </c>
      <c r="I501" s="9" t="s">
        <v>463</v>
      </c>
      <c r="J501" s="1133"/>
      <c r="K501" s="1128"/>
      <c r="L501" s="1129"/>
      <c r="M501" s="1128"/>
      <c r="N501" s="1615">
        <v>0</v>
      </c>
      <c r="O501" s="1134"/>
      <c r="P501" s="1134"/>
      <c r="Q501" s="1646">
        <v>0</v>
      </c>
      <c r="R501" s="1615">
        <v>0</v>
      </c>
    </row>
    <row r="502" spans="1:18" ht="26" hidden="1" x14ac:dyDescent="0.25">
      <c r="A502" s="32"/>
      <c r="B502" s="1108" t="s">
        <v>31</v>
      </c>
      <c r="C502" s="31"/>
      <c r="D502" s="9"/>
      <c r="E502" s="9"/>
      <c r="F502" s="34" t="s">
        <v>30</v>
      </c>
      <c r="G502" s="33"/>
      <c r="H502" s="33"/>
      <c r="I502" s="9"/>
      <c r="J502" s="520"/>
      <c r="K502" s="65"/>
      <c r="L502" s="64">
        <f t="shared" ref="L502:R502" si="134">L503</f>
        <v>0</v>
      </c>
      <c r="M502" s="1570">
        <f t="shared" si="134"/>
        <v>0</v>
      </c>
      <c r="N502" s="1616">
        <f t="shared" si="134"/>
        <v>0</v>
      </c>
      <c r="O502" s="63">
        <f t="shared" si="134"/>
        <v>0</v>
      </c>
      <c r="P502" s="63">
        <f t="shared" si="134"/>
        <v>0</v>
      </c>
      <c r="Q502" s="1647">
        <f t="shared" si="134"/>
        <v>0</v>
      </c>
      <c r="R502" s="1616">
        <f t="shared" si="134"/>
        <v>0</v>
      </c>
    </row>
    <row r="503" spans="1:18" ht="26" hidden="1" x14ac:dyDescent="0.25">
      <c r="A503" s="32"/>
      <c r="B503" s="15" t="s">
        <v>4</v>
      </c>
      <c r="C503" s="9"/>
      <c r="D503" s="9" t="s">
        <v>15</v>
      </c>
      <c r="E503" s="9" t="s">
        <v>9</v>
      </c>
      <c r="F503" s="9" t="s">
        <v>30</v>
      </c>
      <c r="G503" s="9" t="s">
        <v>1</v>
      </c>
      <c r="H503" s="9"/>
      <c r="I503" s="9"/>
      <c r="J503" s="521"/>
      <c r="K503" s="61"/>
      <c r="L503" s="60"/>
      <c r="M503" s="1571"/>
      <c r="N503" s="1607">
        <f>N504</f>
        <v>0</v>
      </c>
      <c r="O503" s="57">
        <f>O504</f>
        <v>0</v>
      </c>
      <c r="P503" s="57">
        <f>P504</f>
        <v>0</v>
      </c>
      <c r="Q503" s="1572">
        <f>Q504</f>
        <v>0</v>
      </c>
      <c r="R503" s="1607">
        <f>R504</f>
        <v>0</v>
      </c>
    </row>
    <row r="504" spans="1:18" ht="13" hidden="1" x14ac:dyDescent="0.3">
      <c r="A504" s="32"/>
      <c r="B504" s="16" t="s">
        <v>11</v>
      </c>
      <c r="C504" s="9"/>
      <c r="D504" s="9"/>
      <c r="E504" s="9"/>
      <c r="F504" s="9" t="s">
        <v>30</v>
      </c>
      <c r="G504" s="9" t="s">
        <v>1</v>
      </c>
      <c r="H504" s="9" t="s">
        <v>463</v>
      </c>
      <c r="I504" s="9" t="s">
        <v>456</v>
      </c>
      <c r="J504" s="521"/>
      <c r="K504" s="61"/>
      <c r="L504" s="60"/>
      <c r="M504" s="1571"/>
      <c r="N504" s="1607">
        <v>0</v>
      </c>
      <c r="O504" s="57"/>
      <c r="P504" s="57"/>
      <c r="Q504" s="1572">
        <v>0</v>
      </c>
      <c r="R504" s="1607">
        <v>0</v>
      </c>
    </row>
    <row r="505" spans="1:18" ht="27" hidden="1" customHeight="1" x14ac:dyDescent="0.25">
      <c r="A505" s="32"/>
      <c r="B505" s="58" t="s">
        <v>29</v>
      </c>
      <c r="C505" s="9"/>
      <c r="D505" s="9" t="s">
        <v>15</v>
      </c>
      <c r="E505" s="9" t="s">
        <v>9</v>
      </c>
      <c r="F505" s="34" t="s">
        <v>27</v>
      </c>
      <c r="G505" s="48"/>
      <c r="H505" s="48"/>
      <c r="I505" s="9"/>
      <c r="J505" s="521"/>
      <c r="K505" s="47"/>
      <c r="L505" s="57">
        <f>L507</f>
        <v>10000</v>
      </c>
      <c r="M505" s="1572">
        <f>M507</f>
        <v>10000</v>
      </c>
      <c r="N505" s="1607"/>
      <c r="O505" s="57"/>
      <c r="P505" s="57"/>
      <c r="Q505" s="1572"/>
      <c r="R505" s="1607"/>
    </row>
    <row r="506" spans="1:18" ht="25.15" hidden="1" customHeight="1" x14ac:dyDescent="0.25">
      <c r="A506" s="32"/>
      <c r="B506" s="55" t="s">
        <v>28</v>
      </c>
      <c r="C506" s="9"/>
      <c r="D506" s="9"/>
      <c r="E506" s="9"/>
      <c r="F506" s="9" t="s">
        <v>27</v>
      </c>
      <c r="G506" s="9" t="s">
        <v>26</v>
      </c>
      <c r="H506" s="9"/>
      <c r="I506" s="9"/>
      <c r="J506" s="1126"/>
      <c r="K506" s="48"/>
      <c r="L506" s="54">
        <v>10000</v>
      </c>
      <c r="M506" s="1573">
        <v>10000</v>
      </c>
      <c r="N506" s="1582"/>
      <c r="O506" s="1087"/>
      <c r="P506" s="1061"/>
      <c r="Q506" s="1550"/>
      <c r="R506" s="1582"/>
    </row>
    <row r="507" spans="1:18" ht="17.5" hidden="1" customHeight="1" x14ac:dyDescent="0.3">
      <c r="A507" s="32"/>
      <c r="B507" s="16" t="s">
        <v>11</v>
      </c>
      <c r="C507" s="9"/>
      <c r="D507" s="9" t="s">
        <v>15</v>
      </c>
      <c r="E507" s="9" t="s">
        <v>9</v>
      </c>
      <c r="F507" s="9" t="s">
        <v>27</v>
      </c>
      <c r="G507" s="9" t="s">
        <v>26</v>
      </c>
      <c r="H507" s="9"/>
      <c r="I507" s="9" t="s">
        <v>9</v>
      </c>
      <c r="J507" s="1126"/>
      <c r="K507" s="48"/>
      <c r="L507" s="54">
        <v>10000</v>
      </c>
      <c r="M507" s="1573">
        <v>10000</v>
      </c>
      <c r="N507" s="1582"/>
      <c r="O507" s="1087"/>
      <c r="P507" s="1061"/>
      <c r="Q507" s="1550"/>
      <c r="R507" s="1582"/>
    </row>
    <row r="508" spans="1:18" ht="39.65" hidden="1" customHeight="1" x14ac:dyDescent="0.25">
      <c r="A508" s="32"/>
      <c r="B508" s="52" t="s">
        <v>25</v>
      </c>
      <c r="C508" s="9"/>
      <c r="D508" s="34" t="s">
        <v>15</v>
      </c>
      <c r="E508" s="34" t="s">
        <v>13</v>
      </c>
      <c r="F508" s="34" t="s">
        <v>24</v>
      </c>
      <c r="G508" s="48"/>
      <c r="H508" s="48"/>
      <c r="I508" s="34"/>
      <c r="J508" s="131">
        <f>J509</f>
        <v>0</v>
      </c>
      <c r="K508" s="51"/>
      <c r="L508" s="51">
        <f t="shared" ref="L508:R508" si="135">L509</f>
        <v>85</v>
      </c>
      <c r="M508" s="1553">
        <f t="shared" si="135"/>
        <v>85</v>
      </c>
      <c r="N508" s="1586">
        <f t="shared" si="135"/>
        <v>0</v>
      </c>
      <c r="O508" s="205">
        <f t="shared" si="135"/>
        <v>0</v>
      </c>
      <c r="P508" s="51">
        <f t="shared" si="135"/>
        <v>0</v>
      </c>
      <c r="Q508" s="1553">
        <f t="shared" si="135"/>
        <v>0</v>
      </c>
      <c r="R508" s="1586">
        <f t="shared" si="135"/>
        <v>0</v>
      </c>
    </row>
    <row r="509" spans="1:18" ht="43.5" hidden="1" customHeight="1" x14ac:dyDescent="0.25">
      <c r="A509" s="32"/>
      <c r="B509" s="49" t="s">
        <v>23</v>
      </c>
      <c r="C509" s="9"/>
      <c r="D509" s="9" t="s">
        <v>15</v>
      </c>
      <c r="E509" s="9" t="s">
        <v>13</v>
      </c>
      <c r="F509" s="9" t="s">
        <v>14</v>
      </c>
      <c r="G509" s="48"/>
      <c r="H509" s="48"/>
      <c r="I509" s="9"/>
      <c r="J509" s="48">
        <f>J512</f>
        <v>0</v>
      </c>
      <c r="K509" s="47"/>
      <c r="L509" s="47">
        <f t="shared" ref="L509:R509" si="136">L512</f>
        <v>85</v>
      </c>
      <c r="M509" s="209">
        <f t="shared" si="136"/>
        <v>85</v>
      </c>
      <c r="N509" s="1595">
        <f t="shared" si="136"/>
        <v>0</v>
      </c>
      <c r="O509" s="791">
        <f t="shared" si="136"/>
        <v>0</v>
      </c>
      <c r="P509" s="47">
        <f t="shared" si="136"/>
        <v>0</v>
      </c>
      <c r="Q509" s="209">
        <f t="shared" si="136"/>
        <v>0</v>
      </c>
      <c r="R509" s="1595">
        <f t="shared" si="136"/>
        <v>0</v>
      </c>
    </row>
    <row r="510" spans="1:18" ht="60.75" hidden="1" customHeight="1" x14ac:dyDescent="0.25">
      <c r="A510" s="32"/>
      <c r="B510" s="42" t="s">
        <v>22</v>
      </c>
      <c r="C510" s="31"/>
      <c r="D510" s="31" t="s">
        <v>15</v>
      </c>
      <c r="E510" s="31" t="s">
        <v>13</v>
      </c>
      <c r="F510" s="31" t="s">
        <v>21</v>
      </c>
      <c r="G510" s="3373" t="s">
        <v>20</v>
      </c>
      <c r="H510" s="3374"/>
      <c r="I510" s="3374"/>
      <c r="J510" s="3375"/>
      <c r="K510" s="45"/>
      <c r="L510" s="44"/>
      <c r="M510" s="44"/>
      <c r="N510" s="1610"/>
      <c r="O510" s="2"/>
      <c r="P510" s="2"/>
      <c r="Q510" s="2"/>
      <c r="R510" s="1610"/>
    </row>
    <row r="511" spans="1:18" ht="48" hidden="1" customHeight="1" x14ac:dyDescent="0.25">
      <c r="A511" s="32"/>
      <c r="B511" s="42" t="s">
        <v>19</v>
      </c>
      <c r="C511" s="31"/>
      <c r="D511" s="31" t="s">
        <v>15</v>
      </c>
      <c r="E511" s="31" t="s">
        <v>13</v>
      </c>
      <c r="F511" s="31" t="s">
        <v>18</v>
      </c>
      <c r="G511" s="3373" t="s">
        <v>17</v>
      </c>
      <c r="H511" s="3374"/>
      <c r="I511" s="3374"/>
      <c r="J511" s="3375"/>
      <c r="K511" s="41"/>
      <c r="L511" s="2"/>
      <c r="M511" s="2"/>
      <c r="N511" s="1610"/>
      <c r="O511" s="2"/>
      <c r="P511" s="2"/>
      <c r="Q511" s="2"/>
      <c r="R511" s="1610"/>
    </row>
    <row r="512" spans="1:18" ht="16.899999999999999" hidden="1" customHeight="1" x14ac:dyDescent="0.3">
      <c r="A512" s="32"/>
      <c r="B512" s="39" t="s">
        <v>16</v>
      </c>
      <c r="C512" s="31"/>
      <c r="D512" s="9" t="s">
        <v>15</v>
      </c>
      <c r="E512" s="9" t="s">
        <v>13</v>
      </c>
      <c r="F512" s="9" t="s">
        <v>14</v>
      </c>
      <c r="G512" s="33" t="s">
        <v>1</v>
      </c>
      <c r="H512" s="33"/>
      <c r="I512" s="9" t="s">
        <v>13</v>
      </c>
      <c r="J512" s="515"/>
      <c r="K512" s="30"/>
      <c r="L512" s="29">
        <v>85</v>
      </c>
      <c r="M512" s="1569">
        <v>85</v>
      </c>
      <c r="N512" s="1611"/>
      <c r="O512" s="28"/>
      <c r="P512" s="28"/>
      <c r="Q512" s="1569"/>
      <c r="R512" s="1611"/>
    </row>
    <row r="513" spans="1:24" ht="26.5" hidden="1" customHeight="1" x14ac:dyDescent="0.3">
      <c r="A513" s="32"/>
      <c r="B513" s="538" t="s">
        <v>525</v>
      </c>
      <c r="C513" s="31"/>
      <c r="D513" s="9"/>
      <c r="E513" s="9"/>
      <c r="F513" s="37" t="s">
        <v>524</v>
      </c>
      <c r="G513" s="33"/>
      <c r="H513" s="33"/>
      <c r="I513" s="9"/>
      <c r="J513" s="515"/>
      <c r="K513" s="30"/>
      <c r="L513" s="29"/>
      <c r="M513" s="1569"/>
      <c r="N513" s="1612">
        <f>N514</f>
        <v>0</v>
      </c>
      <c r="O513" s="28"/>
      <c r="P513" s="28"/>
      <c r="Q513" s="1643">
        <f>Q514</f>
        <v>0</v>
      </c>
      <c r="R513" s="1612">
        <f>R514</f>
        <v>0</v>
      </c>
    </row>
    <row r="514" spans="1:24" ht="16.899999999999999" hidden="1" customHeight="1" x14ac:dyDescent="0.3">
      <c r="A514" s="32"/>
      <c r="B514" s="58" t="s">
        <v>28</v>
      </c>
      <c r="C514" s="31"/>
      <c r="D514" s="9"/>
      <c r="E514" s="9"/>
      <c r="F514" s="10" t="s">
        <v>524</v>
      </c>
      <c r="G514" s="33" t="s">
        <v>26</v>
      </c>
      <c r="H514" s="33"/>
      <c r="I514" s="9"/>
      <c r="J514" s="515"/>
      <c r="K514" s="30"/>
      <c r="L514" s="29"/>
      <c r="M514" s="1569"/>
      <c r="N514" s="1611">
        <f>N515</f>
        <v>0</v>
      </c>
      <c r="O514" s="28"/>
      <c r="P514" s="28"/>
      <c r="Q514" s="1569">
        <f>Q515</f>
        <v>0</v>
      </c>
      <c r="R514" s="1611">
        <f>R515</f>
        <v>0</v>
      </c>
    </row>
    <row r="515" spans="1:24" ht="16.899999999999999" hidden="1" customHeight="1" x14ac:dyDescent="0.3">
      <c r="A515" s="32"/>
      <c r="B515" s="16" t="s">
        <v>39</v>
      </c>
      <c r="C515" s="31"/>
      <c r="D515" s="9"/>
      <c r="E515" s="9"/>
      <c r="F515" s="10" t="s">
        <v>524</v>
      </c>
      <c r="G515" s="33" t="s">
        <v>26</v>
      </c>
      <c r="H515" s="33" t="s">
        <v>463</v>
      </c>
      <c r="I515" s="9" t="s">
        <v>488</v>
      </c>
      <c r="J515" s="515"/>
      <c r="K515" s="30"/>
      <c r="L515" s="29"/>
      <c r="M515" s="1569"/>
      <c r="N515" s="1611">
        <f>4900-4900</f>
        <v>0</v>
      </c>
      <c r="O515" s="28"/>
      <c r="P515" s="28"/>
      <c r="Q515" s="1569">
        <f>4900-4900</f>
        <v>0</v>
      </c>
      <c r="R515" s="1611">
        <f>4900-4900</f>
        <v>0</v>
      </c>
    </row>
    <row r="516" spans="1:24" ht="52" hidden="1" x14ac:dyDescent="0.3">
      <c r="A516" s="32"/>
      <c r="B516" s="38" t="s">
        <v>922</v>
      </c>
      <c r="C516" s="911"/>
      <c r="D516" s="11"/>
      <c r="E516" s="11"/>
      <c r="F516" s="37" t="s">
        <v>923</v>
      </c>
      <c r="G516" s="522"/>
      <c r="H516" s="522"/>
      <c r="I516" s="522"/>
      <c r="J516" s="1135">
        <f>J517+J519</f>
        <v>600.79999999999995</v>
      </c>
      <c r="K516" s="30"/>
      <c r="L516" s="29"/>
      <c r="M516" s="1569"/>
      <c r="N516" s="1617">
        <f>N517+N519</f>
        <v>0</v>
      </c>
      <c r="O516" s="1136">
        <f>O517+O519</f>
        <v>0</v>
      </c>
      <c r="P516" s="1137">
        <f>P517+P519</f>
        <v>0</v>
      </c>
      <c r="Q516" s="1648">
        <f>Q517+Q519</f>
        <v>0</v>
      </c>
      <c r="R516" s="1617">
        <f>R517+R519</f>
        <v>0</v>
      </c>
    </row>
    <row r="517" spans="1:24" ht="37.5" hidden="1" customHeight="1" x14ac:dyDescent="0.3">
      <c r="A517" s="32"/>
      <c r="B517" s="1138" t="s">
        <v>916</v>
      </c>
      <c r="C517" s="911"/>
      <c r="D517" s="11"/>
      <c r="E517" s="11"/>
      <c r="F517" s="10" t="s">
        <v>923</v>
      </c>
      <c r="G517" s="9" t="s">
        <v>521</v>
      </c>
      <c r="H517" s="9"/>
      <c r="I517" s="522"/>
      <c r="J517" s="1126">
        <f>J518</f>
        <v>493.39</v>
      </c>
      <c r="K517" s="30"/>
      <c r="L517" s="29"/>
      <c r="M517" s="1569"/>
      <c r="N517" s="1584">
        <f>N518</f>
        <v>0</v>
      </c>
      <c r="O517" s="1069">
        <f>O518</f>
        <v>0</v>
      </c>
      <c r="P517" s="1063">
        <f>P518</f>
        <v>0</v>
      </c>
      <c r="Q517" s="1125">
        <f>Q518</f>
        <v>0</v>
      </c>
      <c r="R517" s="1584">
        <f>R518</f>
        <v>0</v>
      </c>
    </row>
    <row r="518" spans="1:24" ht="16.899999999999999" hidden="1" customHeight="1" x14ac:dyDescent="0.3">
      <c r="A518" s="32"/>
      <c r="B518" s="16" t="s">
        <v>39</v>
      </c>
      <c r="C518" s="911"/>
      <c r="D518" s="11"/>
      <c r="E518" s="11"/>
      <c r="F518" s="10" t="s">
        <v>923</v>
      </c>
      <c r="G518" s="9" t="s">
        <v>521</v>
      </c>
      <c r="H518" s="9" t="s">
        <v>463</v>
      </c>
      <c r="I518" s="9" t="s">
        <v>488</v>
      </c>
      <c r="J518" s="1126">
        <f>378.948+114.442</f>
        <v>493.39</v>
      </c>
      <c r="K518" s="30"/>
      <c r="L518" s="29"/>
      <c r="M518" s="1569"/>
      <c r="N518" s="1584">
        <v>0</v>
      </c>
      <c r="O518" s="1069"/>
      <c r="P518" s="1063"/>
      <c r="Q518" s="1125">
        <v>0</v>
      </c>
      <c r="R518" s="1584">
        <v>0</v>
      </c>
    </row>
    <row r="519" spans="1:24" ht="16.899999999999999" hidden="1" customHeight="1" x14ac:dyDescent="0.3">
      <c r="A519" s="32"/>
      <c r="B519" s="15"/>
      <c r="C519" s="911"/>
      <c r="D519" s="11"/>
      <c r="E519" s="11"/>
      <c r="F519" s="10" t="s">
        <v>2</v>
      </c>
      <c r="G519" s="9" t="s">
        <v>1</v>
      </c>
      <c r="H519" s="9"/>
      <c r="I519" s="9"/>
      <c r="J519" s="1139">
        <f>J520</f>
        <v>107.41</v>
      </c>
      <c r="K519" s="30"/>
      <c r="L519" s="29"/>
      <c r="M519" s="1569"/>
      <c r="N519" s="1618">
        <f>N520</f>
        <v>0</v>
      </c>
      <c r="O519" s="1141">
        <f>O520</f>
        <v>0</v>
      </c>
      <c r="P519" s="1142">
        <f>P520</f>
        <v>0</v>
      </c>
      <c r="Q519" s="1649">
        <f>Q520</f>
        <v>0</v>
      </c>
      <c r="R519" s="1618">
        <f>R520</f>
        <v>0</v>
      </c>
    </row>
    <row r="520" spans="1:24" ht="16.899999999999999" hidden="1" customHeight="1" x14ac:dyDescent="0.3">
      <c r="A520" s="32"/>
      <c r="B520" s="12"/>
      <c r="C520" s="911"/>
      <c r="D520" s="11"/>
      <c r="E520" s="11"/>
      <c r="F520" s="10" t="s">
        <v>2</v>
      </c>
      <c r="G520" s="9" t="s">
        <v>1</v>
      </c>
      <c r="H520" s="9" t="s">
        <v>488</v>
      </c>
      <c r="I520" s="9" t="s">
        <v>495</v>
      </c>
      <c r="J520" s="1126">
        <f>86.41+21</f>
        <v>107.41</v>
      </c>
      <c r="K520" s="30"/>
      <c r="L520" s="29"/>
      <c r="M520" s="1569"/>
      <c r="N520" s="1584"/>
      <c r="O520" s="1069"/>
      <c r="P520" s="1063"/>
      <c r="Q520" s="1125"/>
      <c r="R520" s="1584"/>
      <c r="X520" s="1"/>
    </row>
    <row r="521" spans="1:24" ht="27.75" hidden="1" customHeight="1" x14ac:dyDescent="0.3">
      <c r="A521" s="32"/>
      <c r="B521" s="1143" t="s">
        <v>924</v>
      </c>
      <c r="C521" s="22"/>
      <c r="D521" s="20"/>
      <c r="E521" s="20"/>
      <c r="F521" s="1144" t="s">
        <v>925</v>
      </c>
      <c r="G521" s="142"/>
      <c r="H521" s="142"/>
      <c r="I521" s="142"/>
      <c r="J521" s="1145"/>
      <c r="K521" s="741"/>
      <c r="L521" s="742"/>
      <c r="M521" s="1570"/>
      <c r="N521" s="1619">
        <f>N522</f>
        <v>0</v>
      </c>
      <c r="O521" s="1069"/>
      <c r="P521" s="1069"/>
      <c r="Q521" s="1561">
        <f>Q522</f>
        <v>0</v>
      </c>
      <c r="R521" s="1619">
        <f>R522</f>
        <v>0</v>
      </c>
      <c r="X521" s="1"/>
    </row>
    <row r="522" spans="1:24" ht="36.75" hidden="1" customHeight="1" x14ac:dyDescent="0.3">
      <c r="A522" s="32"/>
      <c r="B522" s="1138" t="s">
        <v>916</v>
      </c>
      <c r="C522" s="22"/>
      <c r="D522" s="20"/>
      <c r="E522" s="20"/>
      <c r="F522" s="1144" t="s">
        <v>925</v>
      </c>
      <c r="G522" s="142" t="s">
        <v>521</v>
      </c>
      <c r="H522" s="142"/>
      <c r="I522" s="142"/>
      <c r="J522" s="1145"/>
      <c r="K522" s="741"/>
      <c r="L522" s="742"/>
      <c r="M522" s="1570"/>
      <c r="N522" s="1620">
        <f>N523</f>
        <v>0</v>
      </c>
      <c r="O522" s="1069"/>
      <c r="P522" s="1069"/>
      <c r="Q522" s="1650">
        <f>Q523</f>
        <v>0</v>
      </c>
      <c r="R522" s="1620">
        <f>R523</f>
        <v>0</v>
      </c>
      <c r="X522" s="1"/>
    </row>
    <row r="523" spans="1:24" ht="16.899999999999999" hidden="1" customHeight="1" x14ac:dyDescent="0.3">
      <c r="A523" s="32"/>
      <c r="B523" s="16" t="s">
        <v>39</v>
      </c>
      <c r="C523" s="911"/>
      <c r="D523" s="11"/>
      <c r="E523" s="11"/>
      <c r="F523" s="10" t="s">
        <v>925</v>
      </c>
      <c r="G523" s="9" t="s">
        <v>521</v>
      </c>
      <c r="H523" s="9" t="s">
        <v>463</v>
      </c>
      <c r="I523" s="9" t="s">
        <v>488</v>
      </c>
      <c r="J523" s="1126">
        <f>378.948+114.442</f>
        <v>493.39</v>
      </c>
      <c r="K523" s="30"/>
      <c r="L523" s="29"/>
      <c r="M523" s="1569"/>
      <c r="N523" s="1584">
        <v>0</v>
      </c>
      <c r="O523" s="1069"/>
      <c r="P523" s="1069"/>
      <c r="Q523" s="1125">
        <v>0</v>
      </c>
      <c r="R523" s="1584">
        <v>0</v>
      </c>
      <c r="X523" s="1"/>
    </row>
    <row r="524" spans="1:24" ht="26.15" customHeight="1" x14ac:dyDescent="0.3">
      <c r="A524" s="32"/>
      <c r="B524" s="23" t="s">
        <v>8</v>
      </c>
      <c r="C524" s="22"/>
      <c r="D524" s="20"/>
      <c r="E524" s="20"/>
      <c r="F524" s="21" t="s">
        <v>2</v>
      </c>
      <c r="G524" s="20"/>
      <c r="H524" s="20"/>
      <c r="I524" s="20"/>
      <c r="J524" s="1146">
        <f>J525+J527</f>
        <v>600.79999999999995</v>
      </c>
      <c r="K524" s="1147"/>
      <c r="L524" s="1148">
        <f>L525+L527</f>
        <v>605.88300000000004</v>
      </c>
      <c r="M524" s="1574">
        <f>M525+M527</f>
        <v>605.88300000000004</v>
      </c>
      <c r="N524" s="1621">
        <f>N525+N527</f>
        <v>834.7</v>
      </c>
      <c r="O524" s="1069"/>
      <c r="P524" s="1069"/>
      <c r="Q524" s="1651">
        <f>Q525+Q527</f>
        <v>844.2</v>
      </c>
      <c r="R524" s="1621">
        <f>R526+R528</f>
        <v>874.4</v>
      </c>
      <c r="S524" s="2">
        <v>106.9</v>
      </c>
      <c r="T524" s="2">
        <v>88.4</v>
      </c>
      <c r="U524" s="2">
        <v>874.4</v>
      </c>
      <c r="X524" s="1"/>
    </row>
    <row r="525" spans="1:24" ht="16.899999999999999" customHeight="1" x14ac:dyDescent="0.3">
      <c r="A525" s="32"/>
      <c r="B525" s="16" t="s">
        <v>7</v>
      </c>
      <c r="C525" s="911"/>
      <c r="D525" s="11"/>
      <c r="E525" s="11"/>
      <c r="F525" s="10" t="s">
        <v>2</v>
      </c>
      <c r="G525" s="9" t="s">
        <v>5</v>
      </c>
      <c r="H525" s="9"/>
      <c r="I525" s="11"/>
      <c r="J525" s="1063">
        <f>J526</f>
        <v>493.39</v>
      </c>
      <c r="K525" s="1150"/>
      <c r="L525" s="1063">
        <v>555.32000000000005</v>
      </c>
      <c r="M525" s="1125">
        <v>555.32000000000005</v>
      </c>
      <c r="N525" s="1584">
        <f>N526</f>
        <v>807.12400000000002</v>
      </c>
      <c r="O525" s="1069"/>
      <c r="P525" s="1069"/>
      <c r="Q525" s="1125">
        <f>Q526</f>
        <v>816.62400000000002</v>
      </c>
      <c r="R525" s="1584">
        <f>R526</f>
        <v>846.82399999999996</v>
      </c>
      <c r="X525" s="1"/>
    </row>
    <row r="526" spans="1:24" ht="16.899999999999999" customHeight="1" x14ac:dyDescent="0.3">
      <c r="A526" s="32"/>
      <c r="B526" s="16" t="s">
        <v>6</v>
      </c>
      <c r="C526" s="911"/>
      <c r="D526" s="11"/>
      <c r="E526" s="11"/>
      <c r="F526" s="10" t="s">
        <v>2</v>
      </c>
      <c r="G526" s="9" t="s">
        <v>5</v>
      </c>
      <c r="H526" s="9" t="s">
        <v>488</v>
      </c>
      <c r="I526" s="9" t="s">
        <v>495</v>
      </c>
      <c r="J526" s="1063">
        <f>378.948+114.442</f>
        <v>493.39</v>
      </c>
      <c r="K526" s="1150"/>
      <c r="L526" s="1063">
        <v>555.32000000000005</v>
      </c>
      <c r="M526" s="1125">
        <v>555.32000000000005</v>
      </c>
      <c r="N526" s="1584">
        <v>807.12400000000002</v>
      </c>
      <c r="O526" s="1069"/>
      <c r="P526" s="1069"/>
      <c r="Q526" s="1125">
        <v>816.62400000000002</v>
      </c>
      <c r="R526" s="1584">
        <v>846.82399999999996</v>
      </c>
      <c r="S526" s="2">
        <v>807.13300000000004</v>
      </c>
      <c r="T526" s="2">
        <v>816.63300000000004</v>
      </c>
      <c r="U526" s="2">
        <v>846.83299999999997</v>
      </c>
      <c r="X526" s="1"/>
    </row>
    <row r="527" spans="1:24" ht="16.899999999999999" customHeight="1" x14ac:dyDescent="0.3">
      <c r="A527" s="32"/>
      <c r="B527" s="15" t="s">
        <v>4</v>
      </c>
      <c r="C527" s="911"/>
      <c r="D527" s="11"/>
      <c r="E527" s="11"/>
      <c r="F527" s="10" t="s">
        <v>2</v>
      </c>
      <c r="G527" s="9" t="s">
        <v>1</v>
      </c>
      <c r="H527" s="9"/>
      <c r="I527" s="9"/>
      <c r="J527" s="1142">
        <f>J528</f>
        <v>107.41</v>
      </c>
      <c r="K527" s="1150"/>
      <c r="L527" s="1150">
        <v>50.563000000000002</v>
      </c>
      <c r="M527" s="1575">
        <v>50.563000000000002</v>
      </c>
      <c r="N527" s="1618">
        <f>N528</f>
        <v>27.576000000000001</v>
      </c>
      <c r="O527" s="1069"/>
      <c r="P527" s="1069"/>
      <c r="Q527" s="1649">
        <f>Q528</f>
        <v>27.576000000000001</v>
      </c>
      <c r="R527" s="1618">
        <f>R528</f>
        <v>27.576000000000001</v>
      </c>
      <c r="U527" s="2">
        <v>27.567</v>
      </c>
      <c r="X527" s="1"/>
    </row>
    <row r="528" spans="1:24" ht="16.899999999999999" customHeight="1" x14ac:dyDescent="0.25">
      <c r="A528" s="32"/>
      <c r="B528" s="754" t="s">
        <v>3</v>
      </c>
      <c r="C528" s="911"/>
      <c r="D528" s="11"/>
      <c r="E528" s="11"/>
      <c r="F528" s="10" t="s">
        <v>2</v>
      </c>
      <c r="G528" s="9" t="s">
        <v>1</v>
      </c>
      <c r="H528" s="9" t="s">
        <v>488</v>
      </c>
      <c r="I528" s="9" t="s">
        <v>495</v>
      </c>
      <c r="J528" s="1063">
        <f>86.41+21</f>
        <v>107.41</v>
      </c>
      <c r="K528" s="1150"/>
      <c r="L528" s="1150">
        <v>50.563000000000002</v>
      </c>
      <c r="M528" s="1575">
        <v>50.563000000000002</v>
      </c>
      <c r="N528" s="1584">
        <v>27.576000000000001</v>
      </c>
      <c r="O528" s="1069"/>
      <c r="P528" s="1069"/>
      <c r="Q528" s="1584">
        <v>27.576000000000001</v>
      </c>
      <c r="R528" s="1584">
        <v>27.576000000000001</v>
      </c>
      <c r="X528" s="1"/>
    </row>
    <row r="529" spans="1:24" ht="25" hidden="1" customHeight="1" x14ac:dyDescent="0.25">
      <c r="A529" s="32"/>
      <c r="B529" s="1151" t="s">
        <v>863</v>
      </c>
      <c r="C529" s="142"/>
      <c r="D529" s="143"/>
      <c r="E529" s="142"/>
      <c r="F529" s="946" t="s">
        <v>965</v>
      </c>
      <c r="G529" s="143"/>
      <c r="H529" s="143"/>
      <c r="I529" s="142"/>
      <c r="J529" s="1103"/>
      <c r="K529" s="1103"/>
      <c r="L529" s="1103"/>
      <c r="M529" s="1124"/>
      <c r="N529" s="1622">
        <f>N530</f>
        <v>0</v>
      </c>
      <c r="O529" s="1069"/>
      <c r="P529" s="1069"/>
      <c r="Q529" s="1652">
        <f>Q530</f>
        <v>0</v>
      </c>
      <c r="R529" s="1622">
        <f>R530</f>
        <v>0</v>
      </c>
      <c r="X529" s="1"/>
    </row>
    <row r="530" spans="1:24" ht="16.899999999999999" hidden="1" customHeight="1" x14ac:dyDescent="0.3">
      <c r="A530" s="32"/>
      <c r="B530" s="15" t="s">
        <v>4</v>
      </c>
      <c r="C530" s="89"/>
      <c r="D530" s="9" t="s">
        <v>52</v>
      </c>
      <c r="E530" s="9" t="s">
        <v>58</v>
      </c>
      <c r="F530" s="9" t="s">
        <v>965</v>
      </c>
      <c r="G530" s="88">
        <v>240</v>
      </c>
      <c r="H530" s="88"/>
      <c r="I530" s="1063"/>
      <c r="J530" s="1061"/>
      <c r="K530" s="1063"/>
      <c r="L530" s="1063"/>
      <c r="M530" s="84"/>
      <c r="N530" s="1582">
        <f>N531</f>
        <v>0</v>
      </c>
      <c r="O530" s="1069"/>
      <c r="P530" s="1069"/>
      <c r="Q530" s="1550">
        <f>Q531</f>
        <v>0</v>
      </c>
      <c r="R530" s="1582">
        <f>R531</f>
        <v>0</v>
      </c>
      <c r="X530" s="1"/>
    </row>
    <row r="531" spans="1:24" ht="16.899999999999999" hidden="1" customHeight="1" x14ac:dyDescent="0.3">
      <c r="A531" s="32"/>
      <c r="B531" s="90" t="s">
        <v>60</v>
      </c>
      <c r="C531" s="89"/>
      <c r="D531" s="9"/>
      <c r="E531" s="9"/>
      <c r="F531" s="9" t="s">
        <v>965</v>
      </c>
      <c r="G531" s="88">
        <v>240</v>
      </c>
      <c r="H531" s="9" t="s">
        <v>452</v>
      </c>
      <c r="I531" s="9" t="s">
        <v>539</v>
      </c>
      <c r="J531" s="1061"/>
      <c r="K531" s="1063"/>
      <c r="L531" s="1063"/>
      <c r="M531" s="84"/>
      <c r="N531" s="1582"/>
      <c r="O531" s="1069"/>
      <c r="P531" s="1069"/>
      <c r="Q531" s="1550"/>
      <c r="R531" s="1582"/>
      <c r="X531" s="1"/>
    </row>
    <row r="532" spans="1:24" ht="25.5" hidden="1" customHeight="1" x14ac:dyDescent="0.3">
      <c r="A532" s="844"/>
      <c r="B532" s="1152" t="s">
        <v>830</v>
      </c>
      <c r="C532" s="735"/>
      <c r="D532" s="77"/>
      <c r="E532" s="77"/>
      <c r="F532" s="34" t="s">
        <v>831</v>
      </c>
      <c r="G532" s="9"/>
      <c r="H532" s="9"/>
      <c r="I532" s="656"/>
      <c r="J532" s="30"/>
      <c r="K532" s="29"/>
      <c r="L532" s="527"/>
      <c r="M532" s="1576">
        <f>M533</f>
        <v>139.6</v>
      </c>
      <c r="N532" s="1585">
        <f>N533</f>
        <v>0</v>
      </c>
      <c r="O532" s="1069"/>
      <c r="P532" s="1069"/>
      <c r="Q532" s="1435">
        <f>Q533</f>
        <v>0</v>
      </c>
      <c r="R532" s="1585">
        <f>R533</f>
        <v>0</v>
      </c>
      <c r="X532" s="1"/>
    </row>
    <row r="533" spans="1:24" ht="16.899999999999999" hidden="1" customHeight="1" x14ac:dyDescent="0.3">
      <c r="A533" s="845"/>
      <c r="B533" s="737" t="s">
        <v>256</v>
      </c>
      <c r="C533" s="738"/>
      <c r="D533" s="1748"/>
      <c r="E533" s="1748"/>
      <c r="F533" s="142" t="s">
        <v>831</v>
      </c>
      <c r="G533" s="142" t="s">
        <v>255</v>
      </c>
      <c r="H533" s="142"/>
      <c r="I533" s="740"/>
      <c r="J533" s="741"/>
      <c r="K533" s="742"/>
      <c r="L533" s="64"/>
      <c r="M533" s="1577">
        <f>M534</f>
        <v>139.6</v>
      </c>
      <c r="N533" s="1584">
        <f>N534</f>
        <v>0</v>
      </c>
      <c r="O533" s="1069"/>
      <c r="P533" s="1069"/>
      <c r="Q533" s="1436">
        <f>Q534</f>
        <v>0</v>
      </c>
      <c r="R533" s="1584">
        <f>R534</f>
        <v>0</v>
      </c>
      <c r="X533" s="1"/>
    </row>
    <row r="534" spans="1:24" ht="16.899999999999999" hidden="1" customHeight="1" x14ac:dyDescent="0.3">
      <c r="A534" s="844"/>
      <c r="B534" s="744" t="s">
        <v>87</v>
      </c>
      <c r="C534" s="735"/>
      <c r="D534" s="77"/>
      <c r="E534" s="77"/>
      <c r="F534" s="9" t="s">
        <v>831</v>
      </c>
      <c r="G534" s="9" t="s">
        <v>255</v>
      </c>
      <c r="H534" s="9" t="s">
        <v>453</v>
      </c>
      <c r="I534" s="9" t="s">
        <v>456</v>
      </c>
      <c r="J534" s="30"/>
      <c r="K534" s="29"/>
      <c r="L534" s="28"/>
      <c r="M534" s="1558">
        <v>139.6</v>
      </c>
      <c r="N534" s="1584"/>
      <c r="O534" s="1069"/>
      <c r="P534" s="1069"/>
      <c r="Q534" s="1436"/>
      <c r="R534" s="1584"/>
      <c r="X534" s="1"/>
    </row>
    <row r="535" spans="1:24" ht="16.899999999999999" hidden="1" customHeight="1" x14ac:dyDescent="0.3">
      <c r="A535" s="844"/>
      <c r="B535" s="1152" t="s">
        <v>830</v>
      </c>
      <c r="C535" s="735"/>
      <c r="D535" s="77"/>
      <c r="E535" s="77"/>
      <c r="F535" s="34" t="s">
        <v>958</v>
      </c>
      <c r="G535" s="9"/>
      <c r="H535" s="9"/>
      <c r="I535" s="9"/>
      <c r="J535" s="1434"/>
      <c r="K535" s="29"/>
      <c r="L535" s="28"/>
      <c r="M535" s="1558"/>
      <c r="N535" s="1584">
        <f>N536</f>
        <v>0</v>
      </c>
      <c r="O535" s="1069"/>
      <c r="P535" s="1069"/>
      <c r="Q535" s="1436">
        <f>Q536</f>
        <v>0</v>
      </c>
      <c r="R535" s="1584">
        <f>R536</f>
        <v>0</v>
      </c>
      <c r="X535" s="1"/>
    </row>
    <row r="536" spans="1:24" ht="16.899999999999999" hidden="1" customHeight="1" x14ac:dyDescent="0.3">
      <c r="A536" s="844"/>
      <c r="B536" s="737" t="s">
        <v>256</v>
      </c>
      <c r="C536" s="735"/>
      <c r="D536" s="77"/>
      <c r="E536" s="77"/>
      <c r="F536" s="9" t="s">
        <v>958</v>
      </c>
      <c r="G536" s="9" t="s">
        <v>255</v>
      </c>
      <c r="H536" s="9"/>
      <c r="I536" s="9"/>
      <c r="J536" s="1434"/>
      <c r="K536" s="29"/>
      <c r="L536" s="28"/>
      <c r="M536" s="1558"/>
      <c r="N536" s="1584">
        <f>N537</f>
        <v>0</v>
      </c>
      <c r="O536" s="1069"/>
      <c r="P536" s="1069"/>
      <c r="Q536" s="1436">
        <f>Q537</f>
        <v>0</v>
      </c>
      <c r="R536" s="1584">
        <f>R537</f>
        <v>0</v>
      </c>
      <c r="X536" s="1"/>
    </row>
    <row r="537" spans="1:24" ht="16.899999999999999" hidden="1" customHeight="1" x14ac:dyDescent="0.3">
      <c r="A537" s="844"/>
      <c r="B537" s="744" t="s">
        <v>87</v>
      </c>
      <c r="C537" s="735"/>
      <c r="D537" s="77"/>
      <c r="E537" s="77"/>
      <c r="F537" s="9" t="s">
        <v>958</v>
      </c>
      <c r="G537" s="9" t="s">
        <v>255</v>
      </c>
      <c r="H537" s="9" t="s">
        <v>453</v>
      </c>
      <c r="I537" s="9" t="s">
        <v>456</v>
      </c>
      <c r="J537" s="1434"/>
      <c r="K537" s="29"/>
      <c r="L537" s="28"/>
      <c r="M537" s="1558"/>
      <c r="N537" s="1584"/>
      <c r="O537" s="1069"/>
      <c r="P537" s="1069"/>
      <c r="Q537" s="1436"/>
      <c r="R537" s="1584"/>
      <c r="X537" s="1"/>
    </row>
    <row r="538" spans="1:24" ht="13" x14ac:dyDescent="0.3">
      <c r="A538" s="32"/>
      <c r="B538" s="1153" t="s">
        <v>12</v>
      </c>
      <c r="C538" s="31"/>
      <c r="D538" s="9"/>
      <c r="E538" s="9"/>
      <c r="F538" s="34" t="s">
        <v>10</v>
      </c>
      <c r="G538" s="33"/>
      <c r="H538" s="33"/>
      <c r="I538" s="9"/>
      <c r="J538" s="28">
        <f>J539</f>
        <v>1109.2180000000001</v>
      </c>
      <c r="K538" s="30"/>
      <c r="L538" s="29"/>
      <c r="M538" s="1569"/>
      <c r="N538" s="1612">
        <f t="shared" ref="N538:R539" si="137">N539</f>
        <v>947.01</v>
      </c>
      <c r="O538" s="28">
        <f t="shared" si="137"/>
        <v>799.11500000000001</v>
      </c>
      <c r="P538" s="28">
        <f t="shared" si="137"/>
        <v>895.01</v>
      </c>
      <c r="Q538" s="1643">
        <f t="shared" si="137"/>
        <v>947.01</v>
      </c>
      <c r="R538" s="1612">
        <f t="shared" si="137"/>
        <v>947.01</v>
      </c>
      <c r="X538" s="1"/>
    </row>
    <row r="539" spans="1:24" ht="16.899999999999999" customHeight="1" x14ac:dyDescent="0.3">
      <c r="A539" s="32"/>
      <c r="B539" s="15" t="s">
        <v>4</v>
      </c>
      <c r="C539" s="31"/>
      <c r="D539" s="9"/>
      <c r="E539" s="9"/>
      <c r="F539" s="9" t="s">
        <v>10</v>
      </c>
      <c r="G539" s="9" t="s">
        <v>1</v>
      </c>
      <c r="H539" s="9"/>
      <c r="I539" s="9"/>
      <c r="J539" s="28">
        <f>J540</f>
        <v>1109.2180000000001</v>
      </c>
      <c r="K539" s="30"/>
      <c r="L539" s="29"/>
      <c r="M539" s="1569"/>
      <c r="N539" s="1611">
        <f t="shared" si="137"/>
        <v>947.01</v>
      </c>
      <c r="O539" s="28">
        <f t="shared" si="137"/>
        <v>799.11500000000001</v>
      </c>
      <c r="P539" s="28">
        <f t="shared" si="137"/>
        <v>895.01</v>
      </c>
      <c r="Q539" s="1569">
        <f t="shared" si="137"/>
        <v>947.01</v>
      </c>
      <c r="R539" s="1611">
        <f t="shared" si="137"/>
        <v>947.01</v>
      </c>
      <c r="X539" s="1"/>
    </row>
    <row r="540" spans="1:24" ht="12.75" customHeight="1" thickBot="1" x14ac:dyDescent="0.35">
      <c r="A540" s="26"/>
      <c r="B540" s="1777" t="s">
        <v>11</v>
      </c>
      <c r="C540" s="1778"/>
      <c r="D540" s="25"/>
      <c r="E540" s="25"/>
      <c r="F540" s="25" t="s">
        <v>10</v>
      </c>
      <c r="G540" s="25" t="s">
        <v>1</v>
      </c>
      <c r="H540" s="25" t="s">
        <v>463</v>
      </c>
      <c r="I540" s="25" t="s">
        <v>456</v>
      </c>
      <c r="J540" s="1779">
        <v>1109.2180000000001</v>
      </c>
      <c r="K540" s="1780"/>
      <c r="L540" s="1492"/>
      <c r="M540" s="1781"/>
      <c r="N540" s="1623">
        <v>947.01</v>
      </c>
      <c r="O540" s="1782">
        <v>799.11500000000001</v>
      </c>
      <c r="P540" s="1779">
        <v>895.01</v>
      </c>
      <c r="Q540" s="1783">
        <v>947.01</v>
      </c>
      <c r="R540" s="1623">
        <v>947.01</v>
      </c>
      <c r="X540" s="1"/>
    </row>
    <row r="541" spans="1:24" ht="26" hidden="1" x14ac:dyDescent="0.3">
      <c r="A541" s="145"/>
      <c r="B541" s="23" t="s">
        <v>8</v>
      </c>
      <c r="C541" s="22"/>
      <c r="D541" s="20"/>
      <c r="E541" s="20"/>
      <c r="F541" s="21" t="s">
        <v>2</v>
      </c>
      <c r="G541" s="20"/>
      <c r="H541" s="20"/>
      <c r="I541" s="20"/>
      <c r="J541" s="1146">
        <f>J542+J544</f>
        <v>600.79999999999995</v>
      </c>
      <c r="K541" s="1147"/>
      <c r="L541" s="1148">
        <f t="shared" ref="L541:R541" si="138">L542+L544</f>
        <v>605.88300000000004</v>
      </c>
      <c r="M541" s="1148">
        <f t="shared" si="138"/>
        <v>605.88300000000004</v>
      </c>
      <c r="N541" s="1149">
        <f t="shared" si="138"/>
        <v>0</v>
      </c>
      <c r="O541" s="1775">
        <f t="shared" si="138"/>
        <v>600.79999999999995</v>
      </c>
      <c r="P541" s="1146">
        <f t="shared" si="138"/>
        <v>600.79999999999995</v>
      </c>
      <c r="Q541" s="1149">
        <f t="shared" si="138"/>
        <v>0</v>
      </c>
      <c r="R541" s="1149">
        <f t="shared" si="138"/>
        <v>0</v>
      </c>
      <c r="X541" s="1"/>
    </row>
    <row r="542" spans="1:24" ht="13" hidden="1" x14ac:dyDescent="0.3">
      <c r="A542" s="32"/>
      <c r="B542" s="16" t="s">
        <v>7</v>
      </c>
      <c r="C542" s="911"/>
      <c r="D542" s="11"/>
      <c r="E542" s="11"/>
      <c r="F542" s="10" t="s">
        <v>2</v>
      </c>
      <c r="G542" s="9" t="s">
        <v>5</v>
      </c>
      <c r="H542" s="9"/>
      <c r="I542" s="11"/>
      <c r="J542" s="1063">
        <f>J543</f>
        <v>493.39</v>
      </c>
      <c r="K542" s="1150"/>
      <c r="L542" s="1063">
        <v>555.32000000000005</v>
      </c>
      <c r="M542" s="1063">
        <v>555.32000000000005</v>
      </c>
      <c r="N542" s="1090">
        <f>N543</f>
        <v>0</v>
      </c>
      <c r="O542" s="1069">
        <f>O543</f>
        <v>493.39</v>
      </c>
      <c r="P542" s="1063">
        <f>P543</f>
        <v>493.39</v>
      </c>
      <c r="Q542" s="1090">
        <f>Q543</f>
        <v>0</v>
      </c>
      <c r="R542" s="1090">
        <f>R543</f>
        <v>0</v>
      </c>
      <c r="X542" s="1"/>
    </row>
    <row r="543" spans="1:24" ht="13" hidden="1" x14ac:dyDescent="0.3">
      <c r="A543" s="32"/>
      <c r="B543" s="16" t="s">
        <v>6</v>
      </c>
      <c r="C543" s="911"/>
      <c r="D543" s="11"/>
      <c r="E543" s="11"/>
      <c r="F543" s="10" t="s">
        <v>2</v>
      </c>
      <c r="G543" s="9" t="s">
        <v>5</v>
      </c>
      <c r="H543" s="9" t="s">
        <v>488</v>
      </c>
      <c r="I543" s="9" t="s">
        <v>495</v>
      </c>
      <c r="J543" s="1063">
        <f>378.948+114.442</f>
        <v>493.39</v>
      </c>
      <c r="K543" s="1150"/>
      <c r="L543" s="1063">
        <v>555.32000000000005</v>
      </c>
      <c r="M543" s="1063">
        <v>555.32000000000005</v>
      </c>
      <c r="N543" s="1090"/>
      <c r="O543" s="1069">
        <f>378.948+114.442</f>
        <v>493.39</v>
      </c>
      <c r="P543" s="1063">
        <f>378.948+114.442</f>
        <v>493.39</v>
      </c>
      <c r="Q543" s="1090"/>
      <c r="R543" s="1090"/>
      <c r="X543" s="1"/>
    </row>
    <row r="544" spans="1:24" ht="26" hidden="1" x14ac:dyDescent="0.3">
      <c r="A544" s="32"/>
      <c r="B544" s="15" t="s">
        <v>4</v>
      </c>
      <c r="C544" s="911"/>
      <c r="D544" s="11"/>
      <c r="E544" s="11"/>
      <c r="F544" s="10" t="s">
        <v>2</v>
      </c>
      <c r="G544" s="9" t="s">
        <v>1</v>
      </c>
      <c r="H544" s="9"/>
      <c r="I544" s="9"/>
      <c r="J544" s="1142">
        <f>J545</f>
        <v>107.41</v>
      </c>
      <c r="K544" s="1150"/>
      <c r="L544" s="1150">
        <v>50.563000000000002</v>
      </c>
      <c r="M544" s="1150">
        <v>50.563000000000002</v>
      </c>
      <c r="N544" s="1140">
        <f>N545</f>
        <v>0</v>
      </c>
      <c r="O544" s="1141">
        <f>O545</f>
        <v>107.41</v>
      </c>
      <c r="P544" s="1142">
        <f>P545</f>
        <v>107.41</v>
      </c>
      <c r="Q544" s="1140">
        <f>Q545</f>
        <v>0</v>
      </c>
      <c r="R544" s="1140">
        <f>R545</f>
        <v>0</v>
      </c>
      <c r="X544" s="1"/>
    </row>
    <row r="545" spans="1:24" ht="13.5" hidden="1" thickBot="1" x14ac:dyDescent="0.3">
      <c r="A545" s="26"/>
      <c r="B545" s="943" t="s">
        <v>3</v>
      </c>
      <c r="C545" s="896"/>
      <c r="D545" s="897"/>
      <c r="E545" s="897"/>
      <c r="F545" s="898" t="s">
        <v>2</v>
      </c>
      <c r="G545" s="25" t="s">
        <v>1</v>
      </c>
      <c r="H545" s="25" t="s">
        <v>488</v>
      </c>
      <c r="I545" s="25" t="s">
        <v>495</v>
      </c>
      <c r="J545" s="1154">
        <f>86.41+21</f>
        <v>107.41</v>
      </c>
      <c r="K545" s="1155"/>
      <c r="L545" s="1155">
        <v>50.563000000000002</v>
      </c>
      <c r="M545" s="1155">
        <v>50.563000000000002</v>
      </c>
      <c r="N545" s="1156"/>
      <c r="O545" s="1069">
        <f>86.41+21</f>
        <v>107.41</v>
      </c>
      <c r="P545" s="1063">
        <f>86.41+21</f>
        <v>107.41</v>
      </c>
      <c r="Q545" s="1156"/>
      <c r="R545" s="1156"/>
      <c r="X545" s="1"/>
    </row>
    <row r="546" spans="1:24" x14ac:dyDescent="0.25">
      <c r="X546" s="1"/>
    </row>
    <row r="547" spans="1:24" x14ac:dyDescent="0.25">
      <c r="S547" s="2">
        <v>170.6</v>
      </c>
      <c r="T547" s="2">
        <v>152.1</v>
      </c>
      <c r="U547" s="2">
        <v>938.1</v>
      </c>
    </row>
  </sheetData>
  <mergeCells count="16">
    <mergeCell ref="A17:R17"/>
    <mergeCell ref="A16:R16"/>
    <mergeCell ref="I2:N2"/>
    <mergeCell ref="F3:N3"/>
    <mergeCell ref="G5:N5"/>
    <mergeCell ref="B12:J12"/>
    <mergeCell ref="A13:R13"/>
    <mergeCell ref="A14:R14"/>
    <mergeCell ref="A15:R15"/>
    <mergeCell ref="Q5:S5"/>
    <mergeCell ref="G511:J511"/>
    <mergeCell ref="G127:J127"/>
    <mergeCell ref="G128:J128"/>
    <mergeCell ref="G481:J481"/>
    <mergeCell ref="G482:J482"/>
    <mergeCell ref="G510:J510"/>
  </mergeCells>
  <pageMargins left="0.59055118110236227" right="0.59055118110236227" top="0.31496062992125984" bottom="0.31496062992125984" header="0.31496062992125984" footer="0.31496062992125984"/>
  <pageSetup paperSize="9" scale="49" firstPageNumber="55" fitToHeight="3" orientation="portrait" useFirstPageNumber="1" r:id="rId1"/>
  <headerFooter alignWithMargins="0"/>
  <rowBreaks count="1" manualBreakCount="1">
    <brk id="228" max="1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V518"/>
  <sheetViews>
    <sheetView topLeftCell="A502" zoomScaleNormal="100" zoomScaleSheetLayoutView="50" workbookViewId="0">
      <selection activeCell="Q188" sqref="Q188"/>
    </sheetView>
  </sheetViews>
  <sheetFormatPr defaultColWidth="9.1796875" defaultRowHeight="12.5" x14ac:dyDescent="0.25"/>
  <cols>
    <col min="1" max="1" width="8.81640625" style="1" customWidth="1"/>
    <col min="2" max="2" width="60.26953125" style="6" customWidth="1"/>
    <col min="3" max="3" width="10" style="5" hidden="1" customWidth="1"/>
    <col min="4" max="4" width="9.26953125" style="4" hidden="1" customWidth="1"/>
    <col min="5" max="5" width="10.453125" style="4" hidden="1" customWidth="1"/>
    <col min="6" max="6" width="13.26953125" style="4" customWidth="1"/>
    <col min="7" max="8" width="10.26953125" style="4" customWidth="1"/>
    <col min="9" max="9" width="10.453125" style="4" customWidth="1"/>
    <col min="10" max="10" width="22.1796875" style="448" hidden="1" customWidth="1"/>
    <col min="11" max="11" width="14.7265625" style="448" hidden="1" customWidth="1"/>
    <col min="12" max="12" width="15.81640625" style="448" hidden="1" customWidth="1"/>
    <col min="13" max="13" width="18.7265625" style="448" hidden="1" customWidth="1"/>
    <col min="14" max="14" width="22.1796875" style="448" customWidth="1"/>
    <col min="15" max="16" width="22.1796875" style="448" hidden="1" customWidth="1"/>
    <col min="17" max="17" width="10.81640625" style="2" customWidth="1"/>
    <col min="18" max="24" width="9.1796875" style="2" customWidth="1"/>
    <col min="25" max="256" width="9.1796875" style="1"/>
    <col min="257" max="257" width="8.81640625" style="1" customWidth="1"/>
    <col min="258" max="258" width="60.26953125" style="1" customWidth="1"/>
    <col min="259" max="261" width="0" style="1" hidden="1" customWidth="1"/>
    <col min="262" max="262" width="13.26953125" style="1" customWidth="1"/>
    <col min="263" max="264" width="10.26953125" style="1" customWidth="1"/>
    <col min="265" max="265" width="10.453125" style="1" customWidth="1"/>
    <col min="266" max="269" width="0" style="1" hidden="1" customWidth="1"/>
    <col min="270" max="270" width="22.1796875" style="1" customWidth="1"/>
    <col min="271" max="272" width="0" style="1" hidden="1" customWidth="1"/>
    <col min="273" max="280" width="9.1796875" style="1" customWidth="1"/>
    <col min="281" max="512" width="9.1796875" style="1"/>
    <col min="513" max="513" width="8.81640625" style="1" customWidth="1"/>
    <col min="514" max="514" width="60.26953125" style="1" customWidth="1"/>
    <col min="515" max="517" width="0" style="1" hidden="1" customWidth="1"/>
    <col min="518" max="518" width="13.26953125" style="1" customWidth="1"/>
    <col min="519" max="520" width="10.26953125" style="1" customWidth="1"/>
    <col min="521" max="521" width="10.453125" style="1" customWidth="1"/>
    <col min="522" max="525" width="0" style="1" hidden="1" customWidth="1"/>
    <col min="526" max="526" width="22.1796875" style="1" customWidth="1"/>
    <col min="527" max="528" width="0" style="1" hidden="1" customWidth="1"/>
    <col min="529" max="536" width="9.1796875" style="1" customWidth="1"/>
    <col min="537" max="768" width="9.1796875" style="1"/>
    <col min="769" max="769" width="8.81640625" style="1" customWidth="1"/>
    <col min="770" max="770" width="60.26953125" style="1" customWidth="1"/>
    <col min="771" max="773" width="0" style="1" hidden="1" customWidth="1"/>
    <col min="774" max="774" width="13.26953125" style="1" customWidth="1"/>
    <col min="775" max="776" width="10.26953125" style="1" customWidth="1"/>
    <col min="777" max="777" width="10.453125" style="1" customWidth="1"/>
    <col min="778" max="781" width="0" style="1" hidden="1" customWidth="1"/>
    <col min="782" max="782" width="22.1796875" style="1" customWidth="1"/>
    <col min="783" max="784" width="0" style="1" hidden="1" customWidth="1"/>
    <col min="785" max="792" width="9.1796875" style="1" customWidth="1"/>
    <col min="793" max="1024" width="9.1796875" style="1"/>
    <col min="1025" max="1025" width="8.81640625" style="1" customWidth="1"/>
    <col min="1026" max="1026" width="60.26953125" style="1" customWidth="1"/>
    <col min="1027" max="1029" width="0" style="1" hidden="1" customWidth="1"/>
    <col min="1030" max="1030" width="13.26953125" style="1" customWidth="1"/>
    <col min="1031" max="1032" width="10.26953125" style="1" customWidth="1"/>
    <col min="1033" max="1033" width="10.453125" style="1" customWidth="1"/>
    <col min="1034" max="1037" width="0" style="1" hidden="1" customWidth="1"/>
    <col min="1038" max="1038" width="22.1796875" style="1" customWidth="1"/>
    <col min="1039" max="1040" width="0" style="1" hidden="1" customWidth="1"/>
    <col min="1041" max="1048" width="9.1796875" style="1" customWidth="1"/>
    <col min="1049" max="1280" width="9.1796875" style="1"/>
    <col min="1281" max="1281" width="8.81640625" style="1" customWidth="1"/>
    <col min="1282" max="1282" width="60.26953125" style="1" customWidth="1"/>
    <col min="1283" max="1285" width="0" style="1" hidden="1" customWidth="1"/>
    <col min="1286" max="1286" width="13.26953125" style="1" customWidth="1"/>
    <col min="1287" max="1288" width="10.26953125" style="1" customWidth="1"/>
    <col min="1289" max="1289" width="10.453125" style="1" customWidth="1"/>
    <col min="1290" max="1293" width="0" style="1" hidden="1" customWidth="1"/>
    <col min="1294" max="1294" width="22.1796875" style="1" customWidth="1"/>
    <col min="1295" max="1296" width="0" style="1" hidden="1" customWidth="1"/>
    <col min="1297" max="1304" width="9.1796875" style="1" customWidth="1"/>
    <col min="1305" max="1536" width="9.1796875" style="1"/>
    <col min="1537" max="1537" width="8.81640625" style="1" customWidth="1"/>
    <col min="1538" max="1538" width="60.26953125" style="1" customWidth="1"/>
    <col min="1539" max="1541" width="0" style="1" hidden="1" customWidth="1"/>
    <col min="1542" max="1542" width="13.26953125" style="1" customWidth="1"/>
    <col min="1543" max="1544" width="10.26953125" style="1" customWidth="1"/>
    <col min="1545" max="1545" width="10.453125" style="1" customWidth="1"/>
    <col min="1546" max="1549" width="0" style="1" hidden="1" customWidth="1"/>
    <col min="1550" max="1550" width="22.1796875" style="1" customWidth="1"/>
    <col min="1551" max="1552" width="0" style="1" hidden="1" customWidth="1"/>
    <col min="1553" max="1560" width="9.1796875" style="1" customWidth="1"/>
    <col min="1561" max="1792" width="9.1796875" style="1"/>
    <col min="1793" max="1793" width="8.81640625" style="1" customWidth="1"/>
    <col min="1794" max="1794" width="60.26953125" style="1" customWidth="1"/>
    <col min="1795" max="1797" width="0" style="1" hidden="1" customWidth="1"/>
    <col min="1798" max="1798" width="13.26953125" style="1" customWidth="1"/>
    <col min="1799" max="1800" width="10.26953125" style="1" customWidth="1"/>
    <col min="1801" max="1801" width="10.453125" style="1" customWidth="1"/>
    <col min="1802" max="1805" width="0" style="1" hidden="1" customWidth="1"/>
    <col min="1806" max="1806" width="22.1796875" style="1" customWidth="1"/>
    <col min="1807" max="1808" width="0" style="1" hidden="1" customWidth="1"/>
    <col min="1809" max="1816" width="9.1796875" style="1" customWidth="1"/>
    <col min="1817" max="2048" width="9.1796875" style="1"/>
    <col min="2049" max="2049" width="8.81640625" style="1" customWidth="1"/>
    <col min="2050" max="2050" width="60.26953125" style="1" customWidth="1"/>
    <col min="2051" max="2053" width="0" style="1" hidden="1" customWidth="1"/>
    <col min="2054" max="2054" width="13.26953125" style="1" customWidth="1"/>
    <col min="2055" max="2056" width="10.26953125" style="1" customWidth="1"/>
    <col min="2057" max="2057" width="10.453125" style="1" customWidth="1"/>
    <col min="2058" max="2061" width="0" style="1" hidden="1" customWidth="1"/>
    <col min="2062" max="2062" width="22.1796875" style="1" customWidth="1"/>
    <col min="2063" max="2064" width="0" style="1" hidden="1" customWidth="1"/>
    <col min="2065" max="2072" width="9.1796875" style="1" customWidth="1"/>
    <col min="2073" max="2304" width="9.1796875" style="1"/>
    <col min="2305" max="2305" width="8.81640625" style="1" customWidth="1"/>
    <col min="2306" max="2306" width="60.26953125" style="1" customWidth="1"/>
    <col min="2307" max="2309" width="0" style="1" hidden="1" customWidth="1"/>
    <col min="2310" max="2310" width="13.26953125" style="1" customWidth="1"/>
    <col min="2311" max="2312" width="10.26953125" style="1" customWidth="1"/>
    <col min="2313" max="2313" width="10.453125" style="1" customWidth="1"/>
    <col min="2314" max="2317" width="0" style="1" hidden="1" customWidth="1"/>
    <col min="2318" max="2318" width="22.1796875" style="1" customWidth="1"/>
    <col min="2319" max="2320" width="0" style="1" hidden="1" customWidth="1"/>
    <col min="2321" max="2328" width="9.1796875" style="1" customWidth="1"/>
    <col min="2329" max="2560" width="9.1796875" style="1"/>
    <col min="2561" max="2561" width="8.81640625" style="1" customWidth="1"/>
    <col min="2562" max="2562" width="60.26953125" style="1" customWidth="1"/>
    <col min="2563" max="2565" width="0" style="1" hidden="1" customWidth="1"/>
    <col min="2566" max="2566" width="13.26953125" style="1" customWidth="1"/>
    <col min="2567" max="2568" width="10.26953125" style="1" customWidth="1"/>
    <col min="2569" max="2569" width="10.453125" style="1" customWidth="1"/>
    <col min="2570" max="2573" width="0" style="1" hidden="1" customWidth="1"/>
    <col min="2574" max="2574" width="22.1796875" style="1" customWidth="1"/>
    <col min="2575" max="2576" width="0" style="1" hidden="1" customWidth="1"/>
    <col min="2577" max="2584" width="9.1796875" style="1" customWidth="1"/>
    <col min="2585" max="2816" width="9.1796875" style="1"/>
    <col min="2817" max="2817" width="8.81640625" style="1" customWidth="1"/>
    <col min="2818" max="2818" width="60.26953125" style="1" customWidth="1"/>
    <col min="2819" max="2821" width="0" style="1" hidden="1" customWidth="1"/>
    <col min="2822" max="2822" width="13.26953125" style="1" customWidth="1"/>
    <col min="2823" max="2824" width="10.26953125" style="1" customWidth="1"/>
    <col min="2825" max="2825" width="10.453125" style="1" customWidth="1"/>
    <col min="2826" max="2829" width="0" style="1" hidden="1" customWidth="1"/>
    <col min="2830" max="2830" width="22.1796875" style="1" customWidth="1"/>
    <col min="2831" max="2832" width="0" style="1" hidden="1" customWidth="1"/>
    <col min="2833" max="2840" width="9.1796875" style="1" customWidth="1"/>
    <col min="2841" max="3072" width="9.1796875" style="1"/>
    <col min="3073" max="3073" width="8.81640625" style="1" customWidth="1"/>
    <col min="3074" max="3074" width="60.26953125" style="1" customWidth="1"/>
    <col min="3075" max="3077" width="0" style="1" hidden="1" customWidth="1"/>
    <col min="3078" max="3078" width="13.26953125" style="1" customWidth="1"/>
    <col min="3079" max="3080" width="10.26953125" style="1" customWidth="1"/>
    <col min="3081" max="3081" width="10.453125" style="1" customWidth="1"/>
    <col min="3082" max="3085" width="0" style="1" hidden="1" customWidth="1"/>
    <col min="3086" max="3086" width="22.1796875" style="1" customWidth="1"/>
    <col min="3087" max="3088" width="0" style="1" hidden="1" customWidth="1"/>
    <col min="3089" max="3096" width="9.1796875" style="1" customWidth="1"/>
    <col min="3097" max="3328" width="9.1796875" style="1"/>
    <col min="3329" max="3329" width="8.81640625" style="1" customWidth="1"/>
    <col min="3330" max="3330" width="60.26953125" style="1" customWidth="1"/>
    <col min="3331" max="3333" width="0" style="1" hidden="1" customWidth="1"/>
    <col min="3334" max="3334" width="13.26953125" style="1" customWidth="1"/>
    <col min="3335" max="3336" width="10.26953125" style="1" customWidth="1"/>
    <col min="3337" max="3337" width="10.453125" style="1" customWidth="1"/>
    <col min="3338" max="3341" width="0" style="1" hidden="1" customWidth="1"/>
    <col min="3342" max="3342" width="22.1796875" style="1" customWidth="1"/>
    <col min="3343" max="3344" width="0" style="1" hidden="1" customWidth="1"/>
    <col min="3345" max="3352" width="9.1796875" style="1" customWidth="1"/>
    <col min="3353" max="3584" width="9.1796875" style="1"/>
    <col min="3585" max="3585" width="8.81640625" style="1" customWidth="1"/>
    <col min="3586" max="3586" width="60.26953125" style="1" customWidth="1"/>
    <col min="3587" max="3589" width="0" style="1" hidden="1" customWidth="1"/>
    <col min="3590" max="3590" width="13.26953125" style="1" customWidth="1"/>
    <col min="3591" max="3592" width="10.26953125" style="1" customWidth="1"/>
    <col min="3593" max="3593" width="10.453125" style="1" customWidth="1"/>
    <col min="3594" max="3597" width="0" style="1" hidden="1" customWidth="1"/>
    <col min="3598" max="3598" width="22.1796875" style="1" customWidth="1"/>
    <col min="3599" max="3600" width="0" style="1" hidden="1" customWidth="1"/>
    <col min="3601" max="3608" width="9.1796875" style="1" customWidth="1"/>
    <col min="3609" max="3840" width="9.1796875" style="1"/>
    <col min="3841" max="3841" width="8.81640625" style="1" customWidth="1"/>
    <col min="3842" max="3842" width="60.26953125" style="1" customWidth="1"/>
    <col min="3843" max="3845" width="0" style="1" hidden="1" customWidth="1"/>
    <col min="3846" max="3846" width="13.26953125" style="1" customWidth="1"/>
    <col min="3847" max="3848" width="10.26953125" style="1" customWidth="1"/>
    <col min="3849" max="3849" width="10.453125" style="1" customWidth="1"/>
    <col min="3850" max="3853" width="0" style="1" hidden="1" customWidth="1"/>
    <col min="3854" max="3854" width="22.1796875" style="1" customWidth="1"/>
    <col min="3855" max="3856" width="0" style="1" hidden="1" customWidth="1"/>
    <col min="3857" max="3864" width="9.1796875" style="1" customWidth="1"/>
    <col min="3865" max="4096" width="9.1796875" style="1"/>
    <col min="4097" max="4097" width="8.81640625" style="1" customWidth="1"/>
    <col min="4098" max="4098" width="60.26953125" style="1" customWidth="1"/>
    <col min="4099" max="4101" width="0" style="1" hidden="1" customWidth="1"/>
    <col min="4102" max="4102" width="13.26953125" style="1" customWidth="1"/>
    <col min="4103" max="4104" width="10.26953125" style="1" customWidth="1"/>
    <col min="4105" max="4105" width="10.453125" style="1" customWidth="1"/>
    <col min="4106" max="4109" width="0" style="1" hidden="1" customWidth="1"/>
    <col min="4110" max="4110" width="22.1796875" style="1" customWidth="1"/>
    <col min="4111" max="4112" width="0" style="1" hidden="1" customWidth="1"/>
    <col min="4113" max="4120" width="9.1796875" style="1" customWidth="1"/>
    <col min="4121" max="4352" width="9.1796875" style="1"/>
    <col min="4353" max="4353" width="8.81640625" style="1" customWidth="1"/>
    <col min="4354" max="4354" width="60.26953125" style="1" customWidth="1"/>
    <col min="4355" max="4357" width="0" style="1" hidden="1" customWidth="1"/>
    <col min="4358" max="4358" width="13.26953125" style="1" customWidth="1"/>
    <col min="4359" max="4360" width="10.26953125" style="1" customWidth="1"/>
    <col min="4361" max="4361" width="10.453125" style="1" customWidth="1"/>
    <col min="4362" max="4365" width="0" style="1" hidden="1" customWidth="1"/>
    <col min="4366" max="4366" width="22.1796875" style="1" customWidth="1"/>
    <col min="4367" max="4368" width="0" style="1" hidden="1" customWidth="1"/>
    <col min="4369" max="4376" width="9.1796875" style="1" customWidth="1"/>
    <col min="4377" max="4608" width="9.1796875" style="1"/>
    <col min="4609" max="4609" width="8.81640625" style="1" customWidth="1"/>
    <col min="4610" max="4610" width="60.26953125" style="1" customWidth="1"/>
    <col min="4611" max="4613" width="0" style="1" hidden="1" customWidth="1"/>
    <col min="4614" max="4614" width="13.26953125" style="1" customWidth="1"/>
    <col min="4615" max="4616" width="10.26953125" style="1" customWidth="1"/>
    <col min="4617" max="4617" width="10.453125" style="1" customWidth="1"/>
    <col min="4618" max="4621" width="0" style="1" hidden="1" customWidth="1"/>
    <col min="4622" max="4622" width="22.1796875" style="1" customWidth="1"/>
    <col min="4623" max="4624" width="0" style="1" hidden="1" customWidth="1"/>
    <col min="4625" max="4632" width="9.1796875" style="1" customWidth="1"/>
    <col min="4633" max="4864" width="9.1796875" style="1"/>
    <col min="4865" max="4865" width="8.81640625" style="1" customWidth="1"/>
    <col min="4866" max="4866" width="60.26953125" style="1" customWidth="1"/>
    <col min="4867" max="4869" width="0" style="1" hidden="1" customWidth="1"/>
    <col min="4870" max="4870" width="13.26953125" style="1" customWidth="1"/>
    <col min="4871" max="4872" width="10.26953125" style="1" customWidth="1"/>
    <col min="4873" max="4873" width="10.453125" style="1" customWidth="1"/>
    <col min="4874" max="4877" width="0" style="1" hidden="1" customWidth="1"/>
    <col min="4878" max="4878" width="22.1796875" style="1" customWidth="1"/>
    <col min="4879" max="4880" width="0" style="1" hidden="1" customWidth="1"/>
    <col min="4881" max="4888" width="9.1796875" style="1" customWidth="1"/>
    <col min="4889" max="5120" width="9.1796875" style="1"/>
    <col min="5121" max="5121" width="8.81640625" style="1" customWidth="1"/>
    <col min="5122" max="5122" width="60.26953125" style="1" customWidth="1"/>
    <col min="5123" max="5125" width="0" style="1" hidden="1" customWidth="1"/>
    <col min="5126" max="5126" width="13.26953125" style="1" customWidth="1"/>
    <col min="5127" max="5128" width="10.26953125" style="1" customWidth="1"/>
    <col min="5129" max="5129" width="10.453125" style="1" customWidth="1"/>
    <col min="5130" max="5133" width="0" style="1" hidden="1" customWidth="1"/>
    <col min="5134" max="5134" width="22.1796875" style="1" customWidth="1"/>
    <col min="5135" max="5136" width="0" style="1" hidden="1" customWidth="1"/>
    <col min="5137" max="5144" width="9.1796875" style="1" customWidth="1"/>
    <col min="5145" max="5376" width="9.1796875" style="1"/>
    <col min="5377" max="5377" width="8.81640625" style="1" customWidth="1"/>
    <col min="5378" max="5378" width="60.26953125" style="1" customWidth="1"/>
    <col min="5379" max="5381" width="0" style="1" hidden="1" customWidth="1"/>
    <col min="5382" max="5382" width="13.26953125" style="1" customWidth="1"/>
    <col min="5383" max="5384" width="10.26953125" style="1" customWidth="1"/>
    <col min="5385" max="5385" width="10.453125" style="1" customWidth="1"/>
    <col min="5386" max="5389" width="0" style="1" hidden="1" customWidth="1"/>
    <col min="5390" max="5390" width="22.1796875" style="1" customWidth="1"/>
    <col min="5391" max="5392" width="0" style="1" hidden="1" customWidth="1"/>
    <col min="5393" max="5400" width="9.1796875" style="1" customWidth="1"/>
    <col min="5401" max="5632" width="9.1796875" style="1"/>
    <col min="5633" max="5633" width="8.81640625" style="1" customWidth="1"/>
    <col min="5634" max="5634" width="60.26953125" style="1" customWidth="1"/>
    <col min="5635" max="5637" width="0" style="1" hidden="1" customWidth="1"/>
    <col min="5638" max="5638" width="13.26953125" style="1" customWidth="1"/>
    <col min="5639" max="5640" width="10.26953125" style="1" customWidth="1"/>
    <col min="5641" max="5641" width="10.453125" style="1" customWidth="1"/>
    <col min="5642" max="5645" width="0" style="1" hidden="1" customWidth="1"/>
    <col min="5646" max="5646" width="22.1796875" style="1" customWidth="1"/>
    <col min="5647" max="5648" width="0" style="1" hidden="1" customWidth="1"/>
    <col min="5649" max="5656" width="9.1796875" style="1" customWidth="1"/>
    <col min="5657" max="5888" width="9.1796875" style="1"/>
    <col min="5889" max="5889" width="8.81640625" style="1" customWidth="1"/>
    <col min="5890" max="5890" width="60.26953125" style="1" customWidth="1"/>
    <col min="5891" max="5893" width="0" style="1" hidden="1" customWidth="1"/>
    <col min="5894" max="5894" width="13.26953125" style="1" customWidth="1"/>
    <col min="5895" max="5896" width="10.26953125" style="1" customWidth="1"/>
    <col min="5897" max="5897" width="10.453125" style="1" customWidth="1"/>
    <col min="5898" max="5901" width="0" style="1" hidden="1" customWidth="1"/>
    <col min="5902" max="5902" width="22.1796875" style="1" customWidth="1"/>
    <col min="5903" max="5904" width="0" style="1" hidden="1" customWidth="1"/>
    <col min="5905" max="5912" width="9.1796875" style="1" customWidth="1"/>
    <col min="5913" max="6144" width="9.1796875" style="1"/>
    <col min="6145" max="6145" width="8.81640625" style="1" customWidth="1"/>
    <col min="6146" max="6146" width="60.26953125" style="1" customWidth="1"/>
    <col min="6147" max="6149" width="0" style="1" hidden="1" customWidth="1"/>
    <col min="6150" max="6150" width="13.26953125" style="1" customWidth="1"/>
    <col min="6151" max="6152" width="10.26953125" style="1" customWidth="1"/>
    <col min="6153" max="6153" width="10.453125" style="1" customWidth="1"/>
    <col min="6154" max="6157" width="0" style="1" hidden="1" customWidth="1"/>
    <col min="6158" max="6158" width="22.1796875" style="1" customWidth="1"/>
    <col min="6159" max="6160" width="0" style="1" hidden="1" customWidth="1"/>
    <col min="6161" max="6168" width="9.1796875" style="1" customWidth="1"/>
    <col min="6169" max="6400" width="9.1796875" style="1"/>
    <col min="6401" max="6401" width="8.81640625" style="1" customWidth="1"/>
    <col min="6402" max="6402" width="60.26953125" style="1" customWidth="1"/>
    <col min="6403" max="6405" width="0" style="1" hidden="1" customWidth="1"/>
    <col min="6406" max="6406" width="13.26953125" style="1" customWidth="1"/>
    <col min="6407" max="6408" width="10.26953125" style="1" customWidth="1"/>
    <col min="6409" max="6409" width="10.453125" style="1" customWidth="1"/>
    <col min="6410" max="6413" width="0" style="1" hidden="1" customWidth="1"/>
    <col min="6414" max="6414" width="22.1796875" style="1" customWidth="1"/>
    <col min="6415" max="6416" width="0" style="1" hidden="1" customWidth="1"/>
    <col min="6417" max="6424" width="9.1796875" style="1" customWidth="1"/>
    <col min="6425" max="6656" width="9.1796875" style="1"/>
    <col min="6657" max="6657" width="8.81640625" style="1" customWidth="1"/>
    <col min="6658" max="6658" width="60.26953125" style="1" customWidth="1"/>
    <col min="6659" max="6661" width="0" style="1" hidden="1" customWidth="1"/>
    <col min="6662" max="6662" width="13.26953125" style="1" customWidth="1"/>
    <col min="6663" max="6664" width="10.26953125" style="1" customWidth="1"/>
    <col min="6665" max="6665" width="10.453125" style="1" customWidth="1"/>
    <col min="6666" max="6669" width="0" style="1" hidden="1" customWidth="1"/>
    <col min="6670" max="6670" width="22.1796875" style="1" customWidth="1"/>
    <col min="6671" max="6672" width="0" style="1" hidden="1" customWidth="1"/>
    <col min="6673" max="6680" width="9.1796875" style="1" customWidth="1"/>
    <col min="6681" max="6912" width="9.1796875" style="1"/>
    <col min="6913" max="6913" width="8.81640625" style="1" customWidth="1"/>
    <col min="6914" max="6914" width="60.26953125" style="1" customWidth="1"/>
    <col min="6915" max="6917" width="0" style="1" hidden="1" customWidth="1"/>
    <col min="6918" max="6918" width="13.26953125" style="1" customWidth="1"/>
    <col min="6919" max="6920" width="10.26953125" style="1" customWidth="1"/>
    <col min="6921" max="6921" width="10.453125" style="1" customWidth="1"/>
    <col min="6922" max="6925" width="0" style="1" hidden="1" customWidth="1"/>
    <col min="6926" max="6926" width="22.1796875" style="1" customWidth="1"/>
    <col min="6927" max="6928" width="0" style="1" hidden="1" customWidth="1"/>
    <col min="6929" max="6936" width="9.1796875" style="1" customWidth="1"/>
    <col min="6937" max="7168" width="9.1796875" style="1"/>
    <col min="7169" max="7169" width="8.81640625" style="1" customWidth="1"/>
    <col min="7170" max="7170" width="60.26953125" style="1" customWidth="1"/>
    <col min="7171" max="7173" width="0" style="1" hidden="1" customWidth="1"/>
    <col min="7174" max="7174" width="13.26953125" style="1" customWidth="1"/>
    <col min="7175" max="7176" width="10.26953125" style="1" customWidth="1"/>
    <col min="7177" max="7177" width="10.453125" style="1" customWidth="1"/>
    <col min="7178" max="7181" width="0" style="1" hidden="1" customWidth="1"/>
    <col min="7182" max="7182" width="22.1796875" style="1" customWidth="1"/>
    <col min="7183" max="7184" width="0" style="1" hidden="1" customWidth="1"/>
    <col min="7185" max="7192" width="9.1796875" style="1" customWidth="1"/>
    <col min="7193" max="7424" width="9.1796875" style="1"/>
    <col min="7425" max="7425" width="8.81640625" style="1" customWidth="1"/>
    <col min="7426" max="7426" width="60.26953125" style="1" customWidth="1"/>
    <col min="7427" max="7429" width="0" style="1" hidden="1" customWidth="1"/>
    <col min="7430" max="7430" width="13.26953125" style="1" customWidth="1"/>
    <col min="7431" max="7432" width="10.26953125" style="1" customWidth="1"/>
    <col min="7433" max="7433" width="10.453125" style="1" customWidth="1"/>
    <col min="7434" max="7437" width="0" style="1" hidden="1" customWidth="1"/>
    <col min="7438" max="7438" width="22.1796875" style="1" customWidth="1"/>
    <col min="7439" max="7440" width="0" style="1" hidden="1" customWidth="1"/>
    <col min="7441" max="7448" width="9.1796875" style="1" customWidth="1"/>
    <col min="7449" max="7680" width="9.1796875" style="1"/>
    <col min="7681" max="7681" width="8.81640625" style="1" customWidth="1"/>
    <col min="7682" max="7682" width="60.26953125" style="1" customWidth="1"/>
    <col min="7683" max="7685" width="0" style="1" hidden="1" customWidth="1"/>
    <col min="7686" max="7686" width="13.26953125" style="1" customWidth="1"/>
    <col min="7687" max="7688" width="10.26953125" style="1" customWidth="1"/>
    <col min="7689" max="7689" width="10.453125" style="1" customWidth="1"/>
    <col min="7690" max="7693" width="0" style="1" hidden="1" customWidth="1"/>
    <col min="7694" max="7694" width="22.1796875" style="1" customWidth="1"/>
    <col min="7695" max="7696" width="0" style="1" hidden="1" customWidth="1"/>
    <col min="7697" max="7704" width="9.1796875" style="1" customWidth="1"/>
    <col min="7705" max="7936" width="9.1796875" style="1"/>
    <col min="7937" max="7937" width="8.81640625" style="1" customWidth="1"/>
    <col min="7938" max="7938" width="60.26953125" style="1" customWidth="1"/>
    <col min="7939" max="7941" width="0" style="1" hidden="1" customWidth="1"/>
    <col min="7942" max="7942" width="13.26953125" style="1" customWidth="1"/>
    <col min="7943" max="7944" width="10.26953125" style="1" customWidth="1"/>
    <col min="7945" max="7945" width="10.453125" style="1" customWidth="1"/>
    <col min="7946" max="7949" width="0" style="1" hidden="1" customWidth="1"/>
    <col min="7950" max="7950" width="22.1796875" style="1" customWidth="1"/>
    <col min="7951" max="7952" width="0" style="1" hidden="1" customWidth="1"/>
    <col min="7953" max="7960" width="9.1796875" style="1" customWidth="1"/>
    <col min="7961" max="8192" width="9.1796875" style="1"/>
    <col min="8193" max="8193" width="8.81640625" style="1" customWidth="1"/>
    <col min="8194" max="8194" width="60.26953125" style="1" customWidth="1"/>
    <col min="8195" max="8197" width="0" style="1" hidden="1" customWidth="1"/>
    <col min="8198" max="8198" width="13.26953125" style="1" customWidth="1"/>
    <col min="8199" max="8200" width="10.26953125" style="1" customWidth="1"/>
    <col min="8201" max="8201" width="10.453125" style="1" customWidth="1"/>
    <col min="8202" max="8205" width="0" style="1" hidden="1" customWidth="1"/>
    <col min="8206" max="8206" width="22.1796875" style="1" customWidth="1"/>
    <col min="8207" max="8208" width="0" style="1" hidden="1" customWidth="1"/>
    <col min="8209" max="8216" width="9.1796875" style="1" customWidth="1"/>
    <col min="8217" max="8448" width="9.1796875" style="1"/>
    <col min="8449" max="8449" width="8.81640625" style="1" customWidth="1"/>
    <col min="8450" max="8450" width="60.26953125" style="1" customWidth="1"/>
    <col min="8451" max="8453" width="0" style="1" hidden="1" customWidth="1"/>
    <col min="8454" max="8454" width="13.26953125" style="1" customWidth="1"/>
    <col min="8455" max="8456" width="10.26953125" style="1" customWidth="1"/>
    <col min="8457" max="8457" width="10.453125" style="1" customWidth="1"/>
    <col min="8458" max="8461" width="0" style="1" hidden="1" customWidth="1"/>
    <col min="8462" max="8462" width="22.1796875" style="1" customWidth="1"/>
    <col min="8463" max="8464" width="0" style="1" hidden="1" customWidth="1"/>
    <col min="8465" max="8472" width="9.1796875" style="1" customWidth="1"/>
    <col min="8473" max="8704" width="9.1796875" style="1"/>
    <col min="8705" max="8705" width="8.81640625" style="1" customWidth="1"/>
    <col min="8706" max="8706" width="60.26953125" style="1" customWidth="1"/>
    <col min="8707" max="8709" width="0" style="1" hidden="1" customWidth="1"/>
    <col min="8710" max="8710" width="13.26953125" style="1" customWidth="1"/>
    <col min="8711" max="8712" width="10.26953125" style="1" customWidth="1"/>
    <col min="8713" max="8713" width="10.453125" style="1" customWidth="1"/>
    <col min="8714" max="8717" width="0" style="1" hidden="1" customWidth="1"/>
    <col min="8718" max="8718" width="22.1796875" style="1" customWidth="1"/>
    <col min="8719" max="8720" width="0" style="1" hidden="1" customWidth="1"/>
    <col min="8721" max="8728" width="9.1796875" style="1" customWidth="1"/>
    <col min="8729" max="8960" width="9.1796875" style="1"/>
    <col min="8961" max="8961" width="8.81640625" style="1" customWidth="1"/>
    <col min="8962" max="8962" width="60.26953125" style="1" customWidth="1"/>
    <col min="8963" max="8965" width="0" style="1" hidden="1" customWidth="1"/>
    <col min="8966" max="8966" width="13.26953125" style="1" customWidth="1"/>
    <col min="8967" max="8968" width="10.26953125" style="1" customWidth="1"/>
    <col min="8969" max="8969" width="10.453125" style="1" customWidth="1"/>
    <col min="8970" max="8973" width="0" style="1" hidden="1" customWidth="1"/>
    <col min="8974" max="8974" width="22.1796875" style="1" customWidth="1"/>
    <col min="8975" max="8976" width="0" style="1" hidden="1" customWidth="1"/>
    <col min="8977" max="8984" width="9.1796875" style="1" customWidth="1"/>
    <col min="8985" max="9216" width="9.1796875" style="1"/>
    <col min="9217" max="9217" width="8.81640625" style="1" customWidth="1"/>
    <col min="9218" max="9218" width="60.26953125" style="1" customWidth="1"/>
    <col min="9219" max="9221" width="0" style="1" hidden="1" customWidth="1"/>
    <col min="9222" max="9222" width="13.26953125" style="1" customWidth="1"/>
    <col min="9223" max="9224" width="10.26953125" style="1" customWidth="1"/>
    <col min="9225" max="9225" width="10.453125" style="1" customWidth="1"/>
    <col min="9226" max="9229" width="0" style="1" hidden="1" customWidth="1"/>
    <col min="9230" max="9230" width="22.1796875" style="1" customWidth="1"/>
    <col min="9231" max="9232" width="0" style="1" hidden="1" customWidth="1"/>
    <col min="9233" max="9240" width="9.1796875" style="1" customWidth="1"/>
    <col min="9241" max="9472" width="9.1796875" style="1"/>
    <col min="9473" max="9473" width="8.81640625" style="1" customWidth="1"/>
    <col min="9474" max="9474" width="60.26953125" style="1" customWidth="1"/>
    <col min="9475" max="9477" width="0" style="1" hidden="1" customWidth="1"/>
    <col min="9478" max="9478" width="13.26953125" style="1" customWidth="1"/>
    <col min="9479" max="9480" width="10.26953125" style="1" customWidth="1"/>
    <col min="9481" max="9481" width="10.453125" style="1" customWidth="1"/>
    <col min="9482" max="9485" width="0" style="1" hidden="1" customWidth="1"/>
    <col min="9486" max="9486" width="22.1796875" style="1" customWidth="1"/>
    <col min="9487" max="9488" width="0" style="1" hidden="1" customWidth="1"/>
    <col min="9489" max="9496" width="9.1796875" style="1" customWidth="1"/>
    <col min="9497" max="9728" width="9.1796875" style="1"/>
    <col min="9729" max="9729" width="8.81640625" style="1" customWidth="1"/>
    <col min="9730" max="9730" width="60.26953125" style="1" customWidth="1"/>
    <col min="9731" max="9733" width="0" style="1" hidden="1" customWidth="1"/>
    <col min="9734" max="9734" width="13.26953125" style="1" customWidth="1"/>
    <col min="9735" max="9736" width="10.26953125" style="1" customWidth="1"/>
    <col min="9737" max="9737" width="10.453125" style="1" customWidth="1"/>
    <col min="9738" max="9741" width="0" style="1" hidden="1" customWidth="1"/>
    <col min="9742" max="9742" width="22.1796875" style="1" customWidth="1"/>
    <col min="9743" max="9744" width="0" style="1" hidden="1" customWidth="1"/>
    <col min="9745" max="9752" width="9.1796875" style="1" customWidth="1"/>
    <col min="9753" max="9984" width="9.1796875" style="1"/>
    <col min="9985" max="9985" width="8.81640625" style="1" customWidth="1"/>
    <col min="9986" max="9986" width="60.26953125" style="1" customWidth="1"/>
    <col min="9987" max="9989" width="0" style="1" hidden="1" customWidth="1"/>
    <col min="9990" max="9990" width="13.26953125" style="1" customWidth="1"/>
    <col min="9991" max="9992" width="10.26953125" style="1" customWidth="1"/>
    <col min="9993" max="9993" width="10.453125" style="1" customWidth="1"/>
    <col min="9994" max="9997" width="0" style="1" hidden="1" customWidth="1"/>
    <col min="9998" max="9998" width="22.1796875" style="1" customWidth="1"/>
    <col min="9999" max="10000" width="0" style="1" hidden="1" customWidth="1"/>
    <col min="10001" max="10008" width="9.1796875" style="1" customWidth="1"/>
    <col min="10009" max="10240" width="9.1796875" style="1"/>
    <col min="10241" max="10241" width="8.81640625" style="1" customWidth="1"/>
    <col min="10242" max="10242" width="60.26953125" style="1" customWidth="1"/>
    <col min="10243" max="10245" width="0" style="1" hidden="1" customWidth="1"/>
    <col min="10246" max="10246" width="13.26953125" style="1" customWidth="1"/>
    <col min="10247" max="10248" width="10.26953125" style="1" customWidth="1"/>
    <col min="10249" max="10249" width="10.453125" style="1" customWidth="1"/>
    <col min="10250" max="10253" width="0" style="1" hidden="1" customWidth="1"/>
    <col min="10254" max="10254" width="22.1796875" style="1" customWidth="1"/>
    <col min="10255" max="10256" width="0" style="1" hidden="1" customWidth="1"/>
    <col min="10257" max="10264" width="9.1796875" style="1" customWidth="1"/>
    <col min="10265" max="10496" width="9.1796875" style="1"/>
    <col min="10497" max="10497" width="8.81640625" style="1" customWidth="1"/>
    <col min="10498" max="10498" width="60.26953125" style="1" customWidth="1"/>
    <col min="10499" max="10501" width="0" style="1" hidden="1" customWidth="1"/>
    <col min="10502" max="10502" width="13.26953125" style="1" customWidth="1"/>
    <col min="10503" max="10504" width="10.26953125" style="1" customWidth="1"/>
    <col min="10505" max="10505" width="10.453125" style="1" customWidth="1"/>
    <col min="10506" max="10509" width="0" style="1" hidden="1" customWidth="1"/>
    <col min="10510" max="10510" width="22.1796875" style="1" customWidth="1"/>
    <col min="10511" max="10512" width="0" style="1" hidden="1" customWidth="1"/>
    <col min="10513" max="10520" width="9.1796875" style="1" customWidth="1"/>
    <col min="10521" max="10752" width="9.1796875" style="1"/>
    <col min="10753" max="10753" width="8.81640625" style="1" customWidth="1"/>
    <col min="10754" max="10754" width="60.26953125" style="1" customWidth="1"/>
    <col min="10755" max="10757" width="0" style="1" hidden="1" customWidth="1"/>
    <col min="10758" max="10758" width="13.26953125" style="1" customWidth="1"/>
    <col min="10759" max="10760" width="10.26953125" style="1" customWidth="1"/>
    <col min="10761" max="10761" width="10.453125" style="1" customWidth="1"/>
    <col min="10762" max="10765" width="0" style="1" hidden="1" customWidth="1"/>
    <col min="10766" max="10766" width="22.1796875" style="1" customWidth="1"/>
    <col min="10767" max="10768" width="0" style="1" hidden="1" customWidth="1"/>
    <col min="10769" max="10776" width="9.1796875" style="1" customWidth="1"/>
    <col min="10777" max="11008" width="9.1796875" style="1"/>
    <col min="11009" max="11009" width="8.81640625" style="1" customWidth="1"/>
    <col min="11010" max="11010" width="60.26953125" style="1" customWidth="1"/>
    <col min="11011" max="11013" width="0" style="1" hidden="1" customWidth="1"/>
    <col min="11014" max="11014" width="13.26953125" style="1" customWidth="1"/>
    <col min="11015" max="11016" width="10.26953125" style="1" customWidth="1"/>
    <col min="11017" max="11017" width="10.453125" style="1" customWidth="1"/>
    <col min="11018" max="11021" width="0" style="1" hidden="1" customWidth="1"/>
    <col min="11022" max="11022" width="22.1796875" style="1" customWidth="1"/>
    <col min="11023" max="11024" width="0" style="1" hidden="1" customWidth="1"/>
    <col min="11025" max="11032" width="9.1796875" style="1" customWidth="1"/>
    <col min="11033" max="11264" width="9.1796875" style="1"/>
    <col min="11265" max="11265" width="8.81640625" style="1" customWidth="1"/>
    <col min="11266" max="11266" width="60.26953125" style="1" customWidth="1"/>
    <col min="11267" max="11269" width="0" style="1" hidden="1" customWidth="1"/>
    <col min="11270" max="11270" width="13.26953125" style="1" customWidth="1"/>
    <col min="11271" max="11272" width="10.26953125" style="1" customWidth="1"/>
    <col min="11273" max="11273" width="10.453125" style="1" customWidth="1"/>
    <col min="11274" max="11277" width="0" style="1" hidden="1" customWidth="1"/>
    <col min="11278" max="11278" width="22.1796875" style="1" customWidth="1"/>
    <col min="11279" max="11280" width="0" style="1" hidden="1" customWidth="1"/>
    <col min="11281" max="11288" width="9.1796875" style="1" customWidth="1"/>
    <col min="11289" max="11520" width="9.1796875" style="1"/>
    <col min="11521" max="11521" width="8.81640625" style="1" customWidth="1"/>
    <col min="11522" max="11522" width="60.26953125" style="1" customWidth="1"/>
    <col min="11523" max="11525" width="0" style="1" hidden="1" customWidth="1"/>
    <col min="11526" max="11526" width="13.26953125" style="1" customWidth="1"/>
    <col min="11527" max="11528" width="10.26953125" style="1" customWidth="1"/>
    <col min="11529" max="11529" width="10.453125" style="1" customWidth="1"/>
    <col min="11530" max="11533" width="0" style="1" hidden="1" customWidth="1"/>
    <col min="11534" max="11534" width="22.1796875" style="1" customWidth="1"/>
    <col min="11535" max="11536" width="0" style="1" hidden="1" customWidth="1"/>
    <col min="11537" max="11544" width="9.1796875" style="1" customWidth="1"/>
    <col min="11545" max="11776" width="9.1796875" style="1"/>
    <col min="11777" max="11777" width="8.81640625" style="1" customWidth="1"/>
    <col min="11778" max="11778" width="60.26953125" style="1" customWidth="1"/>
    <col min="11779" max="11781" width="0" style="1" hidden="1" customWidth="1"/>
    <col min="11782" max="11782" width="13.26953125" style="1" customWidth="1"/>
    <col min="11783" max="11784" width="10.26953125" style="1" customWidth="1"/>
    <col min="11785" max="11785" width="10.453125" style="1" customWidth="1"/>
    <col min="11786" max="11789" width="0" style="1" hidden="1" customWidth="1"/>
    <col min="11790" max="11790" width="22.1796875" style="1" customWidth="1"/>
    <col min="11791" max="11792" width="0" style="1" hidden="1" customWidth="1"/>
    <col min="11793" max="11800" width="9.1796875" style="1" customWidth="1"/>
    <col min="11801" max="12032" width="9.1796875" style="1"/>
    <col min="12033" max="12033" width="8.81640625" style="1" customWidth="1"/>
    <col min="12034" max="12034" width="60.26953125" style="1" customWidth="1"/>
    <col min="12035" max="12037" width="0" style="1" hidden="1" customWidth="1"/>
    <col min="12038" max="12038" width="13.26953125" style="1" customWidth="1"/>
    <col min="12039" max="12040" width="10.26953125" style="1" customWidth="1"/>
    <col min="12041" max="12041" width="10.453125" style="1" customWidth="1"/>
    <col min="12042" max="12045" width="0" style="1" hidden="1" customWidth="1"/>
    <col min="12046" max="12046" width="22.1796875" style="1" customWidth="1"/>
    <col min="12047" max="12048" width="0" style="1" hidden="1" customWidth="1"/>
    <col min="12049" max="12056" width="9.1796875" style="1" customWidth="1"/>
    <col min="12057" max="12288" width="9.1796875" style="1"/>
    <col min="12289" max="12289" width="8.81640625" style="1" customWidth="1"/>
    <col min="12290" max="12290" width="60.26953125" style="1" customWidth="1"/>
    <col min="12291" max="12293" width="0" style="1" hidden="1" customWidth="1"/>
    <col min="12294" max="12294" width="13.26953125" style="1" customWidth="1"/>
    <col min="12295" max="12296" width="10.26953125" style="1" customWidth="1"/>
    <col min="12297" max="12297" width="10.453125" style="1" customWidth="1"/>
    <col min="12298" max="12301" width="0" style="1" hidden="1" customWidth="1"/>
    <col min="12302" max="12302" width="22.1796875" style="1" customWidth="1"/>
    <col min="12303" max="12304" width="0" style="1" hidden="1" customWidth="1"/>
    <col min="12305" max="12312" width="9.1796875" style="1" customWidth="1"/>
    <col min="12313" max="12544" width="9.1796875" style="1"/>
    <col min="12545" max="12545" width="8.81640625" style="1" customWidth="1"/>
    <col min="12546" max="12546" width="60.26953125" style="1" customWidth="1"/>
    <col min="12547" max="12549" width="0" style="1" hidden="1" customWidth="1"/>
    <col min="12550" max="12550" width="13.26953125" style="1" customWidth="1"/>
    <col min="12551" max="12552" width="10.26953125" style="1" customWidth="1"/>
    <col min="12553" max="12553" width="10.453125" style="1" customWidth="1"/>
    <col min="12554" max="12557" width="0" style="1" hidden="1" customWidth="1"/>
    <col min="12558" max="12558" width="22.1796875" style="1" customWidth="1"/>
    <col min="12559" max="12560" width="0" style="1" hidden="1" customWidth="1"/>
    <col min="12561" max="12568" width="9.1796875" style="1" customWidth="1"/>
    <col min="12569" max="12800" width="9.1796875" style="1"/>
    <col min="12801" max="12801" width="8.81640625" style="1" customWidth="1"/>
    <col min="12802" max="12802" width="60.26953125" style="1" customWidth="1"/>
    <col min="12803" max="12805" width="0" style="1" hidden="1" customWidth="1"/>
    <col min="12806" max="12806" width="13.26953125" style="1" customWidth="1"/>
    <col min="12807" max="12808" width="10.26953125" style="1" customWidth="1"/>
    <col min="12809" max="12809" width="10.453125" style="1" customWidth="1"/>
    <col min="12810" max="12813" width="0" style="1" hidden="1" customWidth="1"/>
    <col min="12814" max="12814" width="22.1796875" style="1" customWidth="1"/>
    <col min="12815" max="12816" width="0" style="1" hidden="1" customWidth="1"/>
    <col min="12817" max="12824" width="9.1796875" style="1" customWidth="1"/>
    <col min="12825" max="13056" width="9.1796875" style="1"/>
    <col min="13057" max="13057" width="8.81640625" style="1" customWidth="1"/>
    <col min="13058" max="13058" width="60.26953125" style="1" customWidth="1"/>
    <col min="13059" max="13061" width="0" style="1" hidden="1" customWidth="1"/>
    <col min="13062" max="13062" width="13.26953125" style="1" customWidth="1"/>
    <col min="13063" max="13064" width="10.26953125" style="1" customWidth="1"/>
    <col min="13065" max="13065" width="10.453125" style="1" customWidth="1"/>
    <col min="13066" max="13069" width="0" style="1" hidden="1" customWidth="1"/>
    <col min="13070" max="13070" width="22.1796875" style="1" customWidth="1"/>
    <col min="13071" max="13072" width="0" style="1" hidden="1" customWidth="1"/>
    <col min="13073" max="13080" width="9.1796875" style="1" customWidth="1"/>
    <col min="13081" max="13312" width="9.1796875" style="1"/>
    <col min="13313" max="13313" width="8.81640625" style="1" customWidth="1"/>
    <col min="13314" max="13314" width="60.26953125" style="1" customWidth="1"/>
    <col min="13315" max="13317" width="0" style="1" hidden="1" customWidth="1"/>
    <col min="13318" max="13318" width="13.26953125" style="1" customWidth="1"/>
    <col min="13319" max="13320" width="10.26953125" style="1" customWidth="1"/>
    <col min="13321" max="13321" width="10.453125" style="1" customWidth="1"/>
    <col min="13322" max="13325" width="0" style="1" hidden="1" customWidth="1"/>
    <col min="13326" max="13326" width="22.1796875" style="1" customWidth="1"/>
    <col min="13327" max="13328" width="0" style="1" hidden="1" customWidth="1"/>
    <col min="13329" max="13336" width="9.1796875" style="1" customWidth="1"/>
    <col min="13337" max="13568" width="9.1796875" style="1"/>
    <col min="13569" max="13569" width="8.81640625" style="1" customWidth="1"/>
    <col min="13570" max="13570" width="60.26953125" style="1" customWidth="1"/>
    <col min="13571" max="13573" width="0" style="1" hidden="1" customWidth="1"/>
    <col min="13574" max="13574" width="13.26953125" style="1" customWidth="1"/>
    <col min="13575" max="13576" width="10.26953125" style="1" customWidth="1"/>
    <col min="13577" max="13577" width="10.453125" style="1" customWidth="1"/>
    <col min="13578" max="13581" width="0" style="1" hidden="1" customWidth="1"/>
    <col min="13582" max="13582" width="22.1796875" style="1" customWidth="1"/>
    <col min="13583" max="13584" width="0" style="1" hidden="1" customWidth="1"/>
    <col min="13585" max="13592" width="9.1796875" style="1" customWidth="1"/>
    <col min="13593" max="13824" width="9.1796875" style="1"/>
    <col min="13825" max="13825" width="8.81640625" style="1" customWidth="1"/>
    <col min="13826" max="13826" width="60.26953125" style="1" customWidth="1"/>
    <col min="13827" max="13829" width="0" style="1" hidden="1" customWidth="1"/>
    <col min="13830" max="13830" width="13.26953125" style="1" customWidth="1"/>
    <col min="13831" max="13832" width="10.26953125" style="1" customWidth="1"/>
    <col min="13833" max="13833" width="10.453125" style="1" customWidth="1"/>
    <col min="13834" max="13837" width="0" style="1" hidden="1" customWidth="1"/>
    <col min="13838" max="13838" width="22.1796875" style="1" customWidth="1"/>
    <col min="13839" max="13840" width="0" style="1" hidden="1" customWidth="1"/>
    <col min="13841" max="13848" width="9.1796875" style="1" customWidth="1"/>
    <col min="13849" max="14080" width="9.1796875" style="1"/>
    <col min="14081" max="14081" width="8.81640625" style="1" customWidth="1"/>
    <col min="14082" max="14082" width="60.26953125" style="1" customWidth="1"/>
    <col min="14083" max="14085" width="0" style="1" hidden="1" customWidth="1"/>
    <col min="14086" max="14086" width="13.26953125" style="1" customWidth="1"/>
    <col min="14087" max="14088" width="10.26953125" style="1" customWidth="1"/>
    <col min="14089" max="14089" width="10.453125" style="1" customWidth="1"/>
    <col min="14090" max="14093" width="0" style="1" hidden="1" customWidth="1"/>
    <col min="14094" max="14094" width="22.1796875" style="1" customWidth="1"/>
    <col min="14095" max="14096" width="0" style="1" hidden="1" customWidth="1"/>
    <col min="14097" max="14104" width="9.1796875" style="1" customWidth="1"/>
    <col min="14105" max="14336" width="9.1796875" style="1"/>
    <col min="14337" max="14337" width="8.81640625" style="1" customWidth="1"/>
    <col min="14338" max="14338" width="60.26953125" style="1" customWidth="1"/>
    <col min="14339" max="14341" width="0" style="1" hidden="1" customWidth="1"/>
    <col min="14342" max="14342" width="13.26953125" style="1" customWidth="1"/>
    <col min="14343" max="14344" width="10.26953125" style="1" customWidth="1"/>
    <col min="14345" max="14345" width="10.453125" style="1" customWidth="1"/>
    <col min="14346" max="14349" width="0" style="1" hidden="1" customWidth="1"/>
    <col min="14350" max="14350" width="22.1796875" style="1" customWidth="1"/>
    <col min="14351" max="14352" width="0" style="1" hidden="1" customWidth="1"/>
    <col min="14353" max="14360" width="9.1796875" style="1" customWidth="1"/>
    <col min="14361" max="14592" width="9.1796875" style="1"/>
    <col min="14593" max="14593" width="8.81640625" style="1" customWidth="1"/>
    <col min="14594" max="14594" width="60.26953125" style="1" customWidth="1"/>
    <col min="14595" max="14597" width="0" style="1" hidden="1" customWidth="1"/>
    <col min="14598" max="14598" width="13.26953125" style="1" customWidth="1"/>
    <col min="14599" max="14600" width="10.26953125" style="1" customWidth="1"/>
    <col min="14601" max="14601" width="10.453125" style="1" customWidth="1"/>
    <col min="14602" max="14605" width="0" style="1" hidden="1" customWidth="1"/>
    <col min="14606" max="14606" width="22.1796875" style="1" customWidth="1"/>
    <col min="14607" max="14608" width="0" style="1" hidden="1" customWidth="1"/>
    <col min="14609" max="14616" width="9.1796875" style="1" customWidth="1"/>
    <col min="14617" max="14848" width="9.1796875" style="1"/>
    <col min="14849" max="14849" width="8.81640625" style="1" customWidth="1"/>
    <col min="14850" max="14850" width="60.26953125" style="1" customWidth="1"/>
    <col min="14851" max="14853" width="0" style="1" hidden="1" customWidth="1"/>
    <col min="14854" max="14854" width="13.26953125" style="1" customWidth="1"/>
    <col min="14855" max="14856" width="10.26953125" style="1" customWidth="1"/>
    <col min="14857" max="14857" width="10.453125" style="1" customWidth="1"/>
    <col min="14858" max="14861" width="0" style="1" hidden="1" customWidth="1"/>
    <col min="14862" max="14862" width="22.1796875" style="1" customWidth="1"/>
    <col min="14863" max="14864" width="0" style="1" hidden="1" customWidth="1"/>
    <col min="14865" max="14872" width="9.1796875" style="1" customWidth="1"/>
    <col min="14873" max="15104" width="9.1796875" style="1"/>
    <col min="15105" max="15105" width="8.81640625" style="1" customWidth="1"/>
    <col min="15106" max="15106" width="60.26953125" style="1" customWidth="1"/>
    <col min="15107" max="15109" width="0" style="1" hidden="1" customWidth="1"/>
    <col min="15110" max="15110" width="13.26953125" style="1" customWidth="1"/>
    <col min="15111" max="15112" width="10.26953125" style="1" customWidth="1"/>
    <col min="15113" max="15113" width="10.453125" style="1" customWidth="1"/>
    <col min="15114" max="15117" width="0" style="1" hidden="1" customWidth="1"/>
    <col min="15118" max="15118" width="22.1796875" style="1" customWidth="1"/>
    <col min="15119" max="15120" width="0" style="1" hidden="1" customWidth="1"/>
    <col min="15121" max="15128" width="9.1796875" style="1" customWidth="1"/>
    <col min="15129" max="15360" width="9.1796875" style="1"/>
    <col min="15361" max="15361" width="8.81640625" style="1" customWidth="1"/>
    <col min="15362" max="15362" width="60.26953125" style="1" customWidth="1"/>
    <col min="15363" max="15365" width="0" style="1" hidden="1" customWidth="1"/>
    <col min="15366" max="15366" width="13.26953125" style="1" customWidth="1"/>
    <col min="15367" max="15368" width="10.26953125" style="1" customWidth="1"/>
    <col min="15369" max="15369" width="10.453125" style="1" customWidth="1"/>
    <col min="15370" max="15373" width="0" style="1" hidden="1" customWidth="1"/>
    <col min="15374" max="15374" width="22.1796875" style="1" customWidth="1"/>
    <col min="15375" max="15376" width="0" style="1" hidden="1" customWidth="1"/>
    <col min="15377" max="15384" width="9.1796875" style="1" customWidth="1"/>
    <col min="15385" max="15616" width="9.1796875" style="1"/>
    <col min="15617" max="15617" width="8.81640625" style="1" customWidth="1"/>
    <col min="15618" max="15618" width="60.26953125" style="1" customWidth="1"/>
    <col min="15619" max="15621" width="0" style="1" hidden="1" customWidth="1"/>
    <col min="15622" max="15622" width="13.26953125" style="1" customWidth="1"/>
    <col min="15623" max="15624" width="10.26953125" style="1" customWidth="1"/>
    <col min="15625" max="15625" width="10.453125" style="1" customWidth="1"/>
    <col min="15626" max="15629" width="0" style="1" hidden="1" customWidth="1"/>
    <col min="15630" max="15630" width="22.1796875" style="1" customWidth="1"/>
    <col min="15631" max="15632" width="0" style="1" hidden="1" customWidth="1"/>
    <col min="15633" max="15640" width="9.1796875" style="1" customWidth="1"/>
    <col min="15641" max="15872" width="9.1796875" style="1"/>
    <col min="15873" max="15873" width="8.81640625" style="1" customWidth="1"/>
    <col min="15874" max="15874" width="60.26953125" style="1" customWidth="1"/>
    <col min="15875" max="15877" width="0" style="1" hidden="1" customWidth="1"/>
    <col min="15878" max="15878" width="13.26953125" style="1" customWidth="1"/>
    <col min="15879" max="15880" width="10.26953125" style="1" customWidth="1"/>
    <col min="15881" max="15881" width="10.453125" style="1" customWidth="1"/>
    <col min="15882" max="15885" width="0" style="1" hidden="1" customWidth="1"/>
    <col min="15886" max="15886" width="22.1796875" style="1" customWidth="1"/>
    <col min="15887" max="15888" width="0" style="1" hidden="1" customWidth="1"/>
    <col min="15889" max="15896" width="9.1796875" style="1" customWidth="1"/>
    <col min="15897" max="16128" width="9.1796875" style="1"/>
    <col min="16129" max="16129" width="8.81640625" style="1" customWidth="1"/>
    <col min="16130" max="16130" width="60.26953125" style="1" customWidth="1"/>
    <col min="16131" max="16133" width="0" style="1" hidden="1" customWidth="1"/>
    <col min="16134" max="16134" width="13.26953125" style="1" customWidth="1"/>
    <col min="16135" max="16136" width="10.26953125" style="1" customWidth="1"/>
    <col min="16137" max="16137" width="10.453125" style="1" customWidth="1"/>
    <col min="16138" max="16141" width="0" style="1" hidden="1" customWidth="1"/>
    <col min="16142" max="16142" width="22.1796875" style="1" customWidth="1"/>
    <col min="16143" max="16144" width="0" style="1" hidden="1" customWidth="1"/>
    <col min="16145" max="16152" width="9.1796875" style="1" customWidth="1"/>
    <col min="16153" max="16384" width="9.1796875" style="1"/>
  </cols>
  <sheetData>
    <row r="1" spans="1:23" ht="15.5" x14ac:dyDescent="0.35">
      <c r="J1" s="389"/>
      <c r="K1" s="389"/>
      <c r="L1" s="389"/>
      <c r="M1" s="389"/>
      <c r="N1" s="707" t="s">
        <v>822</v>
      </c>
      <c r="O1" s="389"/>
      <c r="P1" s="3162"/>
      <c r="Q1" s="3162"/>
      <c r="R1" s="3162"/>
      <c r="S1" s="3162"/>
      <c r="T1" s="3162"/>
      <c r="U1" s="3162"/>
    </row>
    <row r="2" spans="1:23" ht="15.5" x14ac:dyDescent="0.35">
      <c r="I2" s="3162" t="s">
        <v>450</v>
      </c>
      <c r="J2" s="3162"/>
      <c r="K2" s="3162"/>
      <c r="L2" s="3162"/>
      <c r="M2" s="3162"/>
      <c r="N2" s="3162"/>
      <c r="O2" s="5"/>
      <c r="P2" s="3162"/>
      <c r="Q2" s="3162"/>
      <c r="R2" s="3162"/>
      <c r="S2" s="3162"/>
      <c r="T2" s="3162"/>
      <c r="U2" s="3162"/>
    </row>
    <row r="3" spans="1:23" ht="15.5" x14ac:dyDescent="0.35">
      <c r="C3" s="261"/>
      <c r="D3" s="261"/>
      <c r="E3" s="261"/>
      <c r="F3" s="3162" t="s">
        <v>449</v>
      </c>
      <c r="G3" s="3162"/>
      <c r="H3" s="3162"/>
      <c r="I3" s="3162"/>
      <c r="J3" s="3162"/>
      <c r="K3" s="3162"/>
      <c r="L3" s="3162"/>
      <c r="M3" s="3162"/>
      <c r="N3" s="3162"/>
      <c r="O3" s="261"/>
      <c r="P3" s="261"/>
      <c r="Q3" s="261"/>
      <c r="R3" s="261"/>
      <c r="S3" s="261"/>
      <c r="T3" s="261"/>
      <c r="U3" s="261"/>
    </row>
    <row r="4" spans="1:23" ht="15.5" x14ac:dyDescent="0.35">
      <c r="D4" s="389"/>
      <c r="E4" s="389"/>
      <c r="F4" s="389"/>
      <c r="G4" s="389"/>
      <c r="H4" s="389"/>
      <c r="I4" s="389"/>
      <c r="J4" s="389"/>
      <c r="M4" s="389" t="s">
        <v>448</v>
      </c>
      <c r="N4" s="260" t="s">
        <v>448</v>
      </c>
      <c r="O4" s="260"/>
      <c r="P4" s="3162"/>
      <c r="Q4" s="3162"/>
      <c r="R4" s="3162"/>
      <c r="S4" s="3162"/>
      <c r="T4" s="3162"/>
      <c r="U4" s="3162"/>
    </row>
    <row r="5" spans="1:23" ht="15.5" x14ac:dyDescent="0.25">
      <c r="D5" s="258" t="s">
        <v>447</v>
      </c>
      <c r="E5" s="258"/>
      <c r="F5" s="258"/>
      <c r="G5" s="3164" t="s">
        <v>895</v>
      </c>
      <c r="H5" s="3164"/>
      <c r="I5" s="3164"/>
      <c r="J5" s="3164"/>
      <c r="K5" s="3164"/>
      <c r="L5" s="3164"/>
      <c r="M5" s="3164"/>
      <c r="N5" s="3164"/>
      <c r="O5" s="449"/>
      <c r="P5" s="449"/>
      <c r="Q5" s="449"/>
      <c r="R5" s="449"/>
      <c r="S5" s="449"/>
      <c r="T5" s="449"/>
      <c r="U5" s="449"/>
      <c r="V5" s="449"/>
      <c r="W5" s="449"/>
    </row>
    <row r="6" spans="1:23" ht="13.15" customHeight="1" x14ac:dyDescent="0.25">
      <c r="M6" s="4"/>
      <c r="N6" s="6"/>
      <c r="O6" s="6"/>
      <c r="P6" s="6"/>
      <c r="Q6" s="4"/>
      <c r="R6" s="4"/>
      <c r="S6" s="4"/>
      <c r="T6" s="4"/>
      <c r="U6" s="448"/>
    </row>
    <row r="7" spans="1:23" ht="15.5" hidden="1" x14ac:dyDescent="0.35">
      <c r="B7" s="255"/>
      <c r="E7" s="254"/>
      <c r="F7" s="254"/>
      <c r="G7" s="254"/>
      <c r="H7" s="254"/>
      <c r="I7" s="254"/>
      <c r="M7" s="4"/>
      <c r="N7" s="708" t="s">
        <v>446</v>
      </c>
      <c r="O7" s="255"/>
      <c r="P7" s="255"/>
      <c r="Q7" s="254"/>
      <c r="R7" s="254"/>
      <c r="S7" s="254"/>
      <c r="T7" s="254"/>
      <c r="U7" s="255"/>
    </row>
    <row r="8" spans="1:23" ht="15.5" hidden="1" x14ac:dyDescent="0.35">
      <c r="E8" s="254"/>
      <c r="F8" s="254"/>
      <c r="G8" s="254"/>
      <c r="H8" s="254"/>
      <c r="I8" s="254"/>
      <c r="J8" s="256"/>
      <c r="M8" s="4"/>
      <c r="N8" s="6"/>
      <c r="O8" s="6"/>
      <c r="P8" s="6"/>
      <c r="Q8" s="254"/>
      <c r="R8" s="254"/>
      <c r="S8" s="254"/>
      <c r="T8" s="254"/>
      <c r="U8" s="256"/>
    </row>
    <row r="9" spans="1:23" ht="15.5" hidden="1" x14ac:dyDescent="0.35">
      <c r="B9" s="255"/>
      <c r="E9" s="254"/>
      <c r="F9" s="254"/>
      <c r="G9" s="254"/>
      <c r="H9" s="254"/>
      <c r="I9" s="254"/>
      <c r="M9" s="4"/>
      <c r="N9" s="708" t="s">
        <v>848</v>
      </c>
      <c r="O9" s="255"/>
      <c r="P9" s="255"/>
      <c r="Q9" s="254"/>
      <c r="R9" s="254"/>
      <c r="S9" s="254"/>
      <c r="T9" s="254"/>
      <c r="U9" s="255"/>
    </row>
    <row r="10" spans="1:23" ht="15.5" hidden="1" x14ac:dyDescent="0.35">
      <c r="B10" s="250"/>
      <c r="C10" s="249"/>
      <c r="D10" s="247"/>
      <c r="E10" s="247"/>
      <c r="F10" s="247"/>
      <c r="G10" s="247"/>
      <c r="H10" s="247"/>
      <c r="I10" s="247"/>
      <c r="J10" s="450">
        <v>69983.100000000006</v>
      </c>
      <c r="K10" s="451" t="s">
        <v>444</v>
      </c>
      <c r="L10" s="452">
        <v>72195.899999999994</v>
      </c>
      <c r="M10" s="453">
        <v>73707.5</v>
      </c>
      <c r="N10" s="450">
        <v>69983.100000000006</v>
      </c>
      <c r="O10" s="450">
        <v>69983.100000000006</v>
      </c>
      <c r="P10" s="450">
        <v>69983.100000000006</v>
      </c>
      <c r="Q10" s="251"/>
    </row>
    <row r="11" spans="1:23" ht="13" x14ac:dyDescent="0.3">
      <c r="B11" s="250"/>
      <c r="C11" s="249"/>
      <c r="D11" s="247"/>
      <c r="E11" s="247"/>
      <c r="F11" s="247"/>
      <c r="G11" s="248" t="s">
        <v>442</v>
      </c>
      <c r="H11" s="248"/>
      <c r="I11" s="247"/>
      <c r="J11" s="454">
        <f>J10-J20</f>
        <v>0</v>
      </c>
      <c r="K11" s="451" t="s">
        <v>443</v>
      </c>
      <c r="L11" s="452">
        <v>1804.9</v>
      </c>
      <c r="M11" s="455">
        <v>3685.4</v>
      </c>
      <c r="N11" s="454">
        <f>N10-N20</f>
        <v>0</v>
      </c>
      <c r="O11" s="454">
        <f>O10-O20</f>
        <v>0</v>
      </c>
      <c r="P11" s="454">
        <f>P10-P20</f>
        <v>0</v>
      </c>
    </row>
    <row r="12" spans="1:23" ht="15.5" x14ac:dyDescent="0.3">
      <c r="B12" s="3376"/>
      <c r="C12" s="3376"/>
      <c r="D12" s="3376"/>
      <c r="E12" s="3376"/>
      <c r="F12" s="3376"/>
      <c r="G12" s="3376"/>
      <c r="H12" s="3376"/>
      <c r="I12" s="3376"/>
      <c r="J12" s="3376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N12" s="1"/>
      <c r="O12" s="1"/>
      <c r="P12" s="1"/>
    </row>
    <row r="13" spans="1:23" ht="15.65" customHeight="1" x14ac:dyDescent="0.3">
      <c r="A13" s="239"/>
      <c r="B13" s="456" t="s">
        <v>441</v>
      </c>
      <c r="C13" s="456"/>
      <c r="D13" s="456"/>
      <c r="E13" s="456"/>
      <c r="F13" s="456"/>
      <c r="G13" s="456"/>
      <c r="H13" s="456"/>
      <c r="I13" s="456"/>
      <c r="J13" s="456"/>
      <c r="K13" s="456"/>
      <c r="L13" s="456"/>
      <c r="M13" s="456"/>
      <c r="N13" s="456"/>
      <c r="O13" s="456"/>
      <c r="P13" s="456"/>
    </row>
    <row r="14" spans="1:23" ht="17.5" customHeight="1" x14ac:dyDescent="0.35">
      <c r="A14" s="3385" t="s">
        <v>440</v>
      </c>
      <c r="B14" s="3385"/>
      <c r="C14" s="3385"/>
      <c r="D14" s="3385"/>
      <c r="E14" s="3385"/>
      <c r="F14" s="3385"/>
      <c r="G14" s="3385"/>
      <c r="H14" s="3385"/>
      <c r="I14" s="3385"/>
      <c r="J14" s="3385"/>
      <c r="K14" s="238"/>
      <c r="L14" s="1"/>
      <c r="M14" s="1"/>
      <c r="N14" s="1"/>
      <c r="O14" s="1"/>
      <c r="P14" s="1"/>
    </row>
    <row r="15" spans="1:23" ht="15" customHeight="1" x14ac:dyDescent="0.35">
      <c r="A15" s="3385" t="s">
        <v>439</v>
      </c>
      <c r="B15" s="3385"/>
      <c r="C15" s="3385"/>
      <c r="D15" s="3385"/>
      <c r="E15" s="3385"/>
      <c r="F15" s="3385"/>
      <c r="G15" s="3385"/>
      <c r="H15" s="3385"/>
      <c r="I15" s="3385"/>
      <c r="J15" s="3385"/>
      <c r="K15" s="238"/>
      <c r="L15" s="1"/>
      <c r="M15" s="1"/>
      <c r="N15" s="1"/>
      <c r="O15" s="1"/>
      <c r="P15" s="1"/>
    </row>
    <row r="16" spans="1:23" ht="13.5" customHeight="1" x14ac:dyDescent="0.35">
      <c r="A16" s="457" t="s">
        <v>438</v>
      </c>
      <c r="B16" s="457"/>
      <c r="C16" s="457"/>
      <c r="D16" s="457"/>
      <c r="E16" s="457"/>
      <c r="F16" s="457"/>
      <c r="G16" s="457"/>
      <c r="H16" s="457"/>
      <c r="I16" s="457"/>
      <c r="J16" s="457"/>
      <c r="K16" s="238"/>
      <c r="L16" s="1"/>
      <c r="M16" s="1"/>
      <c r="N16" s="237"/>
      <c r="O16" s="237"/>
      <c r="P16" s="237"/>
    </row>
    <row r="17" spans="1:24" ht="16.149999999999999" customHeight="1" x14ac:dyDescent="0.35">
      <c r="A17" s="3385" t="s">
        <v>896</v>
      </c>
      <c r="B17" s="3385"/>
      <c r="C17" s="3385"/>
      <c r="D17" s="3385"/>
      <c r="E17" s="3385"/>
      <c r="F17" s="3385"/>
      <c r="G17" s="3385"/>
      <c r="H17" s="3385"/>
      <c r="I17" s="3385"/>
      <c r="J17" s="3385"/>
      <c r="K17" s="238"/>
      <c r="L17" s="1"/>
      <c r="M17" s="1"/>
      <c r="N17" s="1"/>
      <c r="O17" s="1"/>
      <c r="P17" s="1"/>
    </row>
    <row r="18" spans="1:24" ht="16" thickBot="1" x14ac:dyDescent="0.4">
      <c r="B18" s="236"/>
      <c r="C18" s="235"/>
      <c r="D18" s="234"/>
      <c r="E18" s="234"/>
      <c r="F18" s="234"/>
      <c r="G18" s="234"/>
      <c r="H18" s="234"/>
      <c r="I18" s="234"/>
      <c r="J18" s="458" t="s">
        <v>437</v>
      </c>
      <c r="K18" s="458"/>
      <c r="L18" s="458"/>
      <c r="M18" s="458"/>
      <c r="N18" s="458" t="s">
        <v>829</v>
      </c>
      <c r="O18" s="458" t="s">
        <v>437</v>
      </c>
      <c r="P18" s="458" t="s">
        <v>437</v>
      </c>
    </row>
    <row r="19" spans="1:24" ht="65" hidden="1" x14ac:dyDescent="0.25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459" t="s">
        <v>319</v>
      </c>
      <c r="K19" s="459"/>
      <c r="L19" s="231" t="s">
        <v>318</v>
      </c>
      <c r="M19" s="231" t="s">
        <v>317</v>
      </c>
      <c r="N19" s="459" t="s">
        <v>319</v>
      </c>
      <c r="O19" s="459" t="s">
        <v>319</v>
      </c>
      <c r="P19" s="459" t="s">
        <v>319</v>
      </c>
    </row>
    <row r="20" spans="1:24" s="83" customFormat="1" ht="15" hidden="1" x14ac:dyDescent="0.3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460">
        <f>J21+J64+J69+J83+J105+J144+J152+J166+J173</f>
        <v>69983.100000000006</v>
      </c>
      <c r="K20" s="461"/>
      <c r="L20" s="460">
        <f>L21+L64+L69+L83+L105+L144+L152+L166+L173</f>
        <v>70391.000180000003</v>
      </c>
      <c r="M20" s="460">
        <f>M21+M64+M69+M83+M105+M144+M152+M166+M173</f>
        <v>70022.0995826</v>
      </c>
      <c r="N20" s="460">
        <f>N21+N64+N69+N83+N105+N144+N152+N166+N173</f>
        <v>69983.100000000006</v>
      </c>
      <c r="O20" s="460">
        <f>O21+O64+O69+O83+O105+O144+O152+O166+O173</f>
        <v>69983.100000000006</v>
      </c>
      <c r="P20" s="460">
        <f>P21+P64+P69+P83+P105+P144+P152+P166+P173</f>
        <v>69983.100000000006</v>
      </c>
      <c r="Q20" s="84"/>
      <c r="R20" s="84"/>
      <c r="S20" s="84"/>
      <c r="T20" s="84"/>
      <c r="U20" s="84"/>
      <c r="V20" s="84"/>
      <c r="W20" s="84"/>
      <c r="X20" s="84"/>
    </row>
    <row r="21" spans="1:24" s="83" customFormat="1" ht="14" hidden="1" x14ac:dyDescent="0.3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462">
        <f>J25+J30+J48+J55+J60</f>
        <v>16206.808000000001</v>
      </c>
      <c r="K21" s="463"/>
      <c r="L21" s="462">
        <f>L25+L30+L48+L55+L60</f>
        <v>16980.082180000001</v>
      </c>
      <c r="M21" s="462">
        <f>M25+M30+M48+M55+M60</f>
        <v>17936.364582600003</v>
      </c>
      <c r="N21" s="462">
        <f>N25+N30+N48+N55+N60</f>
        <v>16206.808000000001</v>
      </c>
      <c r="O21" s="462">
        <f>O25+O30+O48+O55+O60</f>
        <v>16206.808000000001</v>
      </c>
      <c r="P21" s="462">
        <f>P25+P30+P48+P55+P60</f>
        <v>16206.808000000001</v>
      </c>
      <c r="Q21" s="84"/>
      <c r="R21" s="84"/>
      <c r="S21" s="84"/>
      <c r="T21" s="84"/>
      <c r="U21" s="84"/>
      <c r="V21" s="84"/>
      <c r="W21" s="84"/>
      <c r="X21" s="84"/>
    </row>
    <row r="22" spans="1:24" s="83" customFormat="1" ht="26" hidden="1" x14ac:dyDescent="0.3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464"/>
      <c r="K22" s="464"/>
      <c r="L22" s="464"/>
      <c r="M22" s="464"/>
      <c r="N22" s="464"/>
      <c r="O22" s="464"/>
      <c r="P22" s="464"/>
      <c r="Q22" s="84"/>
      <c r="R22" s="84"/>
      <c r="S22" s="84"/>
      <c r="T22" s="84"/>
      <c r="U22" s="84"/>
      <c r="V22" s="84"/>
      <c r="W22" s="84"/>
      <c r="X22" s="84"/>
    </row>
    <row r="23" spans="1:24" s="83" customFormat="1" ht="39" hidden="1" x14ac:dyDescent="0.3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464"/>
      <c r="K23" s="464"/>
      <c r="L23" s="464"/>
      <c r="M23" s="464"/>
      <c r="N23" s="464"/>
      <c r="O23" s="464"/>
      <c r="P23" s="464"/>
      <c r="Q23" s="84"/>
      <c r="R23" s="84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3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464"/>
      <c r="K24" s="464"/>
      <c r="L24" s="464"/>
      <c r="M24" s="464"/>
      <c r="N24" s="464"/>
      <c r="O24" s="464"/>
      <c r="P24" s="464"/>
      <c r="Q24" s="84"/>
      <c r="R24" s="84"/>
      <c r="S24" s="84"/>
      <c r="T24" s="84"/>
      <c r="U24" s="84"/>
      <c r="V24" s="84"/>
      <c r="W24" s="84"/>
      <c r="X24" s="84"/>
    </row>
    <row r="25" spans="1:24" s="83" customFormat="1" ht="39" hidden="1" x14ac:dyDescent="0.3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465">
        <f>J26</f>
        <v>2155.7860000000001</v>
      </c>
      <c r="K25" s="464"/>
      <c r="L25" s="465">
        <f t="shared" ref="L25:P26" si="0">L26</f>
        <v>2285.1331600000003</v>
      </c>
      <c r="M25" s="465">
        <f t="shared" si="0"/>
        <v>2445.0924812000003</v>
      </c>
      <c r="N25" s="465">
        <f t="shared" si="0"/>
        <v>2155.7860000000001</v>
      </c>
      <c r="O25" s="465">
        <f t="shared" si="0"/>
        <v>2155.7860000000001</v>
      </c>
      <c r="P25" s="465">
        <f t="shared" si="0"/>
        <v>2155.7860000000001</v>
      </c>
      <c r="Q25" s="84"/>
      <c r="R25" s="84"/>
      <c r="S25" s="84"/>
      <c r="T25" s="84"/>
      <c r="U25" s="84"/>
      <c r="V25" s="84"/>
      <c r="W25" s="84"/>
      <c r="X25" s="84"/>
    </row>
    <row r="26" spans="1:24" s="83" customFormat="1" ht="39" hidden="1" x14ac:dyDescent="0.3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465">
        <f>J27</f>
        <v>2155.7860000000001</v>
      </c>
      <c r="K26" s="465"/>
      <c r="L26" s="465">
        <f t="shared" si="0"/>
        <v>2285.1331600000003</v>
      </c>
      <c r="M26" s="465">
        <f t="shared" si="0"/>
        <v>2445.0924812000003</v>
      </c>
      <c r="N26" s="465">
        <f t="shared" si="0"/>
        <v>2155.7860000000001</v>
      </c>
      <c r="O26" s="465">
        <f t="shared" si="0"/>
        <v>2155.7860000000001</v>
      </c>
      <c r="P26" s="465">
        <f t="shared" si="0"/>
        <v>2155.7860000000001</v>
      </c>
      <c r="Q26" s="84"/>
      <c r="R26" s="84"/>
      <c r="S26" s="84"/>
      <c r="T26" s="84"/>
      <c r="U26" s="84"/>
      <c r="V26" s="84"/>
      <c r="W26" s="84"/>
      <c r="X26" s="84"/>
    </row>
    <row r="27" spans="1:24" s="83" customFormat="1" ht="22.15" hidden="1" customHeight="1" x14ac:dyDescent="0.3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465">
        <f>J28+J29</f>
        <v>2155.7860000000001</v>
      </c>
      <c r="K27" s="464"/>
      <c r="L27" s="465">
        <f>L28+L29</f>
        <v>2285.1331600000003</v>
      </c>
      <c r="M27" s="465">
        <f>M28+M29</f>
        <v>2445.0924812000003</v>
      </c>
      <c r="N27" s="465">
        <f>N28+N29</f>
        <v>2155.7860000000001</v>
      </c>
      <c r="O27" s="465">
        <f>O28+O29</f>
        <v>2155.7860000000001</v>
      </c>
      <c r="P27" s="465">
        <f>P28+P29</f>
        <v>2155.7860000000001</v>
      </c>
      <c r="Q27" s="84"/>
      <c r="R27" s="84"/>
      <c r="S27" s="84"/>
      <c r="T27" s="84"/>
      <c r="U27" s="84"/>
      <c r="V27" s="84"/>
      <c r="W27" s="84"/>
      <c r="X27" s="84"/>
    </row>
    <row r="28" spans="1:24" s="83" customFormat="1" ht="16.149999999999999" hidden="1" customHeight="1" x14ac:dyDescent="0.3">
      <c r="B28" s="195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466">
        <v>1300.211</v>
      </c>
      <c r="K28" s="465"/>
      <c r="L28" s="467">
        <f>J28*106%</f>
        <v>1378.2236600000001</v>
      </c>
      <c r="M28" s="467">
        <f>L28*107%</f>
        <v>1474.6993162000001</v>
      </c>
      <c r="N28" s="466">
        <v>1300.211</v>
      </c>
      <c r="O28" s="466">
        <v>1300.211</v>
      </c>
      <c r="P28" s="466">
        <v>1300.211</v>
      </c>
      <c r="Q28" s="84"/>
      <c r="R28" s="84"/>
      <c r="S28" s="84"/>
      <c r="T28" s="84"/>
      <c r="U28" s="84"/>
      <c r="V28" s="84"/>
      <c r="W28" s="84"/>
      <c r="X28" s="84"/>
    </row>
    <row r="29" spans="1:24" s="83" customFormat="1" ht="18.649999999999999" hidden="1" customHeight="1" x14ac:dyDescent="0.3">
      <c r="B29" s="195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468">
        <v>855.57500000000005</v>
      </c>
      <c r="K29" s="464"/>
      <c r="L29" s="469">
        <f>J29*106%</f>
        <v>906.90950000000009</v>
      </c>
      <c r="M29" s="469">
        <f>L29*107%</f>
        <v>970.39316500000018</v>
      </c>
      <c r="N29" s="468">
        <v>855.57500000000005</v>
      </c>
      <c r="O29" s="468">
        <v>855.57500000000005</v>
      </c>
      <c r="P29" s="468">
        <v>855.57500000000005</v>
      </c>
      <c r="Q29" s="84"/>
      <c r="R29" s="84"/>
      <c r="S29" s="84"/>
      <c r="T29" s="84"/>
      <c r="U29" s="84"/>
      <c r="V29" s="84"/>
      <c r="W29" s="84"/>
      <c r="X29" s="84"/>
    </row>
    <row r="30" spans="1:24" ht="39" hidden="1" x14ac:dyDescent="0.25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470">
        <f>J31</f>
        <v>11843.717000000001</v>
      </c>
      <c r="K30" s="471"/>
      <c r="L30" s="470">
        <f>L31</f>
        <v>12487.644020000002</v>
      </c>
      <c r="M30" s="470">
        <f>M31</f>
        <v>13283.967101400003</v>
      </c>
      <c r="N30" s="470">
        <f>N31</f>
        <v>11843.717000000001</v>
      </c>
      <c r="O30" s="470">
        <f>O31</f>
        <v>11843.717000000001</v>
      </c>
      <c r="P30" s="470">
        <f>P31</f>
        <v>11843.717000000001</v>
      </c>
    </row>
    <row r="31" spans="1:24" ht="42.75" hidden="1" customHeight="1" x14ac:dyDescent="0.25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470">
        <f>J32+J35+J37+J39+J42+J45</f>
        <v>11843.717000000001</v>
      </c>
      <c r="K31" s="471"/>
      <c r="L31" s="470">
        <f>L32+L35+L37+L39+L42+L45</f>
        <v>12487.644020000002</v>
      </c>
      <c r="M31" s="470">
        <f>M32+M35+M37+M39+M42+M45</f>
        <v>13283.967101400003</v>
      </c>
      <c r="N31" s="470">
        <f>N32+N35+N37+N39+N42+N45</f>
        <v>11843.717000000001</v>
      </c>
      <c r="O31" s="470">
        <f>O32+O35+O37+O39+O42+O45</f>
        <v>11843.717000000001</v>
      </c>
      <c r="P31" s="470">
        <f>P32+P35+P37+P39+P42+P45</f>
        <v>11843.717000000001</v>
      </c>
    </row>
    <row r="32" spans="1:24" ht="21" hidden="1" customHeight="1" x14ac:dyDescent="0.25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472">
        <f>J33+J34</f>
        <v>9577.5059999999994</v>
      </c>
      <c r="K32" s="469"/>
      <c r="L32" s="472">
        <f>L33+L34</f>
        <v>10152.156360000001</v>
      </c>
      <c r="M32" s="472">
        <f>M33+M34</f>
        <v>10862.807305200002</v>
      </c>
      <c r="N32" s="472">
        <f>N33+N34</f>
        <v>9577.5059999999994</v>
      </c>
      <c r="O32" s="472">
        <f>O33+O34</f>
        <v>9577.5059999999994</v>
      </c>
      <c r="P32" s="472">
        <f>P33+P34</f>
        <v>9577.5059999999994</v>
      </c>
    </row>
    <row r="33" spans="2:16" ht="21" hidden="1" customHeight="1" x14ac:dyDescent="0.3">
      <c r="B33" s="195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467">
        <v>7361.933</v>
      </c>
      <c r="K33" s="467"/>
      <c r="L33" s="467">
        <f>J33*106%</f>
        <v>7803.6489799999999</v>
      </c>
      <c r="M33" s="467">
        <f>L33*107%</f>
        <v>8349.9044086000013</v>
      </c>
      <c r="N33" s="467">
        <v>7361.933</v>
      </c>
      <c r="O33" s="467">
        <v>7361.933</v>
      </c>
      <c r="P33" s="467">
        <v>7361.933</v>
      </c>
    </row>
    <row r="34" spans="2:16" ht="21" hidden="1" customHeight="1" x14ac:dyDescent="0.3">
      <c r="B34" s="195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467">
        <v>2215.5729999999999</v>
      </c>
      <c r="K34" s="467"/>
      <c r="L34" s="467">
        <f>J34*106%</f>
        <v>2348.50738</v>
      </c>
      <c r="M34" s="467">
        <f>L34*107%</f>
        <v>2512.9028966000001</v>
      </c>
      <c r="N34" s="467">
        <v>2215.5729999999999</v>
      </c>
      <c r="O34" s="467">
        <v>2215.5729999999999</v>
      </c>
      <c r="P34" s="467">
        <v>2215.5729999999999</v>
      </c>
    </row>
    <row r="35" spans="2:16" ht="26" hidden="1" x14ac:dyDescent="0.25"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466">
        <f>J36</f>
        <v>1154.6110000000001</v>
      </c>
      <c r="K35" s="466"/>
      <c r="L35" s="466">
        <f>L36</f>
        <v>1223.8876600000001</v>
      </c>
      <c r="M35" s="466">
        <f>M36</f>
        <v>1309.5597962000002</v>
      </c>
      <c r="N35" s="466">
        <f>N36</f>
        <v>1154.6110000000001</v>
      </c>
      <c r="O35" s="466">
        <f>O36</f>
        <v>1154.6110000000001</v>
      </c>
      <c r="P35" s="466">
        <f>P36</f>
        <v>1154.6110000000001</v>
      </c>
    </row>
    <row r="36" spans="2:16" ht="13" hidden="1" x14ac:dyDescent="0.3">
      <c r="B36" s="195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466">
        <v>1154.6110000000001</v>
      </c>
      <c r="K36" s="466"/>
      <c r="L36" s="467">
        <f>J36*106%</f>
        <v>1223.8876600000001</v>
      </c>
      <c r="M36" s="467">
        <f>L36*107%</f>
        <v>1309.5597962000002</v>
      </c>
      <c r="N36" s="466">
        <v>1154.6110000000001</v>
      </c>
      <c r="O36" s="466">
        <v>1154.6110000000001</v>
      </c>
      <c r="P36" s="466">
        <v>1154.6110000000001</v>
      </c>
    </row>
    <row r="37" spans="2:16" ht="26" hidden="1" x14ac:dyDescent="0.25"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471">
        <f>J38</f>
        <v>171.8</v>
      </c>
      <c r="K37" s="471"/>
      <c r="L37" s="471">
        <f>L38</f>
        <v>171.8</v>
      </c>
      <c r="M37" s="471">
        <f>M38</f>
        <v>171.8</v>
      </c>
      <c r="N37" s="471">
        <f>N38</f>
        <v>171.8</v>
      </c>
      <c r="O37" s="471">
        <f>O38</f>
        <v>171.8</v>
      </c>
      <c r="P37" s="471">
        <f>P38</f>
        <v>171.8</v>
      </c>
    </row>
    <row r="38" spans="2:16" ht="13" hidden="1" x14ac:dyDescent="0.3">
      <c r="B38" s="195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469">
        <v>171.8</v>
      </c>
      <c r="K38" s="469"/>
      <c r="L38" s="469">
        <v>171.8</v>
      </c>
      <c r="M38" s="469">
        <v>171.8</v>
      </c>
      <c r="N38" s="469">
        <v>171.8</v>
      </c>
      <c r="O38" s="469">
        <v>171.8</v>
      </c>
      <c r="P38" s="469">
        <v>171.8</v>
      </c>
    </row>
    <row r="39" spans="2:16" ht="45.75" hidden="1" customHeight="1" x14ac:dyDescent="0.25"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471">
        <f>J41</f>
        <v>263</v>
      </c>
      <c r="K39" s="471"/>
      <c r="L39" s="471">
        <f>L41</f>
        <v>263</v>
      </c>
      <c r="M39" s="471">
        <f>M41</f>
        <v>263</v>
      </c>
      <c r="N39" s="471">
        <f>N41</f>
        <v>263</v>
      </c>
      <c r="O39" s="471">
        <f>O41</f>
        <v>263</v>
      </c>
      <c r="P39" s="471">
        <f>P41</f>
        <v>263</v>
      </c>
    </row>
    <row r="40" spans="2:16" ht="46.5" hidden="1" customHeight="1" x14ac:dyDescent="0.25"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468"/>
      <c r="K40" s="468"/>
      <c r="L40" s="468"/>
      <c r="M40" s="468"/>
      <c r="N40" s="468"/>
      <c r="O40" s="468"/>
      <c r="P40" s="468"/>
    </row>
    <row r="41" spans="2:16" ht="15" hidden="1" customHeight="1" x14ac:dyDescent="0.3">
      <c r="B41" s="195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468">
        <v>263</v>
      </c>
      <c r="K41" s="468"/>
      <c r="L41" s="468">
        <v>263</v>
      </c>
      <c r="M41" s="468">
        <v>263</v>
      </c>
      <c r="N41" s="468">
        <v>263</v>
      </c>
      <c r="O41" s="468">
        <v>263</v>
      </c>
      <c r="P41" s="468">
        <v>263</v>
      </c>
    </row>
    <row r="42" spans="2:16" ht="67.5" hidden="1" customHeight="1" x14ac:dyDescent="0.25"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464">
        <f>J43</f>
        <v>130.1</v>
      </c>
      <c r="K42" s="464"/>
      <c r="L42" s="464">
        <f>L43</f>
        <v>130.1</v>
      </c>
      <c r="M42" s="464">
        <f>M43</f>
        <v>130.1</v>
      </c>
      <c r="N42" s="464">
        <f>N43</f>
        <v>130.1</v>
      </c>
      <c r="O42" s="464">
        <f>O43</f>
        <v>130.1</v>
      </c>
      <c r="P42" s="464">
        <f>P43</f>
        <v>130.1</v>
      </c>
    </row>
    <row r="43" spans="2:16" ht="15" hidden="1" customHeight="1" x14ac:dyDescent="0.3">
      <c r="B43" s="195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468">
        <v>130.1</v>
      </c>
      <c r="K43" s="468"/>
      <c r="L43" s="468">
        <v>130.1</v>
      </c>
      <c r="M43" s="468">
        <v>130.1</v>
      </c>
      <c r="N43" s="468">
        <v>130.1</v>
      </c>
      <c r="O43" s="468">
        <v>130.1</v>
      </c>
      <c r="P43" s="468">
        <v>130.1</v>
      </c>
    </row>
    <row r="44" spans="2:16" ht="60.65" hidden="1" customHeight="1" x14ac:dyDescent="0.25"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468"/>
      <c r="K44" s="468"/>
      <c r="L44" s="468"/>
      <c r="M44" s="468"/>
      <c r="N44" s="468"/>
      <c r="O44" s="468"/>
      <c r="P44" s="468"/>
    </row>
    <row r="45" spans="2:16" ht="52" hidden="1" x14ac:dyDescent="0.25"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464">
        <f>J46+J47</f>
        <v>546.70000000000005</v>
      </c>
      <c r="K45" s="464"/>
      <c r="L45" s="464">
        <f>L46+L47</f>
        <v>546.70000000000005</v>
      </c>
      <c r="M45" s="464">
        <f>M46+M47</f>
        <v>546.70000000000005</v>
      </c>
      <c r="N45" s="464">
        <f>N46+N47</f>
        <v>546.70000000000005</v>
      </c>
      <c r="O45" s="464">
        <f>O46+O47</f>
        <v>546.70000000000005</v>
      </c>
      <c r="P45" s="464">
        <f>P46+P47</f>
        <v>546.70000000000005</v>
      </c>
    </row>
    <row r="46" spans="2:16" ht="13" hidden="1" x14ac:dyDescent="0.3">
      <c r="B46" s="16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468">
        <f>546.7-45.2</f>
        <v>501.50000000000006</v>
      </c>
      <c r="K46" s="468"/>
      <c r="L46" s="468">
        <f>546.7-45.2</f>
        <v>501.50000000000006</v>
      </c>
      <c r="M46" s="468">
        <f>546.7-45.2</f>
        <v>501.50000000000006</v>
      </c>
      <c r="N46" s="468">
        <f>546.7-45.2</f>
        <v>501.50000000000006</v>
      </c>
      <c r="O46" s="468">
        <f>546.7-45.2</f>
        <v>501.50000000000006</v>
      </c>
      <c r="P46" s="468">
        <f>546.7-45.2</f>
        <v>501.50000000000006</v>
      </c>
    </row>
    <row r="47" spans="2:16" ht="13" hidden="1" x14ac:dyDescent="0.3">
      <c r="B47" s="195" t="s">
        <v>16</v>
      </c>
      <c r="C47" s="88"/>
      <c r="D47" s="88"/>
      <c r="E47" s="88"/>
      <c r="F47" s="9"/>
      <c r="G47" s="9" t="s">
        <v>1</v>
      </c>
      <c r="H47" s="9"/>
      <c r="I47" s="88"/>
      <c r="J47" s="468">
        <v>45.2</v>
      </c>
      <c r="K47" s="468"/>
      <c r="L47" s="468">
        <v>45.2</v>
      </c>
      <c r="M47" s="468">
        <v>45.2</v>
      </c>
      <c r="N47" s="468">
        <v>45.2</v>
      </c>
      <c r="O47" s="468">
        <v>45.2</v>
      </c>
      <c r="P47" s="468">
        <v>45.2</v>
      </c>
    </row>
    <row r="48" spans="2:16" ht="42" hidden="1" customHeight="1" x14ac:dyDescent="0.25"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471">
        <f>J49</f>
        <v>99.305000000000007</v>
      </c>
      <c r="K48" s="471"/>
      <c r="L48" s="471">
        <f t="shared" ref="L48:P50" si="1">L49</f>
        <v>99.305000000000007</v>
      </c>
      <c r="M48" s="471">
        <f t="shared" si="1"/>
        <v>99.305000000000007</v>
      </c>
      <c r="N48" s="471">
        <f t="shared" si="1"/>
        <v>99.305000000000007</v>
      </c>
      <c r="O48" s="471">
        <f t="shared" si="1"/>
        <v>99.305000000000007</v>
      </c>
      <c r="P48" s="471">
        <f t="shared" si="1"/>
        <v>99.305000000000007</v>
      </c>
    </row>
    <row r="49" spans="2:24" ht="39" hidden="1" x14ac:dyDescent="0.25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471">
        <f>J50</f>
        <v>99.305000000000007</v>
      </c>
      <c r="K49" s="471"/>
      <c r="L49" s="471">
        <f t="shared" si="1"/>
        <v>99.305000000000007</v>
      </c>
      <c r="M49" s="471">
        <f t="shared" si="1"/>
        <v>99.305000000000007</v>
      </c>
      <c r="N49" s="471">
        <f t="shared" si="1"/>
        <v>99.305000000000007</v>
      </c>
      <c r="O49" s="471">
        <f t="shared" si="1"/>
        <v>99.305000000000007</v>
      </c>
      <c r="P49" s="471">
        <f t="shared" si="1"/>
        <v>99.305000000000007</v>
      </c>
    </row>
    <row r="50" spans="2:24" ht="45.75" hidden="1" customHeight="1" x14ac:dyDescent="0.25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468">
        <f>J51</f>
        <v>99.305000000000007</v>
      </c>
      <c r="K50" s="468"/>
      <c r="L50" s="468">
        <f t="shared" si="1"/>
        <v>99.305000000000007</v>
      </c>
      <c r="M50" s="468">
        <f t="shared" si="1"/>
        <v>99.305000000000007</v>
      </c>
      <c r="N50" s="468">
        <f t="shared" si="1"/>
        <v>99.305000000000007</v>
      </c>
      <c r="O50" s="468">
        <f t="shared" si="1"/>
        <v>99.305000000000007</v>
      </c>
      <c r="P50" s="468">
        <f t="shared" si="1"/>
        <v>99.305000000000007</v>
      </c>
    </row>
    <row r="51" spans="2:24" ht="13.9" hidden="1" customHeight="1" x14ac:dyDescent="0.3">
      <c r="B51" s="195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468">
        <v>99.305000000000007</v>
      </c>
      <c r="K51" s="468"/>
      <c r="L51" s="468">
        <v>99.305000000000007</v>
      </c>
      <c r="M51" s="468">
        <v>99.305000000000007</v>
      </c>
      <c r="N51" s="468">
        <v>99.305000000000007</v>
      </c>
      <c r="O51" s="468">
        <v>99.305000000000007</v>
      </c>
      <c r="P51" s="468">
        <v>99.305000000000007</v>
      </c>
    </row>
    <row r="52" spans="2:24" ht="14" hidden="1" x14ac:dyDescent="0.25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468"/>
      <c r="K52" s="468"/>
      <c r="L52" s="468"/>
      <c r="M52" s="468"/>
      <c r="N52" s="468"/>
      <c r="O52" s="468"/>
      <c r="P52" s="468"/>
    </row>
    <row r="53" spans="2:24" ht="39" hidden="1" x14ac:dyDescent="0.25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468"/>
      <c r="K53" s="468"/>
      <c r="L53" s="468"/>
      <c r="M53" s="468"/>
      <c r="N53" s="468"/>
      <c r="O53" s="468"/>
      <c r="P53" s="468"/>
    </row>
    <row r="54" spans="2:24" ht="26" hidden="1" x14ac:dyDescent="0.25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468"/>
      <c r="K54" s="468"/>
      <c r="L54" s="468"/>
      <c r="M54" s="468"/>
      <c r="N54" s="468"/>
      <c r="O54" s="468"/>
      <c r="P54" s="468"/>
    </row>
    <row r="55" spans="2:24" ht="13" hidden="1" x14ac:dyDescent="0.25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470">
        <f>J56</f>
        <v>2000</v>
      </c>
      <c r="K55" s="470"/>
      <c r="L55" s="470">
        <f t="shared" ref="L55:P57" si="2">L56</f>
        <v>2000</v>
      </c>
      <c r="M55" s="470">
        <f t="shared" si="2"/>
        <v>2000</v>
      </c>
      <c r="N55" s="470">
        <f t="shared" si="2"/>
        <v>2000</v>
      </c>
      <c r="O55" s="470">
        <f t="shared" si="2"/>
        <v>2000</v>
      </c>
      <c r="P55" s="470">
        <f t="shared" si="2"/>
        <v>2000</v>
      </c>
    </row>
    <row r="56" spans="2:24" s="83" customFormat="1" ht="39" hidden="1" x14ac:dyDescent="0.3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467">
        <f>J57</f>
        <v>2000</v>
      </c>
      <c r="K56" s="467"/>
      <c r="L56" s="467">
        <f t="shared" si="2"/>
        <v>2000</v>
      </c>
      <c r="M56" s="467">
        <f t="shared" si="2"/>
        <v>2000</v>
      </c>
      <c r="N56" s="467">
        <f t="shared" si="2"/>
        <v>2000</v>
      </c>
      <c r="O56" s="467">
        <f t="shared" si="2"/>
        <v>2000</v>
      </c>
      <c r="P56" s="467">
        <f t="shared" si="2"/>
        <v>2000</v>
      </c>
      <c r="Q56" s="84"/>
      <c r="R56" s="84"/>
      <c r="S56" s="84"/>
      <c r="T56" s="84"/>
      <c r="U56" s="84"/>
      <c r="V56" s="84"/>
      <c r="W56" s="84"/>
      <c r="X56" s="84"/>
    </row>
    <row r="57" spans="2:24" ht="26" hidden="1" x14ac:dyDescent="0.25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467">
        <f>J58</f>
        <v>2000</v>
      </c>
      <c r="K57" s="467"/>
      <c r="L57" s="467">
        <f t="shared" si="2"/>
        <v>2000</v>
      </c>
      <c r="M57" s="467">
        <f t="shared" si="2"/>
        <v>2000</v>
      </c>
      <c r="N57" s="467">
        <f t="shared" si="2"/>
        <v>2000</v>
      </c>
      <c r="O57" s="467">
        <f t="shared" si="2"/>
        <v>2000</v>
      </c>
      <c r="P57" s="467">
        <f t="shared" si="2"/>
        <v>2000</v>
      </c>
    </row>
    <row r="58" spans="2:24" ht="13" hidden="1" x14ac:dyDescent="0.3">
      <c r="B58" s="195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467">
        <v>2000</v>
      </c>
      <c r="K58" s="467"/>
      <c r="L58" s="467">
        <v>2000</v>
      </c>
      <c r="M58" s="467">
        <v>2000</v>
      </c>
      <c r="N58" s="467">
        <v>2000</v>
      </c>
      <c r="O58" s="467">
        <v>2000</v>
      </c>
      <c r="P58" s="467">
        <v>2000</v>
      </c>
    </row>
    <row r="59" spans="2:24" ht="13" hidden="1" x14ac:dyDescent="0.25"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464">
        <f>J60</f>
        <v>108</v>
      </c>
      <c r="K59" s="464"/>
      <c r="L59" s="464">
        <f t="shared" ref="L59:P60" si="3">L60</f>
        <v>108</v>
      </c>
      <c r="M59" s="464">
        <f t="shared" si="3"/>
        <v>108</v>
      </c>
      <c r="N59" s="464">
        <f t="shared" si="3"/>
        <v>108</v>
      </c>
      <c r="O59" s="464">
        <f t="shared" si="3"/>
        <v>108</v>
      </c>
      <c r="P59" s="464">
        <f t="shared" si="3"/>
        <v>108</v>
      </c>
    </row>
    <row r="60" spans="2:24" ht="26" hidden="1" x14ac:dyDescent="0.25"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471">
        <f>J61</f>
        <v>108</v>
      </c>
      <c r="K60" s="471"/>
      <c r="L60" s="471">
        <f t="shared" si="3"/>
        <v>108</v>
      </c>
      <c r="M60" s="471">
        <f t="shared" si="3"/>
        <v>108</v>
      </c>
      <c r="N60" s="471">
        <f t="shared" si="3"/>
        <v>108</v>
      </c>
      <c r="O60" s="471">
        <f t="shared" si="3"/>
        <v>108</v>
      </c>
      <c r="P60" s="471">
        <f t="shared" si="3"/>
        <v>108</v>
      </c>
    </row>
    <row r="61" spans="2:24" ht="13" hidden="1" x14ac:dyDescent="0.25"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469">
        <f>J62+J63</f>
        <v>108</v>
      </c>
      <c r="K61" s="469"/>
      <c r="L61" s="469">
        <f>L62+L63</f>
        <v>108</v>
      </c>
      <c r="M61" s="469">
        <f>M62+M63</f>
        <v>108</v>
      </c>
      <c r="N61" s="469">
        <f>N62+N63</f>
        <v>108</v>
      </c>
      <c r="O61" s="469">
        <f>O62+O63</f>
        <v>108</v>
      </c>
      <c r="P61" s="469">
        <f>P62+P63</f>
        <v>108</v>
      </c>
    </row>
    <row r="62" spans="2:24" ht="13" hidden="1" x14ac:dyDescent="0.3">
      <c r="B62" s="195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469">
        <v>105</v>
      </c>
      <c r="K62" s="469"/>
      <c r="L62" s="469">
        <v>105</v>
      </c>
      <c r="M62" s="469">
        <v>105</v>
      </c>
      <c r="N62" s="469">
        <v>105</v>
      </c>
      <c r="O62" s="469">
        <v>105</v>
      </c>
      <c r="P62" s="469">
        <v>105</v>
      </c>
    </row>
    <row r="63" spans="2:24" ht="13" hidden="1" x14ac:dyDescent="0.3">
      <c r="B63" s="195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469">
        <v>3</v>
      </c>
      <c r="K63" s="469"/>
      <c r="L63" s="469">
        <v>3</v>
      </c>
      <c r="M63" s="469">
        <v>3</v>
      </c>
      <c r="N63" s="469">
        <v>3</v>
      </c>
      <c r="O63" s="469">
        <v>3</v>
      </c>
      <c r="P63" s="469">
        <v>3</v>
      </c>
    </row>
    <row r="64" spans="2:24" ht="14" hidden="1" x14ac:dyDescent="0.25"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473">
        <f>J65</f>
        <v>605.88300000000004</v>
      </c>
      <c r="K64" s="473"/>
      <c r="L64" s="473">
        <f t="shared" ref="L64:P65" si="4">L65</f>
        <v>605.88300000000004</v>
      </c>
      <c r="M64" s="473">
        <f t="shared" si="4"/>
        <v>605.88300000000004</v>
      </c>
      <c r="N64" s="473">
        <f t="shared" si="4"/>
        <v>605.88300000000004</v>
      </c>
      <c r="O64" s="473">
        <f t="shared" si="4"/>
        <v>605.88300000000004</v>
      </c>
      <c r="P64" s="473">
        <f t="shared" si="4"/>
        <v>605.88300000000004</v>
      </c>
    </row>
    <row r="65" spans="2:16" ht="13" hidden="1" x14ac:dyDescent="0.25"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469">
        <f>J66</f>
        <v>605.88300000000004</v>
      </c>
      <c r="K65" s="469"/>
      <c r="L65" s="469">
        <f t="shared" si="4"/>
        <v>605.88300000000004</v>
      </c>
      <c r="M65" s="469">
        <f t="shared" si="4"/>
        <v>605.88300000000004</v>
      </c>
      <c r="N65" s="469">
        <f t="shared" si="4"/>
        <v>605.88300000000004</v>
      </c>
      <c r="O65" s="469">
        <f t="shared" si="4"/>
        <v>605.88300000000004</v>
      </c>
      <c r="P65" s="469">
        <f t="shared" si="4"/>
        <v>605.88300000000004</v>
      </c>
    </row>
    <row r="66" spans="2:16" ht="26" hidden="1" x14ac:dyDescent="0.25"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469">
        <f>J67+J68</f>
        <v>605.88300000000004</v>
      </c>
      <c r="K66" s="469"/>
      <c r="L66" s="469">
        <f>L67+L68</f>
        <v>605.88300000000004</v>
      </c>
      <c r="M66" s="469">
        <f>M67+M68</f>
        <v>605.88300000000004</v>
      </c>
      <c r="N66" s="469">
        <f>N67+N68</f>
        <v>605.88300000000004</v>
      </c>
      <c r="O66" s="469">
        <f>O67+O68</f>
        <v>605.88300000000004</v>
      </c>
      <c r="P66" s="469">
        <f>P67+P68</f>
        <v>605.88300000000004</v>
      </c>
    </row>
    <row r="67" spans="2:16" ht="13" hidden="1" x14ac:dyDescent="0.3">
      <c r="B67" s="16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469">
        <v>555.32000000000005</v>
      </c>
      <c r="K67" s="469"/>
      <c r="L67" s="469">
        <v>555.32000000000005</v>
      </c>
      <c r="M67" s="469">
        <v>555.32000000000005</v>
      </c>
      <c r="N67" s="469">
        <v>555.32000000000005</v>
      </c>
      <c r="O67" s="469">
        <v>555.32000000000005</v>
      </c>
      <c r="P67" s="469">
        <v>555.32000000000005</v>
      </c>
    </row>
    <row r="68" spans="2:16" ht="13" hidden="1" x14ac:dyDescent="0.3">
      <c r="B68" s="195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469">
        <v>50.563000000000002</v>
      </c>
      <c r="K68" s="469"/>
      <c r="L68" s="469">
        <v>50.563000000000002</v>
      </c>
      <c r="M68" s="469">
        <v>50.563000000000002</v>
      </c>
      <c r="N68" s="469">
        <v>50.563000000000002</v>
      </c>
      <c r="O68" s="469">
        <v>50.563000000000002</v>
      </c>
      <c r="P68" s="469">
        <v>50.563000000000002</v>
      </c>
    </row>
    <row r="69" spans="2:16" ht="32.25" hidden="1" customHeight="1" x14ac:dyDescent="0.25"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474">
        <f>J70</f>
        <v>1397</v>
      </c>
      <c r="K69" s="474"/>
      <c r="L69" s="474">
        <f t="shared" ref="L69:P70" si="5">L70</f>
        <v>1182</v>
      </c>
      <c r="M69" s="474">
        <f t="shared" si="5"/>
        <v>1022</v>
      </c>
      <c r="N69" s="474">
        <f t="shared" si="5"/>
        <v>1397</v>
      </c>
      <c r="O69" s="474">
        <f t="shared" si="5"/>
        <v>1397</v>
      </c>
      <c r="P69" s="474">
        <f t="shared" si="5"/>
        <v>1397</v>
      </c>
    </row>
    <row r="70" spans="2:16" ht="26" hidden="1" x14ac:dyDescent="0.25"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467">
        <f>J71</f>
        <v>1397</v>
      </c>
      <c r="K70" s="467"/>
      <c r="L70" s="467">
        <f t="shared" si="5"/>
        <v>1182</v>
      </c>
      <c r="M70" s="467">
        <f t="shared" si="5"/>
        <v>1022</v>
      </c>
      <c r="N70" s="467">
        <f t="shared" si="5"/>
        <v>1397</v>
      </c>
      <c r="O70" s="467">
        <f t="shared" si="5"/>
        <v>1397</v>
      </c>
      <c r="P70" s="467">
        <f t="shared" si="5"/>
        <v>1397</v>
      </c>
    </row>
    <row r="71" spans="2:16" ht="39.65" hidden="1" customHeight="1" x14ac:dyDescent="0.25"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>L72+L77</f>
        <v>1182</v>
      </c>
      <c r="M71" s="51">
        <f>M72+M77</f>
        <v>1022</v>
      </c>
      <c r="N71" s="51">
        <f>N72+N77</f>
        <v>1397</v>
      </c>
      <c r="O71" s="51">
        <f>O72+O77</f>
        <v>1397</v>
      </c>
      <c r="P71" s="51">
        <f>P72+P77</f>
        <v>1397</v>
      </c>
    </row>
    <row r="72" spans="2:16" ht="91" hidden="1" x14ac:dyDescent="0.25">
      <c r="B72" s="157" t="s">
        <v>746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469">
        <f>J73+J75</f>
        <v>711</v>
      </c>
      <c r="K72" s="469"/>
      <c r="L72" s="469">
        <f>L73+L75</f>
        <v>496</v>
      </c>
      <c r="M72" s="469">
        <f>M73+M75</f>
        <v>336</v>
      </c>
      <c r="N72" s="469">
        <f>N73+N75</f>
        <v>711</v>
      </c>
      <c r="O72" s="469">
        <f>O73+O75</f>
        <v>711</v>
      </c>
      <c r="P72" s="469">
        <f>P73+P75</f>
        <v>711</v>
      </c>
    </row>
    <row r="73" spans="2:16" ht="91" hidden="1" x14ac:dyDescent="0.25">
      <c r="B73" s="49" t="s">
        <v>747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469">
        <f>J74</f>
        <v>426</v>
      </c>
      <c r="K73" s="469"/>
      <c r="L73" s="469">
        <f>L74</f>
        <v>296</v>
      </c>
      <c r="M73" s="469">
        <f>M74</f>
        <v>136</v>
      </c>
      <c r="N73" s="469">
        <f>N74</f>
        <v>426</v>
      </c>
      <c r="O73" s="469">
        <f>O74</f>
        <v>426</v>
      </c>
      <c r="P73" s="469">
        <f>P74</f>
        <v>426</v>
      </c>
    </row>
    <row r="74" spans="2:16" ht="13" hidden="1" x14ac:dyDescent="0.3">
      <c r="B74" s="195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469">
        <v>426</v>
      </c>
      <c r="K74" s="469"/>
      <c r="L74" s="469">
        <v>296</v>
      </c>
      <c r="M74" s="469">
        <v>136</v>
      </c>
      <c r="N74" s="469">
        <v>426</v>
      </c>
      <c r="O74" s="469">
        <v>426</v>
      </c>
      <c r="P74" s="469">
        <v>426</v>
      </c>
    </row>
    <row r="75" spans="2:16" ht="78" hidden="1" x14ac:dyDescent="0.25">
      <c r="B75" s="49" t="s">
        <v>748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469">
        <f>J76</f>
        <v>285</v>
      </c>
      <c r="K75" s="469"/>
      <c r="L75" s="469">
        <f>L76</f>
        <v>200</v>
      </c>
      <c r="M75" s="469">
        <f>M76</f>
        <v>200</v>
      </c>
      <c r="N75" s="469">
        <f>N76</f>
        <v>285</v>
      </c>
      <c r="O75" s="469">
        <f>O76</f>
        <v>285</v>
      </c>
      <c r="P75" s="469">
        <f>P76</f>
        <v>285</v>
      </c>
    </row>
    <row r="76" spans="2:16" ht="13" hidden="1" x14ac:dyDescent="0.3">
      <c r="B76" s="195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469">
        <v>285</v>
      </c>
      <c r="K76" s="469"/>
      <c r="L76" s="469">
        <v>200</v>
      </c>
      <c r="M76" s="469">
        <v>200</v>
      </c>
      <c r="N76" s="469">
        <v>285</v>
      </c>
      <c r="O76" s="469">
        <v>285</v>
      </c>
      <c r="P76" s="469">
        <v>285</v>
      </c>
    </row>
    <row r="77" spans="2:16" ht="91" hidden="1" x14ac:dyDescent="0.25">
      <c r="B77" s="157" t="s">
        <v>749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471">
        <f>J78</f>
        <v>686</v>
      </c>
      <c r="K77" s="471"/>
      <c r="L77" s="471">
        <f>L78</f>
        <v>686</v>
      </c>
      <c r="M77" s="471">
        <f>M78</f>
        <v>686</v>
      </c>
      <c r="N77" s="471">
        <f>N78</f>
        <v>686</v>
      </c>
      <c r="O77" s="471">
        <f>O78</f>
        <v>686</v>
      </c>
      <c r="P77" s="471">
        <f>P78</f>
        <v>686</v>
      </c>
    </row>
    <row r="78" spans="2:16" ht="104" hidden="1" x14ac:dyDescent="0.25">
      <c r="B78" s="49" t="s">
        <v>750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469">
        <f>J80</f>
        <v>686</v>
      </c>
      <c r="K78" s="469"/>
      <c r="L78" s="469">
        <f>L80</f>
        <v>686</v>
      </c>
      <c r="M78" s="469">
        <f>M80</f>
        <v>686</v>
      </c>
      <c r="N78" s="469">
        <f>N80</f>
        <v>686</v>
      </c>
      <c r="O78" s="469">
        <f>O80</f>
        <v>686</v>
      </c>
      <c r="P78" s="469">
        <f>P80</f>
        <v>686</v>
      </c>
    </row>
    <row r="79" spans="2:16" ht="40.5" hidden="1" customHeight="1" x14ac:dyDescent="0.25"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475"/>
      <c r="K79" s="475"/>
      <c r="L79" s="475"/>
      <c r="M79" s="475"/>
      <c r="N79" s="475"/>
      <c r="O79" s="475"/>
      <c r="P79" s="475"/>
    </row>
    <row r="80" spans="2:16" ht="17.5" hidden="1" customHeight="1" x14ac:dyDescent="0.3">
      <c r="B80" s="195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469">
        <v>686</v>
      </c>
      <c r="K80" s="475"/>
      <c r="L80" s="469">
        <v>686</v>
      </c>
      <c r="M80" s="469">
        <v>686</v>
      </c>
      <c r="N80" s="469">
        <v>686</v>
      </c>
      <c r="O80" s="469">
        <v>686</v>
      </c>
      <c r="P80" s="469">
        <v>686</v>
      </c>
    </row>
    <row r="81" spans="2:24" ht="44.25" hidden="1" customHeight="1" x14ac:dyDescent="0.25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31"/>
      <c r="O81" s="131"/>
      <c r="P81" s="131"/>
    </row>
    <row r="82" spans="2:24" ht="39" hidden="1" x14ac:dyDescent="0.25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469"/>
      <c r="K82" s="469"/>
      <c r="L82" s="469"/>
      <c r="M82" s="469"/>
      <c r="N82" s="469"/>
      <c r="O82" s="469"/>
      <c r="P82" s="469"/>
    </row>
    <row r="83" spans="2:24" s="83" customFormat="1" ht="14" hidden="1" x14ac:dyDescent="0.3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476">
        <f>J84+J93</f>
        <v>18097.09</v>
      </c>
      <c r="K83" s="477"/>
      <c r="L83" s="476">
        <f>L84+L93</f>
        <v>11814.485000000001</v>
      </c>
      <c r="M83" s="476">
        <f>M84+M93</f>
        <v>14413.347</v>
      </c>
      <c r="N83" s="476">
        <f>N84+N93</f>
        <v>18097.09</v>
      </c>
      <c r="O83" s="476">
        <f>O84+O93</f>
        <v>18097.09</v>
      </c>
      <c r="P83" s="476">
        <f>P84+P93</f>
        <v>18097.09</v>
      </c>
      <c r="Q83" s="84"/>
      <c r="R83" s="84"/>
      <c r="S83" s="84"/>
      <c r="T83" s="84"/>
      <c r="U83" s="84"/>
      <c r="V83" s="84"/>
      <c r="W83" s="84"/>
      <c r="X83" s="84"/>
    </row>
    <row r="84" spans="2:24" s="83" customFormat="1" ht="13" hidden="1" x14ac:dyDescent="0.3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470">
        <f>J85</f>
        <v>17447.29</v>
      </c>
      <c r="K84" s="469"/>
      <c r="L84" s="470">
        <f>L85</f>
        <v>11444.685000000001</v>
      </c>
      <c r="M84" s="470">
        <f>M85</f>
        <v>14038.547</v>
      </c>
      <c r="N84" s="470">
        <f>N85</f>
        <v>17447.29</v>
      </c>
      <c r="O84" s="470">
        <f>O85</f>
        <v>17447.29</v>
      </c>
      <c r="P84" s="470">
        <f>P85</f>
        <v>17447.29</v>
      </c>
      <c r="Q84" s="84"/>
      <c r="R84" s="84"/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3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>L86+L90</f>
        <v>11444.685000000001</v>
      </c>
      <c r="M85" s="51">
        <f>M86+M90</f>
        <v>14038.547</v>
      </c>
      <c r="N85" s="51">
        <f>N86+N90</f>
        <v>17447.29</v>
      </c>
      <c r="O85" s="51">
        <f>O86+O90</f>
        <v>17447.29</v>
      </c>
      <c r="P85" s="51">
        <f>P86+P90</f>
        <v>17447.29</v>
      </c>
      <c r="Q85" s="84"/>
      <c r="R85" s="84"/>
      <c r="S85" s="84"/>
      <c r="T85" s="84"/>
      <c r="U85" s="84"/>
      <c r="V85" s="84"/>
      <c r="W85" s="84"/>
      <c r="X85" s="84"/>
    </row>
    <row r="86" spans="2:24" s="83" customFormat="1" ht="65" hidden="1" x14ac:dyDescent="0.3">
      <c r="B86" s="157" t="s">
        <v>751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470">
        <f>J87</f>
        <v>16806.29</v>
      </c>
      <c r="K86" s="471"/>
      <c r="L86" s="471">
        <f t="shared" ref="L86:P87" si="6">L87</f>
        <v>10777.685000000001</v>
      </c>
      <c r="M86" s="470">
        <f t="shared" si="6"/>
        <v>13305.547</v>
      </c>
      <c r="N86" s="470">
        <f t="shared" si="6"/>
        <v>16806.29</v>
      </c>
      <c r="O86" s="470">
        <f t="shared" si="6"/>
        <v>16806.29</v>
      </c>
      <c r="P86" s="470">
        <f t="shared" si="6"/>
        <v>16806.29</v>
      </c>
      <c r="Q86" s="84"/>
      <c r="R86" s="84"/>
      <c r="S86" s="84"/>
      <c r="T86" s="84"/>
      <c r="U86" s="84"/>
      <c r="V86" s="84"/>
      <c r="W86" s="84"/>
      <c r="X86" s="84"/>
    </row>
    <row r="87" spans="2:24" s="83" customFormat="1" ht="78" hidden="1" x14ac:dyDescent="0.3">
      <c r="B87" s="90" t="s">
        <v>752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467">
        <f>J88</f>
        <v>16806.29</v>
      </c>
      <c r="K87" s="469"/>
      <c r="L87" s="467">
        <f t="shared" si="6"/>
        <v>10777.685000000001</v>
      </c>
      <c r="M87" s="467">
        <f t="shared" si="6"/>
        <v>13305.547</v>
      </c>
      <c r="N87" s="467">
        <f t="shared" si="6"/>
        <v>16806.29</v>
      </c>
      <c r="O87" s="467">
        <f t="shared" si="6"/>
        <v>16806.29</v>
      </c>
      <c r="P87" s="467">
        <f t="shared" si="6"/>
        <v>16806.29</v>
      </c>
      <c r="Q87" s="84"/>
      <c r="R87" s="84"/>
      <c r="S87" s="84"/>
      <c r="T87" s="84"/>
      <c r="U87" s="84"/>
      <c r="V87" s="84"/>
      <c r="W87" s="84"/>
      <c r="X87" s="84"/>
    </row>
    <row r="88" spans="2:24" s="83" customFormat="1" ht="13" hidden="1" x14ac:dyDescent="0.3">
      <c r="B88" s="195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467">
        <f>7156.753+13430-3780.463</f>
        <v>16806.29</v>
      </c>
      <c r="K88" s="469"/>
      <c r="L88" s="467">
        <f>22480.2-11702.515</f>
        <v>10777.685000000001</v>
      </c>
      <c r="M88" s="467">
        <v>13305.547</v>
      </c>
      <c r="N88" s="467">
        <f>7156.753+13430-3780.463</f>
        <v>16806.29</v>
      </c>
      <c r="O88" s="467">
        <f>7156.753+13430-3780.463</f>
        <v>16806.29</v>
      </c>
      <c r="P88" s="467">
        <f>7156.753+13430-3780.463</f>
        <v>16806.29</v>
      </c>
      <c r="Q88" s="84"/>
      <c r="R88" s="84"/>
      <c r="S88" s="84"/>
      <c r="T88" s="84"/>
      <c r="U88" s="84"/>
      <c r="V88" s="84"/>
      <c r="W88" s="84"/>
      <c r="X88" s="84"/>
    </row>
    <row r="89" spans="2:24" s="83" customFormat="1" ht="52" hidden="1" x14ac:dyDescent="0.3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469"/>
      <c r="K89" s="469"/>
      <c r="L89" s="469"/>
      <c r="M89" s="469"/>
      <c r="N89" s="469"/>
      <c r="O89" s="469"/>
      <c r="P89" s="469"/>
      <c r="Q89" s="84"/>
      <c r="R89" s="84"/>
      <c r="S89" s="84"/>
      <c r="T89" s="84"/>
      <c r="U89" s="84"/>
      <c r="V89" s="84"/>
      <c r="W89" s="84"/>
      <c r="X89" s="84"/>
    </row>
    <row r="90" spans="2:24" s="83" customFormat="1" ht="65" hidden="1" x14ac:dyDescent="0.3">
      <c r="B90" s="157" t="s">
        <v>753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471">
        <f>J91</f>
        <v>641</v>
      </c>
      <c r="K90" s="471"/>
      <c r="L90" s="471">
        <f t="shared" ref="L90:P91" si="7">L91</f>
        <v>667</v>
      </c>
      <c r="M90" s="471">
        <f t="shared" si="7"/>
        <v>733</v>
      </c>
      <c r="N90" s="471">
        <f t="shared" si="7"/>
        <v>641</v>
      </c>
      <c r="O90" s="471">
        <f t="shared" si="7"/>
        <v>641</v>
      </c>
      <c r="P90" s="471">
        <f t="shared" si="7"/>
        <v>641</v>
      </c>
      <c r="Q90" s="84"/>
      <c r="R90" s="84"/>
      <c r="S90" s="84"/>
      <c r="T90" s="84"/>
      <c r="U90" s="84"/>
      <c r="V90" s="84"/>
      <c r="W90" s="84"/>
      <c r="X90" s="84"/>
    </row>
    <row r="91" spans="2:24" s="83" customFormat="1" ht="78" hidden="1" x14ac:dyDescent="0.3">
      <c r="B91" s="49" t="s">
        <v>754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469">
        <f>J92</f>
        <v>641</v>
      </c>
      <c r="K91" s="469"/>
      <c r="L91" s="469">
        <f t="shared" si="7"/>
        <v>667</v>
      </c>
      <c r="M91" s="469">
        <f t="shared" si="7"/>
        <v>733</v>
      </c>
      <c r="N91" s="469">
        <f t="shared" si="7"/>
        <v>641</v>
      </c>
      <c r="O91" s="469">
        <f t="shared" si="7"/>
        <v>641</v>
      </c>
      <c r="P91" s="469">
        <f t="shared" si="7"/>
        <v>641</v>
      </c>
      <c r="Q91" s="84"/>
      <c r="R91" s="84"/>
      <c r="S91" s="84"/>
      <c r="T91" s="84"/>
      <c r="U91" s="84"/>
      <c r="V91" s="84"/>
      <c r="W91" s="84"/>
      <c r="X91" s="84"/>
    </row>
    <row r="92" spans="2:24" s="83" customFormat="1" ht="13" hidden="1" x14ac:dyDescent="0.3">
      <c r="B92" s="195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469">
        <v>641</v>
      </c>
      <c r="K92" s="469"/>
      <c r="L92" s="469">
        <v>667</v>
      </c>
      <c r="M92" s="469">
        <v>733</v>
      </c>
      <c r="N92" s="469">
        <v>641</v>
      </c>
      <c r="O92" s="469">
        <v>641</v>
      </c>
      <c r="P92" s="469">
        <v>641</v>
      </c>
      <c r="Q92" s="84"/>
      <c r="R92" s="84"/>
      <c r="S92" s="84"/>
      <c r="T92" s="84"/>
      <c r="U92" s="84"/>
      <c r="V92" s="84"/>
      <c r="W92" s="84"/>
      <c r="X92" s="84"/>
    </row>
    <row r="93" spans="2:24" s="83" customFormat="1" ht="13" hidden="1" x14ac:dyDescent="0.3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478">
        <f>J94+J98</f>
        <v>649.79999999999995</v>
      </c>
      <c r="K93" s="478"/>
      <c r="L93" s="478">
        <f>L94+L98</f>
        <v>369.8</v>
      </c>
      <c r="M93" s="478">
        <f>M94+M98</f>
        <v>374.8</v>
      </c>
      <c r="N93" s="478">
        <f>N94+N98</f>
        <v>649.79999999999995</v>
      </c>
      <c r="O93" s="478">
        <f>O94+O98</f>
        <v>649.79999999999995</v>
      </c>
      <c r="P93" s="478">
        <f>P94+P98</f>
        <v>649.79999999999995</v>
      </c>
      <c r="Q93" s="84"/>
      <c r="R93" s="84"/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3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>L96</f>
        <v>305</v>
      </c>
      <c r="M94" s="51">
        <f>M96</f>
        <v>310</v>
      </c>
      <c r="N94" s="51">
        <f>N96</f>
        <v>300</v>
      </c>
      <c r="O94" s="51">
        <f>O96</f>
        <v>300</v>
      </c>
      <c r="P94" s="51">
        <f>P96</f>
        <v>300</v>
      </c>
      <c r="Q94" s="84"/>
      <c r="R94" s="84"/>
      <c r="S94" s="84"/>
      <c r="T94" s="84"/>
      <c r="U94" s="84"/>
      <c r="V94" s="84"/>
      <c r="W94" s="84"/>
      <c r="X94" s="84"/>
    </row>
    <row r="95" spans="2:24" s="83" customFormat="1" ht="78" hidden="1" customHeight="1" x14ac:dyDescent="0.3">
      <c r="B95" s="170" t="s">
        <v>755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471"/>
      <c r="K95" s="471"/>
      <c r="L95" s="471"/>
      <c r="M95" s="471"/>
      <c r="N95" s="471"/>
      <c r="O95" s="471"/>
      <c r="P95" s="471"/>
      <c r="Q95" s="84"/>
      <c r="R95" s="84"/>
      <c r="S95" s="84"/>
      <c r="T95" s="84"/>
      <c r="U95" s="84"/>
      <c r="V95" s="84"/>
      <c r="W95" s="84"/>
      <c r="X95" s="84"/>
    </row>
    <row r="96" spans="2:24" s="83" customFormat="1" ht="112" hidden="1" x14ac:dyDescent="0.3">
      <c r="B96" s="214" t="s">
        <v>756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471">
        <f>J97</f>
        <v>300</v>
      </c>
      <c r="K96" s="471"/>
      <c r="L96" s="471">
        <f>L97</f>
        <v>305</v>
      </c>
      <c r="M96" s="471">
        <f>M97</f>
        <v>310</v>
      </c>
      <c r="N96" s="471">
        <f>N97</f>
        <v>300</v>
      </c>
      <c r="O96" s="471">
        <f>O97</f>
        <v>300</v>
      </c>
      <c r="P96" s="471">
        <f>P97</f>
        <v>300</v>
      </c>
      <c r="Q96" s="84"/>
      <c r="R96" s="84"/>
      <c r="S96" s="84"/>
      <c r="T96" s="84"/>
      <c r="U96" s="84"/>
      <c r="V96" s="84"/>
      <c r="W96" s="84"/>
      <c r="X96" s="84"/>
    </row>
    <row r="97" spans="2:24" s="83" customFormat="1" ht="13" hidden="1" x14ac:dyDescent="0.3">
      <c r="B97" s="195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469">
        <v>300</v>
      </c>
      <c r="K97" s="471"/>
      <c r="L97" s="469">
        <v>305</v>
      </c>
      <c r="M97" s="469">
        <v>310</v>
      </c>
      <c r="N97" s="469">
        <v>300</v>
      </c>
      <c r="O97" s="469">
        <v>300</v>
      </c>
      <c r="P97" s="469">
        <v>300</v>
      </c>
      <c r="Q97" s="84"/>
      <c r="R97" s="84"/>
      <c r="S97" s="84"/>
      <c r="T97" s="84"/>
      <c r="U97" s="84"/>
      <c r="V97" s="84"/>
      <c r="W97" s="84"/>
      <c r="X97" s="84"/>
    </row>
    <row r="98" spans="2:24" s="83" customFormat="1" ht="39" hidden="1" x14ac:dyDescent="0.3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471">
        <f>J99+J101+J103</f>
        <v>349.8</v>
      </c>
      <c r="K98" s="471"/>
      <c r="L98" s="471">
        <f>L99+L101+L103</f>
        <v>64.8</v>
      </c>
      <c r="M98" s="471">
        <f>M99+M101+M103</f>
        <v>64.8</v>
      </c>
      <c r="N98" s="471">
        <f>N99+N101+N103</f>
        <v>349.8</v>
      </c>
      <c r="O98" s="471">
        <f>O99+O101+O103</f>
        <v>349.8</v>
      </c>
      <c r="P98" s="471">
        <f>P99+P101+P103</f>
        <v>349.8</v>
      </c>
      <c r="Q98" s="84"/>
      <c r="R98" s="84"/>
      <c r="S98" s="84"/>
      <c r="T98" s="84"/>
      <c r="U98" s="84"/>
      <c r="V98" s="84"/>
      <c r="W98" s="84"/>
      <c r="X98" s="84"/>
    </row>
    <row r="99" spans="2:24" s="83" customFormat="1" ht="13" hidden="1" x14ac:dyDescent="0.3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471">
        <f>J100</f>
        <v>195</v>
      </c>
      <c r="K99" s="471"/>
      <c r="L99" s="471">
        <f>L100</f>
        <v>0</v>
      </c>
      <c r="M99" s="471">
        <f>M100</f>
        <v>0</v>
      </c>
      <c r="N99" s="471">
        <f>N100</f>
        <v>195</v>
      </c>
      <c r="O99" s="471">
        <f>O100</f>
        <v>195</v>
      </c>
      <c r="P99" s="471">
        <f>P100</f>
        <v>195</v>
      </c>
      <c r="Q99" s="84"/>
      <c r="R99" s="84"/>
      <c r="S99" s="84"/>
      <c r="T99" s="84"/>
      <c r="U99" s="84"/>
      <c r="V99" s="84"/>
      <c r="W99" s="84"/>
      <c r="X99" s="84"/>
    </row>
    <row r="100" spans="2:24" s="83" customFormat="1" ht="13" hidden="1" x14ac:dyDescent="0.3">
      <c r="B100" s="195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469">
        <v>195</v>
      </c>
      <c r="K100" s="469"/>
      <c r="L100" s="469"/>
      <c r="M100" s="469"/>
      <c r="N100" s="469">
        <v>195</v>
      </c>
      <c r="O100" s="469">
        <v>195</v>
      </c>
      <c r="P100" s="469">
        <v>195</v>
      </c>
      <c r="Q100" s="84"/>
      <c r="R100" s="84"/>
      <c r="S100" s="84"/>
      <c r="T100" s="84"/>
      <c r="U100" s="84"/>
      <c r="V100" s="84"/>
      <c r="W100" s="84"/>
      <c r="X100" s="84"/>
    </row>
    <row r="101" spans="2:24" s="83" customFormat="1" ht="13" hidden="1" x14ac:dyDescent="0.3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471">
        <f>J102</f>
        <v>64.8</v>
      </c>
      <c r="K101" s="471"/>
      <c r="L101" s="471">
        <f>L102</f>
        <v>64.8</v>
      </c>
      <c r="M101" s="471">
        <f>M102</f>
        <v>64.8</v>
      </c>
      <c r="N101" s="471">
        <f>N102</f>
        <v>64.8</v>
      </c>
      <c r="O101" s="471">
        <f>O102</f>
        <v>64.8</v>
      </c>
      <c r="P101" s="471">
        <f>P102</f>
        <v>64.8</v>
      </c>
      <c r="Q101" s="84"/>
      <c r="R101" s="84"/>
      <c r="S101" s="84"/>
      <c r="T101" s="84"/>
      <c r="U101" s="84"/>
      <c r="V101" s="84"/>
      <c r="W101" s="84"/>
      <c r="X101" s="84"/>
    </row>
    <row r="102" spans="2:24" s="83" customFormat="1" ht="13" hidden="1" x14ac:dyDescent="0.3">
      <c r="B102" s="195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469">
        <v>64.8</v>
      </c>
      <c r="K102" s="469"/>
      <c r="L102" s="469">
        <v>64.8</v>
      </c>
      <c r="M102" s="469">
        <v>64.8</v>
      </c>
      <c r="N102" s="469">
        <v>64.8</v>
      </c>
      <c r="O102" s="469">
        <v>64.8</v>
      </c>
      <c r="P102" s="469">
        <v>64.8</v>
      </c>
      <c r="Q102" s="84"/>
      <c r="R102" s="84"/>
      <c r="S102" s="84"/>
      <c r="T102" s="84"/>
      <c r="U102" s="84"/>
      <c r="V102" s="84"/>
      <c r="W102" s="84"/>
      <c r="X102" s="84"/>
    </row>
    <row r="103" spans="2:24" s="83" customFormat="1" ht="13" hidden="1" x14ac:dyDescent="0.3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471">
        <f>J104</f>
        <v>90</v>
      </c>
      <c r="K103" s="471"/>
      <c r="L103" s="471">
        <f>L104</f>
        <v>0</v>
      </c>
      <c r="M103" s="471">
        <f>M104</f>
        <v>0</v>
      </c>
      <c r="N103" s="471">
        <f>N104</f>
        <v>90</v>
      </c>
      <c r="O103" s="471">
        <f>O104</f>
        <v>90</v>
      </c>
      <c r="P103" s="471">
        <f>P104</f>
        <v>90</v>
      </c>
      <c r="Q103" s="84"/>
      <c r="R103" s="84"/>
      <c r="S103" s="84"/>
      <c r="T103" s="84"/>
      <c r="U103" s="84"/>
      <c r="V103" s="84"/>
      <c r="W103" s="84"/>
      <c r="X103" s="84"/>
    </row>
    <row r="104" spans="2:24" s="83" customFormat="1" ht="13" hidden="1" x14ac:dyDescent="0.3">
      <c r="B104" s="195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469">
        <v>90</v>
      </c>
      <c r="K104" s="471"/>
      <c r="L104" s="471"/>
      <c r="M104" s="471"/>
      <c r="N104" s="469">
        <v>90</v>
      </c>
      <c r="O104" s="469">
        <v>90</v>
      </c>
      <c r="P104" s="469">
        <v>90</v>
      </c>
      <c r="Q104" s="84"/>
      <c r="R104" s="84"/>
      <c r="S104" s="84"/>
      <c r="T104" s="84"/>
      <c r="U104" s="84"/>
      <c r="V104" s="84"/>
      <c r="W104" s="84"/>
      <c r="X104" s="84"/>
    </row>
    <row r="105" spans="2:24" s="83" customFormat="1" ht="14" hidden="1" x14ac:dyDescent="0.3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479">
        <f>J106+J117+J130+J139</f>
        <v>22021.318999999996</v>
      </c>
      <c r="K105" s="473"/>
      <c r="L105" s="479">
        <f>L106+L117+L130+L139</f>
        <v>27710.55</v>
      </c>
      <c r="M105" s="479">
        <f>M106+M117+M130+M139</f>
        <v>26064.505000000001</v>
      </c>
      <c r="N105" s="479">
        <f>N106+N117+N130+N139</f>
        <v>22021.318999999996</v>
      </c>
      <c r="O105" s="479">
        <f>O106+O117+O130+O139</f>
        <v>22021.318999999996</v>
      </c>
      <c r="P105" s="479">
        <f>P106+P117+P130+P139</f>
        <v>22021.318999999996</v>
      </c>
      <c r="Q105" s="84"/>
      <c r="R105" s="84"/>
      <c r="S105" s="84"/>
      <c r="T105" s="84"/>
      <c r="U105" s="84"/>
      <c r="V105" s="84"/>
      <c r="W105" s="84"/>
      <c r="X105" s="84"/>
    </row>
    <row r="106" spans="2:24" ht="13" hidden="1" x14ac:dyDescent="0.25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467">
        <f>J107+J112</f>
        <v>9048</v>
      </c>
      <c r="K106" s="467"/>
      <c r="L106" s="467">
        <f>L107+L112</f>
        <v>10000</v>
      </c>
      <c r="M106" s="467">
        <f>M107+M112</f>
        <v>10000</v>
      </c>
      <c r="N106" s="467">
        <f>N107+N112</f>
        <v>9048</v>
      </c>
      <c r="O106" s="467">
        <f>O107+O112</f>
        <v>9048</v>
      </c>
      <c r="P106" s="467">
        <f>P107+P112</f>
        <v>9048</v>
      </c>
    </row>
    <row r="107" spans="2:24" ht="53.5" hidden="1" customHeight="1" x14ac:dyDescent="0.25"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31"/>
      <c r="O107" s="131"/>
      <c r="P107" s="131"/>
    </row>
    <row r="108" spans="2:24" ht="65" hidden="1" x14ac:dyDescent="0.3">
      <c r="B108" s="211" t="s">
        <v>757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464"/>
      <c r="K108" s="464"/>
      <c r="L108" s="464"/>
      <c r="M108" s="464"/>
      <c r="N108" s="464"/>
      <c r="O108" s="464"/>
      <c r="P108" s="464"/>
    </row>
    <row r="109" spans="2:24" ht="81.650000000000006" hidden="1" customHeight="1" x14ac:dyDescent="0.3">
      <c r="B109" s="210" t="s">
        <v>758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464"/>
      <c r="K109" s="464"/>
      <c r="L109" s="464"/>
      <c r="M109" s="464"/>
      <c r="N109" s="464"/>
      <c r="O109" s="464"/>
      <c r="P109" s="464"/>
    </row>
    <row r="110" spans="2:24" ht="81" hidden="1" customHeight="1" x14ac:dyDescent="0.3">
      <c r="B110" s="211" t="s">
        <v>759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471"/>
      <c r="K110" s="471"/>
      <c r="L110" s="471"/>
      <c r="M110" s="471"/>
      <c r="N110" s="471"/>
      <c r="O110" s="471"/>
      <c r="P110" s="471"/>
    </row>
    <row r="111" spans="2:24" ht="52" hidden="1" x14ac:dyDescent="0.3">
      <c r="B111" s="210" t="s">
        <v>760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471"/>
      <c r="K111" s="471"/>
      <c r="L111" s="471"/>
      <c r="M111" s="471"/>
      <c r="N111" s="471"/>
      <c r="O111" s="471"/>
      <c r="P111" s="471"/>
    </row>
    <row r="112" spans="2:24" ht="39.65" hidden="1" customHeight="1" x14ac:dyDescent="0.25"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>L113+L115</f>
        <v>10000</v>
      </c>
      <c r="M112" s="47">
        <f>M113+M115</f>
        <v>10000</v>
      </c>
      <c r="N112" s="47">
        <f>N113+N115</f>
        <v>9048</v>
      </c>
      <c r="O112" s="47">
        <f>O113+O115</f>
        <v>9048</v>
      </c>
      <c r="P112" s="47">
        <f>P113+P115</f>
        <v>9048</v>
      </c>
    </row>
    <row r="113" spans="2:16" ht="26" hidden="1" x14ac:dyDescent="0.25"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>L114</f>
        <v>0</v>
      </c>
      <c r="M113" s="47">
        <f>M114</f>
        <v>0</v>
      </c>
      <c r="N113" s="47">
        <f>N114</f>
        <v>420</v>
      </c>
      <c r="O113" s="47">
        <f>O114</f>
        <v>420</v>
      </c>
      <c r="P113" s="47">
        <f>P114</f>
        <v>420</v>
      </c>
    </row>
    <row r="114" spans="2:16" ht="13" hidden="1" x14ac:dyDescent="0.3">
      <c r="B114" s="195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57">
        <v>420</v>
      </c>
      <c r="O114" s="57">
        <v>420</v>
      </c>
      <c r="P114" s="57">
        <v>420</v>
      </c>
    </row>
    <row r="115" spans="2:16" ht="18.75" hidden="1" customHeight="1" x14ac:dyDescent="0.25"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>L116</f>
        <v>10000</v>
      </c>
      <c r="M115" s="57">
        <f>M116</f>
        <v>10000</v>
      </c>
      <c r="N115" s="57">
        <f>N116</f>
        <v>8628</v>
      </c>
      <c r="O115" s="57">
        <f>O116</f>
        <v>8628</v>
      </c>
      <c r="P115" s="57">
        <f>P116</f>
        <v>8628</v>
      </c>
    </row>
    <row r="116" spans="2:16" ht="25.9" hidden="1" customHeight="1" x14ac:dyDescent="0.3">
      <c r="B116" s="208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480">
        <v>8628</v>
      </c>
      <c r="K116" s="207"/>
      <c r="L116" s="54">
        <v>10000</v>
      </c>
      <c r="M116" s="206">
        <v>10000</v>
      </c>
      <c r="N116" s="480">
        <v>8628</v>
      </c>
      <c r="O116" s="480">
        <v>8628</v>
      </c>
      <c r="P116" s="480">
        <v>8628</v>
      </c>
    </row>
    <row r="117" spans="2:16" ht="13" hidden="1" x14ac:dyDescent="0.25"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470">
        <f>J118+J125</f>
        <v>1214.55</v>
      </c>
      <c r="K117" s="471"/>
      <c r="L117" s="481">
        <f>L118+L125</f>
        <v>4085</v>
      </c>
      <c r="M117" s="471">
        <f>M118+M125</f>
        <v>85</v>
      </c>
      <c r="N117" s="470">
        <f>N118+N125</f>
        <v>1214.55</v>
      </c>
      <c r="O117" s="470">
        <f>O118+O125</f>
        <v>1214.55</v>
      </c>
      <c r="P117" s="470">
        <f>P118+P125</f>
        <v>1214.55</v>
      </c>
    </row>
    <row r="118" spans="2:16" ht="58.15" hidden="1" customHeight="1" x14ac:dyDescent="0.25"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P119" si="8">L119</f>
        <v>4000</v>
      </c>
      <c r="M118" s="205">
        <f t="shared" si="8"/>
        <v>0</v>
      </c>
      <c r="N118" s="205">
        <f t="shared" si="8"/>
        <v>1129.55</v>
      </c>
      <c r="O118" s="205">
        <f t="shared" si="8"/>
        <v>1129.55</v>
      </c>
      <c r="P118" s="205">
        <f t="shared" si="8"/>
        <v>1129.55</v>
      </c>
    </row>
    <row r="119" spans="2:16" ht="78" hidden="1" x14ac:dyDescent="0.25">
      <c r="B119" s="58" t="s">
        <v>761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481">
        <f>J120</f>
        <v>1129.55</v>
      </c>
      <c r="K119" s="481"/>
      <c r="L119" s="481">
        <f t="shared" si="8"/>
        <v>4000</v>
      </c>
      <c r="M119" s="471">
        <f t="shared" si="8"/>
        <v>0</v>
      </c>
      <c r="N119" s="481">
        <f t="shared" si="8"/>
        <v>1129.55</v>
      </c>
      <c r="O119" s="481">
        <f t="shared" si="8"/>
        <v>1129.55</v>
      </c>
      <c r="P119" s="481">
        <f t="shared" si="8"/>
        <v>1129.55</v>
      </c>
    </row>
    <row r="120" spans="2:16" ht="26" hidden="1" x14ac:dyDescent="0.25"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472">
        <v>1129.55</v>
      </c>
      <c r="K120" s="481"/>
      <c r="L120" s="472">
        <v>4000</v>
      </c>
      <c r="M120" s="471"/>
      <c r="N120" s="472">
        <v>1129.55</v>
      </c>
      <c r="O120" s="472">
        <v>1129.55</v>
      </c>
      <c r="P120" s="472">
        <v>1129.55</v>
      </c>
    </row>
    <row r="121" spans="2:16" ht="52" hidden="1" x14ac:dyDescent="0.25"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471"/>
      <c r="K121" s="471"/>
      <c r="L121" s="471"/>
      <c r="M121" s="471"/>
      <c r="N121" s="471"/>
      <c r="O121" s="471"/>
      <c r="P121" s="471"/>
    </row>
    <row r="122" spans="2:16" ht="42.75" hidden="1" customHeight="1" x14ac:dyDescent="0.25"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31"/>
      <c r="O122" s="131"/>
      <c r="P122" s="131"/>
    </row>
    <row r="123" spans="2:16" ht="72.75" hidden="1" customHeight="1" x14ac:dyDescent="0.25"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471"/>
      <c r="K123" s="471"/>
      <c r="L123" s="471"/>
      <c r="M123" s="471"/>
      <c r="N123" s="471"/>
      <c r="O123" s="471"/>
      <c r="P123" s="471"/>
    </row>
    <row r="124" spans="2:16" ht="57" hidden="1" customHeight="1" x14ac:dyDescent="0.25"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471"/>
      <c r="K124" s="471"/>
      <c r="L124" s="471"/>
      <c r="M124" s="471"/>
      <c r="N124" s="471"/>
      <c r="O124" s="471"/>
      <c r="P124" s="471"/>
    </row>
    <row r="125" spans="2:16" ht="39.65" hidden="1" customHeight="1" x14ac:dyDescent="0.25"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>L126</f>
        <v>85</v>
      </c>
      <c r="M125" s="51">
        <f>M126</f>
        <v>85</v>
      </c>
      <c r="N125" s="51">
        <f>N126</f>
        <v>85</v>
      </c>
      <c r="O125" s="51">
        <f>O126</f>
        <v>85</v>
      </c>
      <c r="P125" s="51">
        <f>P126</f>
        <v>85</v>
      </c>
    </row>
    <row r="126" spans="2:16" ht="43.5" hidden="1" customHeight="1" x14ac:dyDescent="0.25"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>L129</f>
        <v>85</v>
      </c>
      <c r="M126" s="47">
        <f>M129</f>
        <v>85</v>
      </c>
      <c r="N126" s="47">
        <f>N129</f>
        <v>85</v>
      </c>
      <c r="O126" s="47">
        <f>O129</f>
        <v>85</v>
      </c>
      <c r="P126" s="47">
        <f>P129</f>
        <v>85</v>
      </c>
    </row>
    <row r="127" spans="2:16" ht="60.75" hidden="1" customHeight="1" x14ac:dyDescent="0.25"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3379" t="s">
        <v>20</v>
      </c>
      <c r="H127" s="3380"/>
      <c r="I127" s="3380"/>
      <c r="J127" s="3381"/>
      <c r="K127" s="41"/>
      <c r="L127" s="1"/>
      <c r="M127" s="1"/>
      <c r="N127" s="1"/>
      <c r="O127" s="1"/>
      <c r="P127" s="1"/>
    </row>
    <row r="128" spans="2:16" ht="48" hidden="1" customHeight="1" x14ac:dyDescent="0.25"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3373" t="s">
        <v>17</v>
      </c>
      <c r="H128" s="3374"/>
      <c r="I128" s="3374"/>
      <c r="J128" s="3375"/>
      <c r="K128" s="41"/>
      <c r="L128" s="1"/>
      <c r="M128" s="1"/>
      <c r="N128" s="1"/>
      <c r="O128" s="1"/>
      <c r="P128" s="1"/>
    </row>
    <row r="129" spans="2:16" ht="16.899999999999999" hidden="1" customHeight="1" x14ac:dyDescent="0.3">
      <c r="B129" s="195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28">
        <v>85</v>
      </c>
      <c r="O129" s="28">
        <v>85</v>
      </c>
      <c r="P129" s="28">
        <v>85</v>
      </c>
    </row>
    <row r="130" spans="2:16" ht="20.25" hidden="1" customHeight="1" x14ac:dyDescent="0.25"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482">
        <f>J131+J134</f>
        <v>11758.768999999998</v>
      </c>
      <c r="K130" s="471"/>
      <c r="L130" s="482">
        <f>L131+L134</f>
        <v>13625.55</v>
      </c>
      <c r="M130" s="482">
        <f>M131+M134</f>
        <v>15979.505000000001</v>
      </c>
      <c r="N130" s="482">
        <f>N131+N134</f>
        <v>11758.768999999998</v>
      </c>
      <c r="O130" s="482">
        <f>O131+O134</f>
        <v>11758.768999999998</v>
      </c>
      <c r="P130" s="482">
        <f>P131+P134</f>
        <v>11758.768999999998</v>
      </c>
    </row>
    <row r="131" spans="2:16" ht="55.15" hidden="1" customHeight="1" x14ac:dyDescent="0.25"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P132" si="9">L132</f>
        <v>6008.35</v>
      </c>
      <c r="M131" s="51">
        <f t="shared" si="9"/>
        <v>8515.7049999999999</v>
      </c>
      <c r="N131" s="51">
        <f t="shared" si="9"/>
        <v>2275.0059999999999</v>
      </c>
      <c r="O131" s="51">
        <f t="shared" si="9"/>
        <v>2275.0059999999999</v>
      </c>
      <c r="P131" s="51">
        <f t="shared" si="9"/>
        <v>2275.0059999999999</v>
      </c>
    </row>
    <row r="132" spans="2:16" ht="70.150000000000006" hidden="1" customHeight="1" x14ac:dyDescent="0.25">
      <c r="B132" s="58" t="s">
        <v>762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470">
        <f>J133</f>
        <v>2275.0059999999999</v>
      </c>
      <c r="K132" s="471"/>
      <c r="L132" s="470">
        <f t="shared" si="9"/>
        <v>6008.35</v>
      </c>
      <c r="M132" s="470">
        <f t="shared" si="9"/>
        <v>8515.7049999999999</v>
      </c>
      <c r="N132" s="470">
        <f t="shared" si="9"/>
        <v>2275.0059999999999</v>
      </c>
      <c r="O132" s="470">
        <f t="shared" si="9"/>
        <v>2275.0059999999999</v>
      </c>
      <c r="P132" s="470">
        <f t="shared" si="9"/>
        <v>2275.0059999999999</v>
      </c>
    </row>
    <row r="133" spans="2:16" ht="12.65" hidden="1" customHeight="1" x14ac:dyDescent="0.3">
      <c r="B133" s="195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470">
        <v>2275.0059999999999</v>
      </c>
      <c r="K133" s="471"/>
      <c r="L133" s="470">
        <v>6008.35</v>
      </c>
      <c r="M133" s="470">
        <v>8515.7049999999999</v>
      </c>
      <c r="N133" s="470">
        <v>2275.0059999999999</v>
      </c>
      <c r="O133" s="470">
        <v>2275.0059999999999</v>
      </c>
      <c r="P133" s="470">
        <v>2275.0059999999999</v>
      </c>
    </row>
    <row r="134" spans="2:16" ht="56.5" hidden="1" customHeight="1" x14ac:dyDescent="0.25"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>L135+L137</f>
        <v>7617.2</v>
      </c>
      <c r="M134" s="482">
        <f>M135+M137</f>
        <v>7463.8</v>
      </c>
      <c r="N134" s="51">
        <f>N135+N137</f>
        <v>9483.762999999999</v>
      </c>
      <c r="O134" s="51">
        <f>O135+O137</f>
        <v>9483.762999999999</v>
      </c>
      <c r="P134" s="51">
        <f>P135+P137</f>
        <v>9483.762999999999</v>
      </c>
    </row>
    <row r="135" spans="2:16" ht="78" hidden="1" x14ac:dyDescent="0.25">
      <c r="B135" s="49" t="s">
        <v>763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470">
        <f>J136</f>
        <v>5353.7750000000005</v>
      </c>
      <c r="K135" s="471"/>
      <c r="L135" s="471">
        <f>L136</f>
        <v>5406.2</v>
      </c>
      <c r="M135" s="471">
        <f>M136</f>
        <v>5230.3</v>
      </c>
      <c r="N135" s="470">
        <f>N136</f>
        <v>5353.7750000000005</v>
      </c>
      <c r="O135" s="470">
        <f>O136</f>
        <v>5353.7750000000005</v>
      </c>
      <c r="P135" s="470">
        <f>P136</f>
        <v>5353.7750000000005</v>
      </c>
    </row>
    <row r="136" spans="2:16" ht="13" hidden="1" x14ac:dyDescent="0.3">
      <c r="B136" s="195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467">
        <f>5356.1-4835.3+2500.3+2332.675</f>
        <v>5353.7750000000005</v>
      </c>
      <c r="K136" s="471"/>
      <c r="L136" s="467">
        <v>5406.2</v>
      </c>
      <c r="M136" s="467">
        <v>5230.3</v>
      </c>
      <c r="N136" s="467">
        <f>5356.1-4835.3+2500.3+2332.675</f>
        <v>5353.7750000000005</v>
      </c>
      <c r="O136" s="467">
        <f>5356.1-4835.3+2500.3+2332.675</f>
        <v>5353.7750000000005</v>
      </c>
      <c r="P136" s="467">
        <f>5356.1-4835.3+2500.3+2332.675</f>
        <v>5353.7750000000005</v>
      </c>
    </row>
    <row r="137" spans="2:16" ht="79.150000000000006" hidden="1" customHeight="1" x14ac:dyDescent="0.25">
      <c r="B137" s="49" t="s">
        <v>764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470">
        <f>J138</f>
        <v>4129.9879999999994</v>
      </c>
      <c r="K137" s="470"/>
      <c r="L137" s="470">
        <f>L138</f>
        <v>2211</v>
      </c>
      <c r="M137" s="470">
        <f>M138</f>
        <v>2233.5</v>
      </c>
      <c r="N137" s="470">
        <f>N138</f>
        <v>4129.9879999999994</v>
      </c>
      <c r="O137" s="470">
        <f>O138</f>
        <v>4129.9879999999994</v>
      </c>
      <c r="P137" s="470">
        <f>P138</f>
        <v>4129.9879999999994</v>
      </c>
    </row>
    <row r="138" spans="2:16" ht="18.649999999999999" hidden="1" customHeight="1" x14ac:dyDescent="0.3">
      <c r="B138" s="195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470">
        <f>2142.2+1447.788+540</f>
        <v>4129.9879999999994</v>
      </c>
      <c r="K138" s="470"/>
      <c r="L138" s="470">
        <v>2211</v>
      </c>
      <c r="M138" s="470">
        <v>2233.5</v>
      </c>
      <c r="N138" s="470">
        <f>2142.2+1447.788+540</f>
        <v>4129.9879999999994</v>
      </c>
      <c r="O138" s="470">
        <f>2142.2+1447.788+540</f>
        <v>4129.9879999999994</v>
      </c>
      <c r="P138" s="470">
        <f>2142.2+1447.788+540</f>
        <v>4129.9879999999994</v>
      </c>
    </row>
    <row r="139" spans="2:16" ht="19.5" hidden="1" customHeight="1" x14ac:dyDescent="0.25"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471">
        <f>J140</f>
        <v>0</v>
      </c>
      <c r="K139" s="471"/>
      <c r="L139" s="471">
        <f t="shared" ref="L139:P142" si="10">L140</f>
        <v>0</v>
      </c>
      <c r="M139" s="471">
        <f t="shared" si="10"/>
        <v>0</v>
      </c>
      <c r="N139" s="471">
        <f t="shared" si="10"/>
        <v>0</v>
      </c>
      <c r="O139" s="471">
        <f t="shared" si="10"/>
        <v>0</v>
      </c>
      <c r="P139" s="471">
        <f t="shared" si="10"/>
        <v>0</v>
      </c>
    </row>
    <row r="140" spans="2:16" ht="39" hidden="1" x14ac:dyDescent="0.25"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471">
        <f>J141</f>
        <v>0</v>
      </c>
      <c r="K140" s="471"/>
      <c r="L140" s="471">
        <f t="shared" si="10"/>
        <v>0</v>
      </c>
      <c r="M140" s="471">
        <f t="shared" si="10"/>
        <v>0</v>
      </c>
      <c r="N140" s="471">
        <f t="shared" si="10"/>
        <v>0</v>
      </c>
      <c r="O140" s="471">
        <f t="shared" si="10"/>
        <v>0</v>
      </c>
      <c r="P140" s="471">
        <f t="shared" si="10"/>
        <v>0</v>
      </c>
    </row>
    <row r="141" spans="2:16" ht="30.75" hidden="1" customHeight="1" x14ac:dyDescent="0.25"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483">
        <f>J142</f>
        <v>0</v>
      </c>
      <c r="K141" s="483"/>
      <c r="L141" s="483">
        <f t="shared" si="10"/>
        <v>0</v>
      </c>
      <c r="M141" s="483">
        <f t="shared" si="10"/>
        <v>0</v>
      </c>
      <c r="N141" s="483">
        <f t="shared" si="10"/>
        <v>0</v>
      </c>
      <c r="O141" s="483">
        <f t="shared" si="10"/>
        <v>0</v>
      </c>
      <c r="P141" s="483">
        <f t="shared" si="10"/>
        <v>0</v>
      </c>
    </row>
    <row r="142" spans="2:16" ht="26" hidden="1" x14ac:dyDescent="0.25"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483">
        <f>J143</f>
        <v>0</v>
      </c>
      <c r="K142" s="483"/>
      <c r="L142" s="483">
        <f t="shared" si="10"/>
        <v>0</v>
      </c>
      <c r="M142" s="483">
        <f t="shared" si="10"/>
        <v>0</v>
      </c>
      <c r="N142" s="483">
        <f t="shared" si="10"/>
        <v>0</v>
      </c>
      <c r="O142" s="483">
        <f t="shared" si="10"/>
        <v>0</v>
      </c>
      <c r="P142" s="483">
        <f t="shared" si="10"/>
        <v>0</v>
      </c>
    </row>
    <row r="143" spans="2:16" ht="13" hidden="1" x14ac:dyDescent="0.25"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483"/>
      <c r="K143" s="483"/>
      <c r="L143" s="483"/>
      <c r="M143" s="483"/>
      <c r="N143" s="483"/>
      <c r="O143" s="483"/>
      <c r="P143" s="483"/>
    </row>
    <row r="144" spans="2:16" ht="14" hidden="1" x14ac:dyDescent="0.25"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463">
        <f>J145</f>
        <v>160</v>
      </c>
      <c r="K144" s="463"/>
      <c r="L144" s="463">
        <f t="shared" ref="L144:P146" si="11">L145</f>
        <v>172</v>
      </c>
      <c r="M144" s="463">
        <f t="shared" si="11"/>
        <v>184</v>
      </c>
      <c r="N144" s="463">
        <f t="shared" si="11"/>
        <v>160</v>
      </c>
      <c r="O144" s="463">
        <f t="shared" si="11"/>
        <v>160</v>
      </c>
      <c r="P144" s="463">
        <f t="shared" si="11"/>
        <v>160</v>
      </c>
    </row>
    <row r="145" spans="2:16" ht="13" hidden="1" x14ac:dyDescent="0.25"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468">
        <f>J146</f>
        <v>160</v>
      </c>
      <c r="K145" s="468"/>
      <c r="L145" s="468">
        <f t="shared" si="11"/>
        <v>172</v>
      </c>
      <c r="M145" s="468">
        <f t="shared" si="11"/>
        <v>184</v>
      </c>
      <c r="N145" s="468">
        <f t="shared" si="11"/>
        <v>160</v>
      </c>
      <c r="O145" s="468">
        <f t="shared" si="11"/>
        <v>160</v>
      </c>
      <c r="P145" s="468">
        <f t="shared" si="11"/>
        <v>160</v>
      </c>
    </row>
    <row r="146" spans="2:16" ht="53.25" hidden="1" customHeight="1" x14ac:dyDescent="0.25"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11"/>
        <v>172</v>
      </c>
      <c r="M146" s="51">
        <f t="shared" si="11"/>
        <v>184</v>
      </c>
      <c r="N146" s="51">
        <f t="shared" si="11"/>
        <v>160</v>
      </c>
      <c r="O146" s="51">
        <f t="shared" si="11"/>
        <v>160</v>
      </c>
      <c r="P146" s="51">
        <f t="shared" si="11"/>
        <v>160</v>
      </c>
    </row>
    <row r="147" spans="2:16" ht="65" hidden="1" x14ac:dyDescent="0.25">
      <c r="B147" s="157" t="s">
        <v>765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468">
        <f>J150</f>
        <v>160</v>
      </c>
      <c r="K147" s="468"/>
      <c r="L147" s="468">
        <f>L150</f>
        <v>172</v>
      </c>
      <c r="M147" s="468">
        <f>M150</f>
        <v>184</v>
      </c>
      <c r="N147" s="468">
        <f>N150</f>
        <v>160</v>
      </c>
      <c r="O147" s="468">
        <f>O150</f>
        <v>160</v>
      </c>
      <c r="P147" s="468">
        <f>P150</f>
        <v>160</v>
      </c>
    </row>
    <row r="148" spans="2:16" ht="75" hidden="1" customHeight="1" x14ac:dyDescent="0.25"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468"/>
      <c r="K148" s="468"/>
      <c r="L148" s="468"/>
      <c r="M148" s="468"/>
      <c r="N148" s="468"/>
      <c r="O148" s="468"/>
      <c r="P148" s="468"/>
    </row>
    <row r="149" spans="2:16" ht="16.149999999999999" hidden="1" customHeight="1" x14ac:dyDescent="0.3">
      <c r="B149" s="195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468"/>
      <c r="K149" s="468"/>
      <c r="L149" s="468"/>
      <c r="M149" s="468"/>
      <c r="N149" s="468"/>
      <c r="O149" s="468"/>
      <c r="P149" s="468"/>
    </row>
    <row r="150" spans="2:16" ht="77.25" hidden="1" customHeight="1" x14ac:dyDescent="0.25">
      <c r="B150" s="49" t="s">
        <v>766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468">
        <f>J151</f>
        <v>160</v>
      </c>
      <c r="K150" s="468"/>
      <c r="L150" s="468">
        <f>L151</f>
        <v>172</v>
      </c>
      <c r="M150" s="468">
        <f>M151</f>
        <v>184</v>
      </c>
      <c r="N150" s="468">
        <f>N151</f>
        <v>160</v>
      </c>
      <c r="O150" s="468">
        <f>O151</f>
        <v>160</v>
      </c>
      <c r="P150" s="468">
        <f>P151</f>
        <v>160</v>
      </c>
    </row>
    <row r="151" spans="2:16" ht="16.899999999999999" hidden="1" customHeight="1" x14ac:dyDescent="0.3">
      <c r="B151" s="195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468">
        <v>160</v>
      </c>
      <c r="K151" s="468"/>
      <c r="L151" s="468">
        <v>172</v>
      </c>
      <c r="M151" s="468">
        <v>184</v>
      </c>
      <c r="N151" s="468">
        <v>160</v>
      </c>
      <c r="O151" s="468">
        <v>160</v>
      </c>
      <c r="P151" s="468">
        <v>160</v>
      </c>
    </row>
    <row r="152" spans="2:16" ht="14" hidden="1" x14ac:dyDescent="0.25"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463">
        <f>J153+J160</f>
        <v>7152.5</v>
      </c>
      <c r="K152" s="463"/>
      <c r="L152" s="463">
        <f>L153+L160</f>
        <v>7583.5</v>
      </c>
      <c r="M152" s="463">
        <f>M153+M160</f>
        <v>8198.5</v>
      </c>
      <c r="N152" s="463">
        <f>N153+N160</f>
        <v>7152.5</v>
      </c>
      <c r="O152" s="463">
        <f>O153+O160</f>
        <v>7152.5</v>
      </c>
      <c r="P152" s="463">
        <f>P153+P160</f>
        <v>7152.5</v>
      </c>
    </row>
    <row r="153" spans="2:16" ht="13" hidden="1" x14ac:dyDescent="0.25"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464">
        <f>J154</f>
        <v>5947</v>
      </c>
      <c r="K153" s="464"/>
      <c r="L153" s="464">
        <f t="shared" ref="L153:P155" si="12">L154</f>
        <v>6305</v>
      </c>
      <c r="M153" s="464">
        <f t="shared" si="12"/>
        <v>6960</v>
      </c>
      <c r="N153" s="464">
        <f t="shared" si="12"/>
        <v>5947</v>
      </c>
      <c r="O153" s="464">
        <f t="shared" si="12"/>
        <v>5947</v>
      </c>
      <c r="P153" s="464">
        <f t="shared" si="12"/>
        <v>5947</v>
      </c>
    </row>
    <row r="154" spans="2:16" ht="55.5" hidden="1" customHeight="1" x14ac:dyDescent="0.25"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12"/>
        <v>6305</v>
      </c>
      <c r="M154" s="51">
        <f t="shared" si="12"/>
        <v>6960</v>
      </c>
      <c r="N154" s="51">
        <f t="shared" si="12"/>
        <v>5947</v>
      </c>
      <c r="O154" s="51">
        <f t="shared" si="12"/>
        <v>5947</v>
      </c>
      <c r="P154" s="51">
        <f t="shared" si="12"/>
        <v>5947</v>
      </c>
    </row>
    <row r="155" spans="2:16" ht="83.5" hidden="1" customHeight="1" x14ac:dyDescent="0.25">
      <c r="B155" s="157" t="s">
        <v>767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466">
        <f>J156</f>
        <v>5947</v>
      </c>
      <c r="K155" s="466"/>
      <c r="L155" s="466">
        <f t="shared" si="12"/>
        <v>6305</v>
      </c>
      <c r="M155" s="466">
        <f t="shared" si="12"/>
        <v>6960</v>
      </c>
      <c r="N155" s="466">
        <f t="shared" si="12"/>
        <v>5947</v>
      </c>
      <c r="O155" s="466">
        <f t="shared" si="12"/>
        <v>5947</v>
      </c>
      <c r="P155" s="466">
        <f t="shared" si="12"/>
        <v>5947</v>
      </c>
    </row>
    <row r="156" spans="2:16" ht="91" hidden="1" x14ac:dyDescent="0.25">
      <c r="B156" s="49" t="s">
        <v>768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466">
        <f>J157+J158+J159</f>
        <v>5947</v>
      </c>
      <c r="K156" s="466"/>
      <c r="L156" s="466">
        <f>L157+L158+L159</f>
        <v>6305</v>
      </c>
      <c r="M156" s="466">
        <f>M157+M158+M159</f>
        <v>6960</v>
      </c>
      <c r="N156" s="466">
        <f>N157+N158+N159</f>
        <v>5947</v>
      </c>
      <c r="O156" s="466">
        <f>O157+O158+O159</f>
        <v>5947</v>
      </c>
      <c r="P156" s="466">
        <f>P157+P158+P159</f>
        <v>5947</v>
      </c>
    </row>
    <row r="157" spans="2:16" ht="13" hidden="1" x14ac:dyDescent="0.3">
      <c r="B157" s="195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485">
        <v>4171.2870000000003</v>
      </c>
      <c r="K157" s="485"/>
      <c r="L157" s="466">
        <v>5305.1139999999996</v>
      </c>
      <c r="M157" s="466">
        <v>6631.482</v>
      </c>
      <c r="N157" s="485">
        <v>4171.2870000000003</v>
      </c>
      <c r="O157" s="485">
        <v>4171.2870000000003</v>
      </c>
      <c r="P157" s="485">
        <v>4171.2870000000003</v>
      </c>
    </row>
    <row r="158" spans="2:16" ht="13" hidden="1" x14ac:dyDescent="0.3">
      <c r="B158" s="195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466">
        <f>1775.713-0.713</f>
        <v>1775</v>
      </c>
      <c r="K158" s="466"/>
      <c r="L158" s="466">
        <f>999.886-0.886</f>
        <v>999</v>
      </c>
      <c r="M158" s="466">
        <v>328</v>
      </c>
      <c r="N158" s="466">
        <f>1775.713-0.713</f>
        <v>1775</v>
      </c>
      <c r="O158" s="466">
        <f>1775.713-0.713</f>
        <v>1775</v>
      </c>
      <c r="P158" s="466">
        <f>1775.713-0.713</f>
        <v>1775</v>
      </c>
    </row>
    <row r="159" spans="2:16" ht="13" hidden="1" x14ac:dyDescent="0.3">
      <c r="B159" s="195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468">
        <v>0.71299999999999997</v>
      </c>
      <c r="K159" s="468"/>
      <c r="L159" s="468">
        <v>0.88600000000000001</v>
      </c>
      <c r="M159" s="468">
        <v>0.51800000000000002</v>
      </c>
      <c r="N159" s="468">
        <v>0.71299999999999997</v>
      </c>
      <c r="O159" s="468">
        <v>0.71299999999999997</v>
      </c>
      <c r="P159" s="468">
        <v>0.71299999999999997</v>
      </c>
    </row>
    <row r="160" spans="2:16" ht="30.75" hidden="1" customHeight="1" x14ac:dyDescent="0.25"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464">
        <f>J161</f>
        <v>1205.5</v>
      </c>
      <c r="K160" s="464"/>
      <c r="L160" s="464">
        <f t="shared" ref="L160:P163" si="13">L161</f>
        <v>1278.5</v>
      </c>
      <c r="M160" s="464">
        <f t="shared" si="13"/>
        <v>1238.5</v>
      </c>
      <c r="N160" s="464">
        <f t="shared" si="13"/>
        <v>1205.5</v>
      </c>
      <c r="O160" s="464">
        <f t="shared" si="13"/>
        <v>1205.5</v>
      </c>
      <c r="P160" s="464">
        <f t="shared" si="13"/>
        <v>1205.5</v>
      </c>
    </row>
    <row r="161" spans="2:24" ht="39.65" hidden="1" customHeight="1" x14ac:dyDescent="0.25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13"/>
        <v>1278.5</v>
      </c>
      <c r="M161" s="51">
        <f t="shared" si="13"/>
        <v>1238.5</v>
      </c>
      <c r="N161" s="51">
        <f t="shared" si="13"/>
        <v>1205.5</v>
      </c>
      <c r="O161" s="51">
        <f t="shared" si="13"/>
        <v>1205.5</v>
      </c>
      <c r="P161" s="51">
        <f t="shared" si="13"/>
        <v>1205.5</v>
      </c>
    </row>
    <row r="162" spans="2:24" ht="85.9" hidden="1" customHeight="1" x14ac:dyDescent="0.25">
      <c r="B162" s="157" t="s">
        <v>769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466">
        <f>J163</f>
        <v>1205.5</v>
      </c>
      <c r="K162" s="466"/>
      <c r="L162" s="466">
        <f t="shared" si="13"/>
        <v>1278.5</v>
      </c>
      <c r="M162" s="466">
        <f t="shared" si="13"/>
        <v>1238.5</v>
      </c>
      <c r="N162" s="466">
        <f t="shared" si="13"/>
        <v>1205.5</v>
      </c>
      <c r="O162" s="466">
        <f t="shared" si="13"/>
        <v>1205.5</v>
      </c>
      <c r="P162" s="466">
        <f t="shared" si="13"/>
        <v>1205.5</v>
      </c>
    </row>
    <row r="163" spans="2:24" ht="91" hidden="1" x14ac:dyDescent="0.25">
      <c r="B163" s="49" t="s">
        <v>770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466">
        <f>J164</f>
        <v>1205.5</v>
      </c>
      <c r="K163" s="466"/>
      <c r="L163" s="466">
        <f t="shared" si="13"/>
        <v>1278.5</v>
      </c>
      <c r="M163" s="466">
        <f t="shared" si="13"/>
        <v>1238.5</v>
      </c>
      <c r="N163" s="466">
        <f t="shared" si="13"/>
        <v>1205.5</v>
      </c>
      <c r="O163" s="466">
        <f t="shared" si="13"/>
        <v>1205.5</v>
      </c>
      <c r="P163" s="466">
        <f t="shared" si="13"/>
        <v>1205.5</v>
      </c>
    </row>
    <row r="164" spans="2:24" ht="13" hidden="1" x14ac:dyDescent="0.3">
      <c r="B164" s="195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466">
        <v>1205.5</v>
      </c>
      <c r="K164" s="466"/>
      <c r="L164" s="466">
        <v>1278.5</v>
      </c>
      <c r="M164" s="466">
        <v>1238.5</v>
      </c>
      <c r="N164" s="466">
        <v>1205.5</v>
      </c>
      <c r="O164" s="466">
        <v>1205.5</v>
      </c>
      <c r="P164" s="466">
        <v>1205.5</v>
      </c>
    </row>
    <row r="165" spans="2:24" s="162" customFormat="1" ht="52" hidden="1" x14ac:dyDescent="0.3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468"/>
      <c r="K165" s="468"/>
      <c r="L165" s="468"/>
      <c r="M165" s="468"/>
      <c r="N165" s="468"/>
      <c r="O165" s="468"/>
      <c r="P165" s="468"/>
      <c r="Q165" s="163"/>
      <c r="R165" s="163"/>
      <c r="S165" s="163"/>
      <c r="T165" s="163"/>
      <c r="U165" s="163"/>
      <c r="V165" s="163"/>
      <c r="W165" s="163"/>
      <c r="X165" s="163"/>
    </row>
    <row r="166" spans="2:24" ht="14" hidden="1" x14ac:dyDescent="0.25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473">
        <f>J167+J170</f>
        <v>412.5</v>
      </c>
      <c r="K166" s="473"/>
      <c r="L166" s="473">
        <f>L167+L170</f>
        <v>412.5</v>
      </c>
      <c r="M166" s="473">
        <f>M167+M170</f>
        <v>412.5</v>
      </c>
      <c r="N166" s="473">
        <f>N167+N170</f>
        <v>412.5</v>
      </c>
      <c r="O166" s="473">
        <f>O167+O170</f>
        <v>412.5</v>
      </c>
      <c r="P166" s="473">
        <f>P167+P170</f>
        <v>412.5</v>
      </c>
    </row>
    <row r="167" spans="2:24" ht="13" hidden="1" x14ac:dyDescent="0.25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471">
        <f>J168</f>
        <v>240.5</v>
      </c>
      <c r="K167" s="471"/>
      <c r="L167" s="471">
        <f t="shared" ref="L167:P168" si="14">L168</f>
        <v>240.5</v>
      </c>
      <c r="M167" s="471">
        <f t="shared" si="14"/>
        <v>240.5</v>
      </c>
      <c r="N167" s="471">
        <f t="shared" si="14"/>
        <v>240.5</v>
      </c>
      <c r="O167" s="471">
        <f t="shared" si="14"/>
        <v>240.5</v>
      </c>
      <c r="P167" s="471">
        <f t="shared" si="14"/>
        <v>240.5</v>
      </c>
    </row>
    <row r="168" spans="2:24" ht="21" hidden="1" customHeight="1" x14ac:dyDescent="0.25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469">
        <f>J169</f>
        <v>240.5</v>
      </c>
      <c r="K168" s="469"/>
      <c r="L168" s="469">
        <f t="shared" si="14"/>
        <v>240.5</v>
      </c>
      <c r="M168" s="469">
        <f t="shared" si="14"/>
        <v>240.5</v>
      </c>
      <c r="N168" s="469">
        <f t="shared" si="14"/>
        <v>240.5</v>
      </c>
      <c r="O168" s="469">
        <f t="shared" si="14"/>
        <v>240.5</v>
      </c>
      <c r="P168" s="469">
        <f t="shared" si="14"/>
        <v>240.5</v>
      </c>
    </row>
    <row r="169" spans="2:24" ht="21" hidden="1" customHeight="1" x14ac:dyDescent="0.3">
      <c r="B169" s="195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469">
        <v>240.5</v>
      </c>
      <c r="K169" s="469"/>
      <c r="L169" s="469">
        <v>240.5</v>
      </c>
      <c r="M169" s="469">
        <v>240.5</v>
      </c>
      <c r="N169" s="469">
        <v>240.5</v>
      </c>
      <c r="O169" s="469">
        <v>240.5</v>
      </c>
      <c r="P169" s="469">
        <v>240.5</v>
      </c>
    </row>
    <row r="170" spans="2:24" ht="13" hidden="1" x14ac:dyDescent="0.25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471">
        <f>J171</f>
        <v>172</v>
      </c>
      <c r="K170" s="471"/>
      <c r="L170" s="471">
        <f t="shared" ref="L170:P171" si="15">L171</f>
        <v>172</v>
      </c>
      <c r="M170" s="471">
        <f t="shared" si="15"/>
        <v>172</v>
      </c>
      <c r="N170" s="471">
        <f t="shared" si="15"/>
        <v>172</v>
      </c>
      <c r="O170" s="471">
        <f t="shared" si="15"/>
        <v>172</v>
      </c>
      <c r="P170" s="471">
        <f t="shared" si="15"/>
        <v>172</v>
      </c>
    </row>
    <row r="171" spans="2:24" ht="21" hidden="1" customHeight="1" x14ac:dyDescent="0.25"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469">
        <f>J172</f>
        <v>172</v>
      </c>
      <c r="K171" s="469"/>
      <c r="L171" s="469">
        <f t="shared" si="15"/>
        <v>172</v>
      </c>
      <c r="M171" s="469">
        <f t="shared" si="15"/>
        <v>172</v>
      </c>
      <c r="N171" s="469">
        <f t="shared" si="15"/>
        <v>172</v>
      </c>
      <c r="O171" s="469">
        <f t="shared" si="15"/>
        <v>172</v>
      </c>
      <c r="P171" s="469">
        <f t="shared" si="15"/>
        <v>172</v>
      </c>
    </row>
    <row r="172" spans="2:24" ht="21" hidden="1" customHeight="1" x14ac:dyDescent="0.3">
      <c r="B172" s="195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469">
        <v>172</v>
      </c>
      <c r="K172" s="469"/>
      <c r="L172" s="469">
        <v>172</v>
      </c>
      <c r="M172" s="469">
        <v>172</v>
      </c>
      <c r="N172" s="469">
        <v>172</v>
      </c>
      <c r="O172" s="469">
        <v>172</v>
      </c>
      <c r="P172" s="469">
        <v>172</v>
      </c>
    </row>
    <row r="173" spans="2:24" ht="14" hidden="1" x14ac:dyDescent="0.25"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474">
        <f>J175</f>
        <v>3930</v>
      </c>
      <c r="K173" s="474"/>
      <c r="L173" s="474">
        <f>L175</f>
        <v>3930</v>
      </c>
      <c r="M173" s="474">
        <f>M175</f>
        <v>1185</v>
      </c>
      <c r="N173" s="474">
        <f>N175</f>
        <v>3930</v>
      </c>
      <c r="O173" s="474">
        <f>O175</f>
        <v>3930</v>
      </c>
      <c r="P173" s="474">
        <f>P175</f>
        <v>3930</v>
      </c>
    </row>
    <row r="174" spans="2:24" ht="24" hidden="1" customHeight="1" x14ac:dyDescent="0.25"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467">
        <f>J175</f>
        <v>3930</v>
      </c>
      <c r="K174" s="467"/>
      <c r="L174" s="467">
        <f>L175</f>
        <v>3930</v>
      </c>
      <c r="M174" s="467">
        <f>M175</f>
        <v>1185</v>
      </c>
      <c r="N174" s="467">
        <f>N175</f>
        <v>3930</v>
      </c>
      <c r="O174" s="467">
        <f>O175</f>
        <v>3930</v>
      </c>
      <c r="P174" s="467">
        <f>P175</f>
        <v>3930</v>
      </c>
    </row>
    <row r="175" spans="2:24" ht="58.5" hidden="1" customHeight="1" x14ac:dyDescent="0.25"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486">
        <f>J178+J182</f>
        <v>3930</v>
      </c>
      <c r="K175" s="486"/>
      <c r="L175" s="486">
        <f>L178+L182</f>
        <v>3930</v>
      </c>
      <c r="M175" s="486">
        <f>M178+M182</f>
        <v>1185</v>
      </c>
      <c r="N175" s="486">
        <f>N178+N182</f>
        <v>3930</v>
      </c>
      <c r="O175" s="486">
        <f>O178+O182</f>
        <v>3930</v>
      </c>
      <c r="P175" s="486">
        <f>P178+P182</f>
        <v>3930</v>
      </c>
    </row>
    <row r="176" spans="2:24" ht="52" hidden="1" x14ac:dyDescent="0.25">
      <c r="B176" s="157" t="s">
        <v>771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467"/>
      <c r="K176" s="467"/>
      <c r="L176" s="467"/>
      <c r="M176" s="467"/>
      <c r="N176" s="467"/>
      <c r="O176" s="467"/>
      <c r="P176" s="467"/>
    </row>
    <row r="177" spans="1:17" ht="52" hidden="1" x14ac:dyDescent="0.25">
      <c r="B177" s="76" t="s">
        <v>772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467"/>
      <c r="K177" s="467"/>
      <c r="L177" s="467"/>
      <c r="M177" s="467"/>
      <c r="N177" s="467"/>
      <c r="O177" s="467"/>
      <c r="P177" s="467"/>
    </row>
    <row r="178" spans="1:17" ht="78" hidden="1" x14ac:dyDescent="0.25">
      <c r="B178" s="157" t="s">
        <v>773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465">
        <f>J179</f>
        <v>3600</v>
      </c>
      <c r="K178" s="465"/>
      <c r="L178" s="465">
        <f t="shared" ref="L178:P179" si="16">L179</f>
        <v>3600</v>
      </c>
      <c r="M178" s="465">
        <f t="shared" si="16"/>
        <v>850</v>
      </c>
      <c r="N178" s="465">
        <f t="shared" si="16"/>
        <v>3600</v>
      </c>
      <c r="O178" s="465">
        <f t="shared" si="16"/>
        <v>3600</v>
      </c>
      <c r="P178" s="465">
        <f t="shared" si="16"/>
        <v>3600</v>
      </c>
    </row>
    <row r="179" spans="1:17" ht="80.5" hidden="1" customHeight="1" x14ac:dyDescent="0.25">
      <c r="B179" s="49" t="s">
        <v>774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467">
        <f>J180</f>
        <v>3600</v>
      </c>
      <c r="K179" s="467"/>
      <c r="L179" s="467">
        <f t="shared" si="16"/>
        <v>3600</v>
      </c>
      <c r="M179" s="467">
        <f t="shared" si="16"/>
        <v>850</v>
      </c>
      <c r="N179" s="467">
        <f t="shared" si="16"/>
        <v>3600</v>
      </c>
      <c r="O179" s="467">
        <f t="shared" si="16"/>
        <v>3600</v>
      </c>
      <c r="P179" s="467">
        <f t="shared" si="16"/>
        <v>3600</v>
      </c>
    </row>
    <row r="180" spans="1:17" ht="13" hidden="1" x14ac:dyDescent="0.3">
      <c r="B180" s="16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467">
        <v>3600</v>
      </c>
      <c r="K180" s="467"/>
      <c r="L180" s="467">
        <v>3600</v>
      </c>
      <c r="M180" s="467">
        <v>850</v>
      </c>
      <c r="N180" s="467">
        <v>3600</v>
      </c>
      <c r="O180" s="467">
        <v>3600</v>
      </c>
      <c r="P180" s="467">
        <v>3600</v>
      </c>
    </row>
    <row r="181" spans="1:17" ht="52" hidden="1" x14ac:dyDescent="0.25"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469"/>
      <c r="K181" s="469"/>
      <c r="L181" s="469"/>
      <c r="M181" s="469"/>
      <c r="N181" s="469"/>
      <c r="O181" s="469"/>
      <c r="P181" s="469"/>
    </row>
    <row r="182" spans="1:17" ht="78" hidden="1" x14ac:dyDescent="0.25">
      <c r="B182" s="191" t="s">
        <v>775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471">
        <f>J183</f>
        <v>330</v>
      </c>
      <c r="K182" s="471"/>
      <c r="L182" s="471">
        <f>L183</f>
        <v>330</v>
      </c>
      <c r="M182" s="471">
        <f>M183</f>
        <v>335</v>
      </c>
      <c r="N182" s="471">
        <f>N183</f>
        <v>330</v>
      </c>
      <c r="O182" s="471">
        <f>O183</f>
        <v>330</v>
      </c>
      <c r="P182" s="471">
        <f>P183</f>
        <v>330</v>
      </c>
    </row>
    <row r="183" spans="1:17" ht="92.25" hidden="1" customHeight="1" x14ac:dyDescent="0.25">
      <c r="B183" s="76" t="s">
        <v>776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469">
        <f>J184</f>
        <v>330</v>
      </c>
      <c r="K183" s="469"/>
      <c r="L183" s="469">
        <f>L184</f>
        <v>330</v>
      </c>
      <c r="M183" s="469">
        <v>335</v>
      </c>
      <c r="N183" s="469">
        <f>N184</f>
        <v>330</v>
      </c>
      <c r="O183" s="469">
        <f>O184</f>
        <v>330</v>
      </c>
      <c r="P183" s="469">
        <f>P184</f>
        <v>330</v>
      </c>
    </row>
    <row r="184" spans="1:17" ht="13.9" hidden="1" customHeight="1" x14ac:dyDescent="0.3">
      <c r="B184" s="16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469">
        <v>330</v>
      </c>
      <c r="K184" s="469"/>
      <c r="L184" s="469">
        <v>330</v>
      </c>
      <c r="M184" s="469">
        <v>330</v>
      </c>
      <c r="N184" s="469">
        <v>330</v>
      </c>
      <c r="O184" s="469">
        <v>330</v>
      </c>
      <c r="P184" s="469">
        <v>330</v>
      </c>
    </row>
    <row r="185" spans="1:17" hidden="1" x14ac:dyDescent="0.25"/>
    <row r="186" spans="1:17" hidden="1" x14ac:dyDescent="0.25"/>
    <row r="187" spans="1:17" hidden="1" x14ac:dyDescent="0.25"/>
    <row r="188" spans="1:17" ht="45" x14ac:dyDescent="0.25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804" t="s">
        <v>319</v>
      </c>
      <c r="K188" s="805"/>
      <c r="L188" s="184" t="s">
        <v>318</v>
      </c>
      <c r="M188" s="184" t="s">
        <v>317</v>
      </c>
      <c r="N188" s="806" t="s">
        <v>791</v>
      </c>
      <c r="O188" s="782" t="s">
        <v>779</v>
      </c>
      <c r="P188" s="459" t="s">
        <v>315</v>
      </c>
    </row>
    <row r="189" spans="1:17" ht="15" x14ac:dyDescent="0.25">
      <c r="A189" s="32"/>
      <c r="B189" s="182" t="s">
        <v>314</v>
      </c>
      <c r="C189" s="179"/>
      <c r="D189" s="178"/>
      <c r="E189" s="178"/>
      <c r="F189" s="94"/>
      <c r="G189" s="94"/>
      <c r="H189" s="94"/>
      <c r="I189" s="94"/>
      <c r="J189" s="487">
        <f>J190+J333</f>
        <v>72325.900000000009</v>
      </c>
      <c r="K189" s="807"/>
      <c r="L189" s="488">
        <f>L190+L333</f>
        <v>70391</v>
      </c>
      <c r="M189" s="488">
        <f>M190+M333</f>
        <v>70022.100000000006</v>
      </c>
      <c r="N189" s="808">
        <f>N190+N333</f>
        <v>102626.07399999999</v>
      </c>
      <c r="O189" s="487">
        <f>O190+O333</f>
        <v>78942.400000000009</v>
      </c>
      <c r="P189" s="487">
        <f>P190+P333</f>
        <v>79872.899999999994</v>
      </c>
    </row>
    <row r="190" spans="1:17" ht="15" x14ac:dyDescent="0.25">
      <c r="A190" s="32"/>
      <c r="B190" s="129" t="s">
        <v>313</v>
      </c>
      <c r="C190" s="179"/>
      <c r="D190" s="178"/>
      <c r="E190" s="178"/>
      <c r="F190" s="94"/>
      <c r="G190" s="94"/>
      <c r="H190" s="94"/>
      <c r="I190" s="94"/>
      <c r="J190" s="488">
        <f>J191+J204+J215+J240+J260+J284+J290+J323</f>
        <v>25287.312000000002</v>
      </c>
      <c r="K190" s="807"/>
      <c r="L190" s="488">
        <f>L191+L204+L215+L240+L260+L284+L290+L323</f>
        <v>42242.735000000001</v>
      </c>
      <c r="M190" s="488">
        <f>M191+M204+M215+M240+M260+M284+M290+M323</f>
        <v>40917.551999999996</v>
      </c>
      <c r="N190" s="809">
        <f>N323+N299+N290+N284+N260+N240+N215+N204+N191+N307</f>
        <v>67863.30799999999</v>
      </c>
      <c r="O190" s="488">
        <f>O323+O299+O290+O284+O260+O240+O215+O204+O191</f>
        <v>55959.275000000001</v>
      </c>
      <c r="P190" s="488">
        <f>P323+P299+P290+P284+P260+P240+P215+P204+P191</f>
        <v>55434.17</v>
      </c>
    </row>
    <row r="191" spans="1:17" ht="58.5" customHeight="1" x14ac:dyDescent="0.25">
      <c r="A191" s="91">
        <v>1</v>
      </c>
      <c r="B191" s="126" t="s">
        <v>312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489">
        <f>J194+J199</f>
        <v>330</v>
      </c>
      <c r="K191" s="486"/>
      <c r="L191" s="486">
        <f>L194+L199</f>
        <v>3930</v>
      </c>
      <c r="M191" s="486">
        <f>M194+M199</f>
        <v>1185</v>
      </c>
      <c r="N191" s="810">
        <f>N194+N199</f>
        <v>500</v>
      </c>
      <c r="O191" s="489">
        <f>O194+O199</f>
        <v>450</v>
      </c>
      <c r="P191" s="489">
        <f>P194+P199</f>
        <v>500</v>
      </c>
      <c r="Q191" s="490"/>
    </row>
    <row r="192" spans="1:17" ht="52" hidden="1" x14ac:dyDescent="0.25">
      <c r="A192" s="32"/>
      <c r="B192" s="157" t="s">
        <v>771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467"/>
      <c r="K192" s="467"/>
      <c r="L192" s="467"/>
      <c r="M192" s="467"/>
      <c r="N192" s="811"/>
      <c r="O192" s="783"/>
      <c r="P192" s="467"/>
    </row>
    <row r="193" spans="1:24" ht="52" hidden="1" x14ac:dyDescent="0.25">
      <c r="A193" s="32"/>
      <c r="B193" s="49" t="s">
        <v>772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467"/>
      <c r="K193" s="467"/>
      <c r="L193" s="467"/>
      <c r="M193" s="467"/>
      <c r="N193" s="811"/>
      <c r="O193" s="783"/>
      <c r="P193" s="467"/>
    </row>
    <row r="194" spans="1:24" ht="78" hidden="1" x14ac:dyDescent="0.3">
      <c r="A194" s="32"/>
      <c r="B194" s="157" t="s">
        <v>780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465">
        <f>J195</f>
        <v>0</v>
      </c>
      <c r="K194" s="465"/>
      <c r="L194" s="465">
        <f t="shared" ref="L194:P195" si="17">L195</f>
        <v>3600</v>
      </c>
      <c r="M194" s="465">
        <f t="shared" si="17"/>
        <v>850</v>
      </c>
      <c r="N194" s="812">
        <f t="shared" si="17"/>
        <v>0</v>
      </c>
      <c r="O194" s="784">
        <f t="shared" si="17"/>
        <v>0</v>
      </c>
      <c r="P194" s="465">
        <f t="shared" si="17"/>
        <v>0</v>
      </c>
      <c r="Q194" s="491"/>
      <c r="R194" s="491"/>
      <c r="S194" s="491"/>
      <c r="T194" s="491"/>
    </row>
    <row r="195" spans="1:24" ht="91" hidden="1" x14ac:dyDescent="0.3">
      <c r="A195" s="32"/>
      <c r="B195" s="49" t="s">
        <v>781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467">
        <f>J196</f>
        <v>0</v>
      </c>
      <c r="K195" s="467"/>
      <c r="L195" s="467">
        <f t="shared" si="17"/>
        <v>3600</v>
      </c>
      <c r="M195" s="467">
        <f t="shared" si="17"/>
        <v>850</v>
      </c>
      <c r="N195" s="811">
        <f t="shared" si="17"/>
        <v>0</v>
      </c>
      <c r="O195" s="783">
        <f t="shared" si="17"/>
        <v>0</v>
      </c>
      <c r="P195" s="467">
        <f t="shared" si="17"/>
        <v>0</v>
      </c>
      <c r="Q195" s="491"/>
      <c r="R195" s="491"/>
      <c r="S195" s="491"/>
      <c r="T195" s="491"/>
    </row>
    <row r="196" spans="1:24" ht="26" hidden="1" x14ac:dyDescent="0.3">
      <c r="A196" s="32"/>
      <c r="B196" s="15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467">
        <f>J198</f>
        <v>0</v>
      </c>
      <c r="K196" s="467"/>
      <c r="L196" s="467">
        <v>3600</v>
      </c>
      <c r="M196" s="467">
        <v>850</v>
      </c>
      <c r="N196" s="811">
        <f>N198</f>
        <v>0</v>
      </c>
      <c r="O196" s="783">
        <f>O198</f>
        <v>0</v>
      </c>
      <c r="P196" s="467">
        <f>P198</f>
        <v>0</v>
      </c>
      <c r="Q196" s="491"/>
      <c r="R196" s="491"/>
      <c r="S196" s="491"/>
      <c r="T196" s="491"/>
    </row>
    <row r="197" spans="1:24" ht="52" hidden="1" x14ac:dyDescent="0.3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469"/>
      <c r="K197" s="469"/>
      <c r="L197" s="469"/>
      <c r="M197" s="469"/>
      <c r="N197" s="813"/>
      <c r="O197" s="475"/>
      <c r="P197" s="469"/>
      <c r="Q197" s="491"/>
      <c r="R197" s="491"/>
      <c r="S197" s="491"/>
      <c r="T197" s="491"/>
    </row>
    <row r="198" spans="1:24" ht="15" hidden="1" x14ac:dyDescent="0.3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/>
      <c r="I198" s="9" t="s">
        <v>62</v>
      </c>
      <c r="J198" s="467"/>
      <c r="K198" s="467"/>
      <c r="L198" s="467">
        <v>3600</v>
      </c>
      <c r="M198" s="467">
        <v>850</v>
      </c>
      <c r="N198" s="811"/>
      <c r="O198" s="783"/>
      <c r="P198" s="467"/>
      <c r="Q198" s="491"/>
      <c r="R198" s="491"/>
      <c r="S198" s="491"/>
      <c r="T198" s="491"/>
    </row>
    <row r="199" spans="1:24" ht="39" x14ac:dyDescent="0.3">
      <c r="A199" s="32"/>
      <c r="B199" s="157" t="s">
        <v>300</v>
      </c>
      <c r="C199" s="9"/>
      <c r="D199" s="9" t="s">
        <v>295</v>
      </c>
      <c r="E199" s="9" t="s">
        <v>62</v>
      </c>
      <c r="F199" s="34" t="s">
        <v>299</v>
      </c>
      <c r="G199" s="9"/>
      <c r="H199" s="9"/>
      <c r="I199" s="9"/>
      <c r="J199" s="471">
        <f>J200</f>
        <v>330</v>
      </c>
      <c r="K199" s="471"/>
      <c r="L199" s="471">
        <f>L200</f>
        <v>330</v>
      </c>
      <c r="M199" s="471">
        <f>M200</f>
        <v>335</v>
      </c>
      <c r="N199" s="814">
        <f>N200</f>
        <v>500</v>
      </c>
      <c r="O199" s="746">
        <f>O200</f>
        <v>450</v>
      </c>
      <c r="P199" s="471">
        <f>P200</f>
        <v>500</v>
      </c>
      <c r="Q199" s="491"/>
      <c r="R199" s="491"/>
      <c r="S199" s="491"/>
      <c r="T199" s="491"/>
    </row>
    <row r="200" spans="1:24" ht="39" x14ac:dyDescent="0.25">
      <c r="A200" s="32"/>
      <c r="B200" s="492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469">
        <f>J202</f>
        <v>330</v>
      </c>
      <c r="K200" s="469"/>
      <c r="L200" s="469">
        <f>L202</f>
        <v>330</v>
      </c>
      <c r="M200" s="469">
        <v>335</v>
      </c>
      <c r="N200" s="813">
        <f t="shared" ref="N200:P201" si="18">N202</f>
        <v>500</v>
      </c>
      <c r="O200" s="475">
        <f t="shared" si="18"/>
        <v>450</v>
      </c>
      <c r="P200" s="469">
        <f t="shared" si="18"/>
        <v>500</v>
      </c>
    </row>
    <row r="201" spans="1:24" ht="26" x14ac:dyDescent="0.25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469">
        <f>J203</f>
        <v>330</v>
      </c>
      <c r="K201" s="469"/>
      <c r="L201" s="469"/>
      <c r="M201" s="469"/>
      <c r="N201" s="813">
        <f t="shared" si="18"/>
        <v>500</v>
      </c>
      <c r="O201" s="475">
        <f t="shared" si="18"/>
        <v>450</v>
      </c>
      <c r="P201" s="469">
        <f t="shared" si="18"/>
        <v>500</v>
      </c>
    </row>
    <row r="202" spans="1:24" ht="25.15" customHeight="1" x14ac:dyDescent="0.25">
      <c r="A202" s="32"/>
      <c r="B202" s="15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469">
        <f>J203</f>
        <v>330</v>
      </c>
      <c r="K202" s="469"/>
      <c r="L202" s="469">
        <v>330</v>
      </c>
      <c r="M202" s="469">
        <v>330</v>
      </c>
      <c r="N202" s="813">
        <f>N203</f>
        <v>500</v>
      </c>
      <c r="O202" s="475">
        <f>O203</f>
        <v>450</v>
      </c>
      <c r="P202" s="469">
        <f>P203</f>
        <v>500</v>
      </c>
    </row>
    <row r="203" spans="1:24" ht="13.9" customHeight="1" x14ac:dyDescent="0.25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469">
        <v>330</v>
      </c>
      <c r="K203" s="469"/>
      <c r="L203" s="469">
        <v>330</v>
      </c>
      <c r="M203" s="469">
        <v>330</v>
      </c>
      <c r="N203" s="813">
        <v>500</v>
      </c>
      <c r="O203" s="475">
        <v>450</v>
      </c>
      <c r="P203" s="469">
        <v>500</v>
      </c>
    </row>
    <row r="204" spans="1:24" s="83" customFormat="1" ht="51.75" customHeight="1" x14ac:dyDescent="0.3">
      <c r="A204" s="91">
        <v>2</v>
      </c>
      <c r="B204" s="52" t="s">
        <v>293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>L206</f>
        <v>305</v>
      </c>
      <c r="M204" s="51">
        <f>M206</f>
        <v>310</v>
      </c>
      <c r="N204" s="50">
        <f>N206</f>
        <v>300</v>
      </c>
      <c r="O204" s="205">
        <f>O206</f>
        <v>315</v>
      </c>
      <c r="P204" s="51">
        <f>P206</f>
        <v>320</v>
      </c>
      <c r="Q204" s="84"/>
      <c r="R204" s="84"/>
      <c r="S204" s="84"/>
      <c r="T204" s="84"/>
      <c r="U204" s="84"/>
      <c r="V204" s="84"/>
      <c r="W204" s="84"/>
      <c r="X204" s="84"/>
    </row>
    <row r="205" spans="1:24" s="83" customFormat="1" ht="78" hidden="1" customHeight="1" x14ac:dyDescent="0.3">
      <c r="A205" s="85"/>
      <c r="B205" s="170" t="s">
        <v>755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471"/>
      <c r="K205" s="471"/>
      <c r="L205" s="471"/>
      <c r="M205" s="471"/>
      <c r="N205" s="814"/>
      <c r="O205" s="746"/>
      <c r="P205" s="471"/>
      <c r="Q205" s="84"/>
      <c r="R205" s="84"/>
      <c r="S205" s="84"/>
      <c r="T205" s="84"/>
      <c r="U205" s="84"/>
      <c r="V205" s="84"/>
      <c r="W205" s="84"/>
      <c r="X205" s="84"/>
    </row>
    <row r="206" spans="1:24" s="83" customFormat="1" ht="39" x14ac:dyDescent="0.3">
      <c r="A206" s="85"/>
      <c r="B206" s="493" t="s">
        <v>289</v>
      </c>
      <c r="C206" s="9"/>
      <c r="D206" s="33" t="s">
        <v>52</v>
      </c>
      <c r="E206" s="33" t="s">
        <v>49</v>
      </c>
      <c r="F206" s="9" t="s">
        <v>288</v>
      </c>
      <c r="G206" s="9"/>
      <c r="H206" s="9"/>
      <c r="I206" s="33"/>
      <c r="J206" s="469">
        <f>J208</f>
        <v>305</v>
      </c>
      <c r="K206" s="471"/>
      <c r="L206" s="471">
        <f>L208</f>
        <v>305</v>
      </c>
      <c r="M206" s="471">
        <f>M208</f>
        <v>310</v>
      </c>
      <c r="N206" s="813">
        <f>N208</f>
        <v>300</v>
      </c>
      <c r="O206" s="475">
        <f>O208</f>
        <v>315</v>
      </c>
      <c r="P206" s="469">
        <f>P208</f>
        <v>320</v>
      </c>
      <c r="Q206" s="84"/>
      <c r="R206" s="84"/>
      <c r="S206" s="84"/>
      <c r="T206" s="84"/>
      <c r="U206" s="84"/>
      <c r="V206" s="84"/>
      <c r="W206" s="84"/>
      <c r="X206" s="84"/>
    </row>
    <row r="207" spans="1:24" s="83" customFormat="1" ht="26" x14ac:dyDescent="0.3">
      <c r="A207" s="85"/>
      <c r="B207" s="494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469">
        <f>J208</f>
        <v>305</v>
      </c>
      <c r="K207" s="471"/>
      <c r="L207" s="471"/>
      <c r="M207" s="471"/>
      <c r="N207" s="813">
        <f>N208</f>
        <v>300</v>
      </c>
      <c r="O207" s="475">
        <f>O208</f>
        <v>315</v>
      </c>
      <c r="P207" s="469">
        <f>P208</f>
        <v>320</v>
      </c>
      <c r="Q207" s="84"/>
      <c r="R207" s="84"/>
      <c r="S207" s="84"/>
      <c r="T207" s="84"/>
      <c r="U207" s="84"/>
      <c r="V207" s="84"/>
      <c r="W207" s="84"/>
      <c r="X207" s="84"/>
    </row>
    <row r="208" spans="1:24" s="83" customFormat="1" ht="25.15" customHeight="1" x14ac:dyDescent="0.3">
      <c r="A208" s="85"/>
      <c r="B208" s="15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469">
        <f>J214</f>
        <v>305</v>
      </c>
      <c r="K208" s="471"/>
      <c r="L208" s="469">
        <v>305</v>
      </c>
      <c r="M208" s="469">
        <v>310</v>
      </c>
      <c r="N208" s="813">
        <f>N214</f>
        <v>300</v>
      </c>
      <c r="O208" s="475">
        <f>O214</f>
        <v>315</v>
      </c>
      <c r="P208" s="469">
        <f>P214</f>
        <v>320</v>
      </c>
      <c r="Q208" s="84"/>
      <c r="R208" s="84"/>
      <c r="S208" s="84"/>
      <c r="T208" s="84"/>
      <c r="U208" s="84"/>
      <c r="V208" s="84"/>
      <c r="W208" s="84"/>
      <c r="X208" s="84"/>
    </row>
    <row r="209" spans="1:16" ht="53.5" hidden="1" customHeight="1" x14ac:dyDescent="0.25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L209" s="2"/>
      <c r="M209" s="13"/>
      <c r="N209" s="816"/>
      <c r="O209" s="785"/>
      <c r="P209" s="131"/>
    </row>
    <row r="210" spans="1:16" ht="65" hidden="1" x14ac:dyDescent="0.3">
      <c r="A210" s="32"/>
      <c r="B210" s="168" t="s">
        <v>757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464"/>
      <c r="K210" s="464"/>
      <c r="L210" s="464"/>
      <c r="M210" s="464"/>
      <c r="N210" s="817"/>
      <c r="O210" s="786"/>
      <c r="P210" s="464"/>
    </row>
    <row r="211" spans="1:16" ht="81.650000000000006" hidden="1" customHeight="1" x14ac:dyDescent="0.3">
      <c r="A211" s="32"/>
      <c r="B211" s="167" t="s">
        <v>758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464"/>
      <c r="K211" s="464"/>
      <c r="L211" s="464"/>
      <c r="M211" s="464"/>
      <c r="N211" s="817"/>
      <c r="O211" s="786"/>
      <c r="P211" s="464"/>
    </row>
    <row r="212" spans="1:16" ht="81" hidden="1" customHeight="1" x14ac:dyDescent="0.3">
      <c r="A212" s="32"/>
      <c r="B212" s="168" t="s">
        <v>759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471"/>
      <c r="K212" s="471"/>
      <c r="L212" s="471"/>
      <c r="M212" s="471"/>
      <c r="N212" s="814"/>
      <c r="O212" s="746"/>
      <c r="P212" s="471"/>
    </row>
    <row r="213" spans="1:16" ht="52" hidden="1" x14ac:dyDescent="0.3">
      <c r="A213" s="32"/>
      <c r="B213" s="167" t="s">
        <v>760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471"/>
      <c r="K213" s="471"/>
      <c r="L213" s="471"/>
      <c r="M213" s="471"/>
      <c r="N213" s="814"/>
      <c r="O213" s="746"/>
      <c r="P213" s="471"/>
    </row>
    <row r="214" spans="1:16" ht="13" x14ac:dyDescent="0.3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469">
        <v>305</v>
      </c>
      <c r="K214" s="471"/>
      <c r="L214" s="469">
        <v>305</v>
      </c>
      <c r="M214" s="469">
        <v>310</v>
      </c>
      <c r="N214" s="813">
        <f>320-20</f>
        <v>300</v>
      </c>
      <c r="O214" s="969">
        <v>315</v>
      </c>
      <c r="P214" s="970">
        <v>320</v>
      </c>
    </row>
    <row r="215" spans="1:16" ht="53.25" customHeight="1" x14ac:dyDescent="0.25">
      <c r="A215" s="91">
        <v>3</v>
      </c>
      <c r="B215" s="52" t="s">
        <v>274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J216+J224+J234</f>
        <v>7755.5</v>
      </c>
      <c r="K215" s="51"/>
      <c r="L215" s="51">
        <f>L216+L224+L234</f>
        <v>7755.5</v>
      </c>
      <c r="M215" s="51">
        <f>M216+M224+M234</f>
        <v>8382.5</v>
      </c>
      <c r="N215" s="50">
        <f>N216+N224+N234</f>
        <v>9816.7639999999992</v>
      </c>
      <c r="O215" s="205">
        <f>O216+O224+O234</f>
        <v>8514.5999999999985</v>
      </c>
      <c r="P215" s="51">
        <f>P216+P224+P234</f>
        <v>8600</v>
      </c>
    </row>
    <row r="216" spans="1:16" ht="39" x14ac:dyDescent="0.25">
      <c r="A216" s="32"/>
      <c r="B216" s="157" t="s">
        <v>272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468">
        <f>J220</f>
        <v>272</v>
      </c>
      <c r="K216" s="468"/>
      <c r="L216" s="468">
        <f>L220</f>
        <v>172</v>
      </c>
      <c r="M216" s="468">
        <f>M220</f>
        <v>184</v>
      </c>
      <c r="N216" s="818">
        <f>N219</f>
        <v>337</v>
      </c>
      <c r="O216" s="787">
        <f>O219</f>
        <v>302</v>
      </c>
      <c r="P216" s="468">
        <f>P219</f>
        <v>337</v>
      </c>
    </row>
    <row r="217" spans="1:16" ht="75" hidden="1" customHeight="1" x14ac:dyDescent="0.25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468"/>
      <c r="K217" s="468"/>
      <c r="L217" s="468"/>
      <c r="M217" s="468"/>
      <c r="N217" s="818"/>
      <c r="O217" s="787"/>
      <c r="P217" s="468"/>
    </row>
    <row r="218" spans="1:16" ht="25.15" hidden="1" customHeight="1" x14ac:dyDescent="0.25">
      <c r="A218" s="32"/>
      <c r="B218" s="15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468"/>
      <c r="K218" s="468"/>
      <c r="L218" s="468"/>
      <c r="M218" s="468"/>
      <c r="N218" s="818"/>
      <c r="O218" s="787"/>
      <c r="P218" s="468"/>
    </row>
    <row r="219" spans="1:16" ht="25.15" customHeight="1" x14ac:dyDescent="0.25">
      <c r="A219" s="32"/>
      <c r="B219" s="493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468">
        <f>J220</f>
        <v>272</v>
      </c>
      <c r="K219" s="468"/>
      <c r="L219" s="468"/>
      <c r="M219" s="468"/>
      <c r="N219" s="818">
        <f t="shared" ref="N219:P221" si="19">N220</f>
        <v>337</v>
      </c>
      <c r="O219" s="787">
        <f t="shared" si="19"/>
        <v>302</v>
      </c>
      <c r="P219" s="468">
        <f t="shared" si="19"/>
        <v>337</v>
      </c>
    </row>
    <row r="220" spans="1:16" ht="26" x14ac:dyDescent="0.25">
      <c r="A220" s="32"/>
      <c r="B220" s="49" t="s">
        <v>266</v>
      </c>
      <c r="C220" s="34"/>
      <c r="D220" s="34" t="s">
        <v>265</v>
      </c>
      <c r="E220" s="34" t="s">
        <v>262</v>
      </c>
      <c r="F220" s="9" t="s">
        <v>263</v>
      </c>
      <c r="G220" s="9"/>
      <c r="H220" s="9"/>
      <c r="I220" s="34"/>
      <c r="J220" s="468">
        <f>J221</f>
        <v>272</v>
      </c>
      <c r="K220" s="468"/>
      <c r="L220" s="468">
        <f>L221</f>
        <v>172</v>
      </c>
      <c r="M220" s="468">
        <f>M221</f>
        <v>184</v>
      </c>
      <c r="N220" s="818">
        <f t="shared" si="19"/>
        <v>337</v>
      </c>
      <c r="O220" s="787">
        <f t="shared" si="19"/>
        <v>302</v>
      </c>
      <c r="P220" s="468">
        <f t="shared" si="19"/>
        <v>337</v>
      </c>
    </row>
    <row r="221" spans="1:16" ht="25.15" customHeight="1" x14ac:dyDescent="0.25">
      <c r="A221" s="32"/>
      <c r="B221" s="15" t="s">
        <v>4</v>
      </c>
      <c r="C221" s="34"/>
      <c r="D221" s="34" t="s">
        <v>265</v>
      </c>
      <c r="E221" s="34" t="s">
        <v>262</v>
      </c>
      <c r="F221" s="9" t="s">
        <v>263</v>
      </c>
      <c r="G221" s="9" t="s">
        <v>1</v>
      </c>
      <c r="H221" s="9"/>
      <c r="I221" s="9"/>
      <c r="J221" s="468">
        <f>J222</f>
        <v>272</v>
      </c>
      <c r="K221" s="468"/>
      <c r="L221" s="468">
        <v>172</v>
      </c>
      <c r="M221" s="468">
        <v>184</v>
      </c>
      <c r="N221" s="818">
        <f t="shared" si="19"/>
        <v>337</v>
      </c>
      <c r="O221" s="787">
        <f t="shared" si="19"/>
        <v>302</v>
      </c>
      <c r="P221" s="468">
        <f t="shared" si="19"/>
        <v>337</v>
      </c>
    </row>
    <row r="222" spans="1:16" ht="16.899999999999999" customHeight="1" x14ac:dyDescent="0.3">
      <c r="A222" s="32"/>
      <c r="B222" s="86" t="s">
        <v>264</v>
      </c>
      <c r="C222" s="34"/>
      <c r="D222" s="34"/>
      <c r="E222" s="34"/>
      <c r="F222" s="9" t="s">
        <v>263</v>
      </c>
      <c r="G222" s="9" t="s">
        <v>1</v>
      </c>
      <c r="H222" s="9" t="s">
        <v>506</v>
      </c>
      <c r="I222" s="9" t="s">
        <v>506</v>
      </c>
      <c r="J222" s="468">
        <v>272</v>
      </c>
      <c r="K222" s="468"/>
      <c r="L222" s="468">
        <v>172</v>
      </c>
      <c r="M222" s="468">
        <v>184</v>
      </c>
      <c r="N222" s="818">
        <v>337</v>
      </c>
      <c r="O222" s="787">
        <v>302</v>
      </c>
      <c r="P222" s="468">
        <v>337</v>
      </c>
    </row>
    <row r="223" spans="1:16" ht="55.5" customHeight="1" x14ac:dyDescent="0.25">
      <c r="A223" s="91">
        <v>4</v>
      </c>
      <c r="B223" s="52" t="s">
        <v>253</v>
      </c>
      <c r="C223" s="34"/>
      <c r="D223" s="34" t="s">
        <v>246</v>
      </c>
      <c r="E223" s="34" t="s">
        <v>85</v>
      </c>
      <c r="F223" s="34" t="s">
        <v>252</v>
      </c>
      <c r="G223" s="131"/>
      <c r="H223" s="131"/>
      <c r="I223" s="34"/>
      <c r="J223" s="51">
        <f>J224</f>
        <v>6205</v>
      </c>
      <c r="K223" s="51"/>
      <c r="L223" s="51">
        <f>L224</f>
        <v>6305</v>
      </c>
      <c r="M223" s="51">
        <f>M224</f>
        <v>6960</v>
      </c>
      <c r="N223" s="50">
        <f>N224</f>
        <v>8391.7639999999992</v>
      </c>
      <c r="O223" s="205">
        <f>O224</f>
        <v>6962.0999999999995</v>
      </c>
      <c r="P223" s="51">
        <f>P224</f>
        <v>6915</v>
      </c>
    </row>
    <row r="224" spans="1:16" ht="39" x14ac:dyDescent="0.25">
      <c r="A224" s="32"/>
      <c r="B224" s="157" t="s">
        <v>261</v>
      </c>
      <c r="C224" s="9"/>
      <c r="D224" s="9" t="s">
        <v>246</v>
      </c>
      <c r="E224" s="9" t="s">
        <v>85</v>
      </c>
      <c r="F224" s="9" t="s">
        <v>260</v>
      </c>
      <c r="G224" s="9"/>
      <c r="H224" s="9"/>
      <c r="I224" s="9"/>
      <c r="J224" s="466">
        <f>J226</f>
        <v>6205</v>
      </c>
      <c r="K224" s="466"/>
      <c r="L224" s="466">
        <f>L226</f>
        <v>6305</v>
      </c>
      <c r="M224" s="466">
        <f>M226</f>
        <v>6960</v>
      </c>
      <c r="N224" s="819">
        <f>N226</f>
        <v>8391.7639999999992</v>
      </c>
      <c r="O224" s="788">
        <f>O226</f>
        <v>6962.0999999999995</v>
      </c>
      <c r="P224" s="466">
        <f>P226</f>
        <v>6915</v>
      </c>
    </row>
    <row r="225" spans="1:24" ht="13" x14ac:dyDescent="0.25">
      <c r="A225" s="32"/>
      <c r="B225" s="493" t="s">
        <v>259</v>
      </c>
      <c r="C225" s="9"/>
      <c r="D225" s="9"/>
      <c r="E225" s="9"/>
      <c r="F225" s="9" t="s">
        <v>258</v>
      </c>
      <c r="G225" s="9"/>
      <c r="H225" s="9"/>
      <c r="I225" s="9"/>
      <c r="J225" s="466">
        <f>J226</f>
        <v>6205</v>
      </c>
      <c r="K225" s="466"/>
      <c r="L225" s="466"/>
      <c r="M225" s="466"/>
      <c r="N225" s="819">
        <f>N226</f>
        <v>8391.7639999999992</v>
      </c>
      <c r="O225" s="788">
        <f>O226</f>
        <v>6962.0999999999995</v>
      </c>
      <c r="P225" s="466">
        <f>P226</f>
        <v>6915</v>
      </c>
    </row>
    <row r="226" spans="1:24" ht="26" x14ac:dyDescent="0.25">
      <c r="A226" s="32"/>
      <c r="B226" s="49" t="s">
        <v>257</v>
      </c>
      <c r="C226" s="9"/>
      <c r="D226" s="9" t="s">
        <v>246</v>
      </c>
      <c r="E226" s="9" t="s">
        <v>85</v>
      </c>
      <c r="F226" s="9" t="s">
        <v>254</v>
      </c>
      <c r="G226" s="9"/>
      <c r="H226" s="9"/>
      <c r="I226" s="9"/>
      <c r="J226" s="466">
        <f>J227+J229+J231</f>
        <v>6205</v>
      </c>
      <c r="K226" s="466"/>
      <c r="L226" s="466">
        <f>L227+L229+L231</f>
        <v>6305</v>
      </c>
      <c r="M226" s="466">
        <f>M227+M229+M231</f>
        <v>6960</v>
      </c>
      <c r="N226" s="819">
        <f>N227+N229+N231</f>
        <v>8391.7639999999992</v>
      </c>
      <c r="O226" s="788">
        <f>O227+O229+O231</f>
        <v>6962.0999999999995</v>
      </c>
      <c r="P226" s="466">
        <f>P227+P229+P231</f>
        <v>6915</v>
      </c>
    </row>
    <row r="227" spans="1:24" ht="13" x14ac:dyDescent="0.3">
      <c r="A227" s="32"/>
      <c r="B227" s="16" t="s">
        <v>256</v>
      </c>
      <c r="C227" s="9"/>
      <c r="D227" s="9" t="s">
        <v>246</v>
      </c>
      <c r="E227" s="9" t="s">
        <v>85</v>
      </c>
      <c r="F227" s="9" t="s">
        <v>254</v>
      </c>
      <c r="G227" s="9" t="s">
        <v>255</v>
      </c>
      <c r="H227" s="9"/>
      <c r="I227" s="9"/>
      <c r="J227" s="466">
        <f>J228</f>
        <v>4156.915</v>
      </c>
      <c r="K227" s="485"/>
      <c r="L227" s="466">
        <v>5305.1139999999996</v>
      </c>
      <c r="M227" s="466">
        <v>6631.482</v>
      </c>
      <c r="N227" s="819">
        <f>N228</f>
        <v>5705.2879999999996</v>
      </c>
      <c r="O227" s="788">
        <f>O228</f>
        <v>4886.9669999999996</v>
      </c>
      <c r="P227" s="466">
        <f>P228</f>
        <v>5375.0079999999998</v>
      </c>
    </row>
    <row r="228" spans="1:24" ht="13" x14ac:dyDescent="0.3">
      <c r="A228" s="32"/>
      <c r="B228" s="16" t="s">
        <v>87</v>
      </c>
      <c r="C228" s="9"/>
      <c r="D228" s="9"/>
      <c r="E228" s="9"/>
      <c r="F228" s="9" t="s">
        <v>254</v>
      </c>
      <c r="G228" s="9" t="s">
        <v>255</v>
      </c>
      <c r="H228" s="9" t="s">
        <v>453</v>
      </c>
      <c r="I228" s="9" t="s">
        <v>456</v>
      </c>
      <c r="J228" s="466">
        <v>4156.915</v>
      </c>
      <c r="K228" s="485"/>
      <c r="L228" s="466"/>
      <c r="M228" s="466"/>
      <c r="N228" s="819">
        <f>6556.288-851</f>
        <v>5705.2879999999996</v>
      </c>
      <c r="O228" s="788">
        <v>4886.9669999999996</v>
      </c>
      <c r="P228" s="466">
        <v>5375.0079999999998</v>
      </c>
    </row>
    <row r="229" spans="1:24" ht="25.15" customHeight="1" x14ac:dyDescent="0.25">
      <c r="A229" s="32"/>
      <c r="B229" s="15" t="s">
        <v>4</v>
      </c>
      <c r="C229" s="9"/>
      <c r="D229" s="9" t="s">
        <v>246</v>
      </c>
      <c r="E229" s="9" t="s">
        <v>85</v>
      </c>
      <c r="F229" s="9" t="s">
        <v>254</v>
      </c>
      <c r="G229" s="9" t="s">
        <v>1</v>
      </c>
      <c r="H229" s="9"/>
      <c r="I229" s="9"/>
      <c r="J229" s="466">
        <f>J230</f>
        <v>2047.085</v>
      </c>
      <c r="K229" s="466"/>
      <c r="L229" s="466">
        <f>999.886-0.886</f>
        <v>999</v>
      </c>
      <c r="M229" s="466">
        <v>328</v>
      </c>
      <c r="N229" s="819">
        <f>N230</f>
        <v>2685.7629999999999</v>
      </c>
      <c r="O229" s="788">
        <f>O230</f>
        <v>2074.1329999999998</v>
      </c>
      <c r="P229" s="466">
        <f>P230</f>
        <v>1538.992</v>
      </c>
    </row>
    <row r="230" spans="1:24" ht="13" x14ac:dyDescent="0.3">
      <c r="A230" s="32"/>
      <c r="B230" s="16" t="s">
        <v>87</v>
      </c>
      <c r="C230" s="9"/>
      <c r="D230" s="9"/>
      <c r="E230" s="9"/>
      <c r="F230" s="9" t="s">
        <v>254</v>
      </c>
      <c r="G230" s="9" t="s">
        <v>1</v>
      </c>
      <c r="H230" s="9" t="s">
        <v>453</v>
      </c>
      <c r="I230" s="9" t="s">
        <v>456</v>
      </c>
      <c r="J230" s="466">
        <v>2047.085</v>
      </c>
      <c r="K230" s="466"/>
      <c r="L230" s="466"/>
      <c r="M230" s="466"/>
      <c r="N230" s="819">
        <f>913.187+851+200+421.576+300</f>
        <v>2685.7629999999999</v>
      </c>
      <c r="O230" s="788">
        <v>2074.1329999999998</v>
      </c>
      <c r="P230" s="466">
        <v>1538.992</v>
      </c>
      <c r="Q230" s="1026"/>
    </row>
    <row r="231" spans="1:24" ht="13" x14ac:dyDescent="0.3">
      <c r="A231" s="32"/>
      <c r="B231" s="16" t="s">
        <v>94</v>
      </c>
      <c r="C231" s="9"/>
      <c r="D231" s="9" t="s">
        <v>246</v>
      </c>
      <c r="E231" s="9" t="s">
        <v>85</v>
      </c>
      <c r="F231" s="9" t="s">
        <v>254</v>
      </c>
      <c r="G231" s="9" t="s">
        <v>91</v>
      </c>
      <c r="H231" s="9"/>
      <c r="I231" s="9"/>
      <c r="J231" s="468">
        <f>J232</f>
        <v>1</v>
      </c>
      <c r="K231" s="468"/>
      <c r="L231" s="468">
        <v>0.88600000000000001</v>
      </c>
      <c r="M231" s="468">
        <v>0.51800000000000002</v>
      </c>
      <c r="N231" s="818">
        <f>N232</f>
        <v>0.71299999999999997</v>
      </c>
      <c r="O231" s="787">
        <f>O232</f>
        <v>1</v>
      </c>
      <c r="P231" s="468">
        <f>P232</f>
        <v>1</v>
      </c>
    </row>
    <row r="232" spans="1:24" ht="13" x14ac:dyDescent="0.3">
      <c r="A232" s="32"/>
      <c r="B232" s="16" t="s">
        <v>87</v>
      </c>
      <c r="C232" s="9"/>
      <c r="D232" s="9"/>
      <c r="E232" s="9"/>
      <c r="F232" s="9" t="s">
        <v>254</v>
      </c>
      <c r="G232" s="9" t="s">
        <v>91</v>
      </c>
      <c r="H232" s="9" t="s">
        <v>453</v>
      </c>
      <c r="I232" s="9" t="s">
        <v>456</v>
      </c>
      <c r="J232" s="468">
        <v>1</v>
      </c>
      <c r="K232" s="468"/>
      <c r="L232" s="468">
        <f>L227+L229+L231</f>
        <v>6305</v>
      </c>
      <c r="M232" s="468">
        <f>M227+M229+M231</f>
        <v>6960</v>
      </c>
      <c r="N232" s="818">
        <v>0.71299999999999997</v>
      </c>
      <c r="O232" s="787">
        <v>1</v>
      </c>
      <c r="P232" s="468">
        <v>1</v>
      </c>
    </row>
    <row r="233" spans="1:24" ht="39.65" customHeight="1" x14ac:dyDescent="0.25">
      <c r="A233" s="91">
        <v>5</v>
      </c>
      <c r="B233" s="52" t="s">
        <v>253</v>
      </c>
      <c r="C233" s="34"/>
      <c r="D233" s="34" t="s">
        <v>246</v>
      </c>
      <c r="E233" s="34" t="s">
        <v>242</v>
      </c>
      <c r="F233" s="9" t="s">
        <v>252</v>
      </c>
      <c r="G233" s="131"/>
      <c r="H233" s="131"/>
      <c r="I233" s="34"/>
      <c r="J233" s="51">
        <f>J234</f>
        <v>1278.5</v>
      </c>
      <c r="K233" s="51"/>
      <c r="L233" s="51">
        <f t="shared" ref="L233:M236" si="20">L234</f>
        <v>1278.5</v>
      </c>
      <c r="M233" s="51">
        <f t="shared" si="20"/>
        <v>1238.5</v>
      </c>
      <c r="N233" s="50">
        <f>N234</f>
        <v>1088</v>
      </c>
      <c r="O233" s="205">
        <f>O234</f>
        <v>1250.5</v>
      </c>
      <c r="P233" s="51">
        <f>P234</f>
        <v>1348</v>
      </c>
    </row>
    <row r="234" spans="1:24" ht="26" x14ac:dyDescent="0.25">
      <c r="A234" s="32"/>
      <c r="B234" s="157" t="s">
        <v>836</v>
      </c>
      <c r="C234" s="9"/>
      <c r="D234" s="9" t="s">
        <v>246</v>
      </c>
      <c r="E234" s="9" t="s">
        <v>242</v>
      </c>
      <c r="F234" s="9" t="s">
        <v>251</v>
      </c>
      <c r="G234" s="9"/>
      <c r="H234" s="9"/>
      <c r="I234" s="9"/>
      <c r="J234" s="466">
        <f>J236</f>
        <v>1278.5</v>
      </c>
      <c r="K234" s="466"/>
      <c r="L234" s="466">
        <f>L236</f>
        <v>1278.5</v>
      </c>
      <c r="M234" s="466">
        <f>M236</f>
        <v>1238.5</v>
      </c>
      <c r="N234" s="819">
        <f>N236</f>
        <v>1088</v>
      </c>
      <c r="O234" s="788">
        <f>O236</f>
        <v>1250.5</v>
      </c>
      <c r="P234" s="466">
        <f>P236</f>
        <v>1348</v>
      </c>
    </row>
    <row r="235" spans="1:24" ht="13" x14ac:dyDescent="0.25">
      <c r="A235" s="32"/>
      <c r="B235" s="493" t="s">
        <v>250</v>
      </c>
      <c r="C235" s="9"/>
      <c r="D235" s="9"/>
      <c r="E235" s="9"/>
      <c r="F235" s="9" t="s">
        <v>249</v>
      </c>
      <c r="G235" s="9"/>
      <c r="H235" s="9"/>
      <c r="I235" s="9"/>
      <c r="J235" s="466">
        <f>J236</f>
        <v>1278.5</v>
      </c>
      <c r="K235" s="466"/>
      <c r="L235" s="466"/>
      <c r="M235" s="466"/>
      <c r="N235" s="819">
        <f t="shared" ref="N235:P236" si="21">N236</f>
        <v>1088</v>
      </c>
      <c r="O235" s="788">
        <f t="shared" si="21"/>
        <v>1250.5</v>
      </c>
      <c r="P235" s="466">
        <f t="shared" si="21"/>
        <v>1348</v>
      </c>
    </row>
    <row r="236" spans="1:24" ht="13" x14ac:dyDescent="0.25">
      <c r="A236" s="32"/>
      <c r="B236" s="49" t="s">
        <v>248</v>
      </c>
      <c r="C236" s="9"/>
      <c r="D236" s="9" t="s">
        <v>246</v>
      </c>
      <c r="E236" s="9" t="s">
        <v>242</v>
      </c>
      <c r="F236" s="9" t="s">
        <v>243</v>
      </c>
      <c r="G236" s="9"/>
      <c r="H236" s="9"/>
      <c r="I236" s="9"/>
      <c r="J236" s="466">
        <f>J237</f>
        <v>1278.5</v>
      </c>
      <c r="K236" s="466"/>
      <c r="L236" s="466">
        <f t="shared" si="20"/>
        <v>1278.5</v>
      </c>
      <c r="M236" s="466">
        <f t="shared" si="20"/>
        <v>1238.5</v>
      </c>
      <c r="N236" s="819">
        <f t="shared" si="21"/>
        <v>1088</v>
      </c>
      <c r="O236" s="788">
        <f t="shared" si="21"/>
        <v>1250.5</v>
      </c>
      <c r="P236" s="466">
        <f t="shared" si="21"/>
        <v>1348</v>
      </c>
    </row>
    <row r="237" spans="1:24" ht="25.15" customHeight="1" x14ac:dyDescent="0.25">
      <c r="A237" s="32"/>
      <c r="B237" s="15" t="s">
        <v>4</v>
      </c>
      <c r="C237" s="9"/>
      <c r="D237" s="9" t="s">
        <v>246</v>
      </c>
      <c r="E237" s="9" t="s">
        <v>242</v>
      </c>
      <c r="F237" s="9" t="s">
        <v>243</v>
      </c>
      <c r="G237" s="9" t="s">
        <v>1</v>
      </c>
      <c r="H237" s="9"/>
      <c r="I237" s="9"/>
      <c r="J237" s="466">
        <f>J239</f>
        <v>1278.5</v>
      </c>
      <c r="K237" s="466"/>
      <c r="L237" s="466">
        <v>1278.5</v>
      </c>
      <c r="M237" s="466">
        <v>1238.5</v>
      </c>
      <c r="N237" s="819">
        <f>N239</f>
        <v>1088</v>
      </c>
      <c r="O237" s="788">
        <f>O239</f>
        <v>1250.5</v>
      </c>
      <c r="P237" s="466">
        <f>P239</f>
        <v>1348</v>
      </c>
    </row>
    <row r="238" spans="1:24" s="162" customFormat="1" ht="52" hidden="1" x14ac:dyDescent="0.3">
      <c r="A238" s="165"/>
      <c r="B238" s="164" t="s">
        <v>247</v>
      </c>
      <c r="C238" s="33"/>
      <c r="D238" s="33" t="s">
        <v>246</v>
      </c>
      <c r="E238" s="9" t="s">
        <v>242</v>
      </c>
      <c r="F238" s="33" t="s">
        <v>245</v>
      </c>
      <c r="G238" s="31"/>
      <c r="H238" s="31"/>
      <c r="I238" s="9"/>
      <c r="J238" s="468"/>
      <c r="K238" s="468"/>
      <c r="L238" s="468"/>
      <c r="M238" s="468"/>
      <c r="N238" s="818"/>
      <c r="O238" s="787"/>
      <c r="P238" s="468"/>
      <c r="Q238" s="163"/>
      <c r="R238" s="163"/>
      <c r="S238" s="163"/>
      <c r="T238" s="163"/>
      <c r="U238" s="163"/>
      <c r="V238" s="163"/>
      <c r="W238" s="163"/>
      <c r="X238" s="163"/>
    </row>
    <row r="239" spans="1:24" s="162" customFormat="1" ht="15" x14ac:dyDescent="0.3">
      <c r="A239" s="165"/>
      <c r="B239" s="164" t="s">
        <v>244</v>
      </c>
      <c r="C239" s="33"/>
      <c r="D239" s="33"/>
      <c r="E239" s="9"/>
      <c r="F239" s="9" t="s">
        <v>243</v>
      </c>
      <c r="G239" s="9" t="s">
        <v>1</v>
      </c>
      <c r="H239" s="9" t="s">
        <v>453</v>
      </c>
      <c r="I239" s="9" t="s">
        <v>452</v>
      </c>
      <c r="J239" s="466">
        <v>1278.5</v>
      </c>
      <c r="K239" s="466"/>
      <c r="L239" s="466">
        <v>1278.5</v>
      </c>
      <c r="M239" s="466">
        <v>1238.5</v>
      </c>
      <c r="N239" s="819">
        <v>1088</v>
      </c>
      <c r="O239" s="788">
        <v>1250.5</v>
      </c>
      <c r="P239" s="466">
        <v>1348</v>
      </c>
      <c r="Q239" s="163"/>
      <c r="R239" s="163"/>
      <c r="S239" s="163"/>
      <c r="T239" s="163"/>
      <c r="U239" s="163"/>
      <c r="V239" s="163"/>
      <c r="W239" s="163"/>
      <c r="X239" s="163"/>
    </row>
    <row r="240" spans="1:24" ht="39.65" customHeight="1" x14ac:dyDescent="0.25">
      <c r="A240" s="91">
        <v>4</v>
      </c>
      <c r="B240" s="52" t="s">
        <v>241</v>
      </c>
      <c r="C240" s="34"/>
      <c r="D240" s="34" t="s">
        <v>168</v>
      </c>
      <c r="E240" s="34" t="s">
        <v>166</v>
      </c>
      <c r="F240" s="34" t="s">
        <v>240</v>
      </c>
      <c r="G240" s="131"/>
      <c r="H240" s="131"/>
      <c r="I240" s="34"/>
      <c r="J240" s="51">
        <f>J241+J254</f>
        <v>1182</v>
      </c>
      <c r="K240" s="51"/>
      <c r="L240" s="51">
        <f>L241+L254</f>
        <v>1182</v>
      </c>
      <c r="M240" s="51">
        <f>M241+M254</f>
        <v>1022</v>
      </c>
      <c r="N240" s="50">
        <f>N241+N254</f>
        <v>676</v>
      </c>
      <c r="O240" s="205">
        <f>O241+O254</f>
        <v>1202</v>
      </c>
      <c r="P240" s="51">
        <f>P241+P254</f>
        <v>676</v>
      </c>
    </row>
    <row r="241" spans="1:16" ht="65" x14ac:dyDescent="0.25">
      <c r="A241" s="32"/>
      <c r="B241" s="157" t="s">
        <v>782</v>
      </c>
      <c r="C241" s="9"/>
      <c r="D241" s="9" t="s">
        <v>168</v>
      </c>
      <c r="E241" s="9" t="s">
        <v>166</v>
      </c>
      <c r="F241" s="9" t="s">
        <v>238</v>
      </c>
      <c r="G241" s="88"/>
      <c r="H241" s="88"/>
      <c r="I241" s="9"/>
      <c r="J241" s="469">
        <f>J242</f>
        <v>496</v>
      </c>
      <c r="K241" s="469"/>
      <c r="L241" s="469">
        <f>L243+L251</f>
        <v>496</v>
      </c>
      <c r="M241" s="469">
        <f>M243+M251</f>
        <v>336</v>
      </c>
      <c r="N241" s="813">
        <f>N242+N246</f>
        <v>363.32</v>
      </c>
      <c r="O241" s="475">
        <f>O242+O246</f>
        <v>506</v>
      </c>
      <c r="P241" s="469">
        <f>P242+P246</f>
        <v>646</v>
      </c>
    </row>
    <row r="242" spans="1:16" ht="39" hidden="1" x14ac:dyDescent="0.25">
      <c r="A242" s="32"/>
      <c r="B242" s="493" t="s">
        <v>236</v>
      </c>
      <c r="C242" s="9"/>
      <c r="D242" s="9"/>
      <c r="E242" s="9"/>
      <c r="F242" s="9" t="s">
        <v>235</v>
      </c>
      <c r="G242" s="88"/>
      <c r="H242" s="88"/>
      <c r="I242" s="9"/>
      <c r="J242" s="469">
        <f>J243+J251</f>
        <v>496</v>
      </c>
      <c r="K242" s="469"/>
      <c r="L242" s="469"/>
      <c r="M242" s="469"/>
      <c r="N242" s="813">
        <f t="shared" ref="N242:P244" si="22">N243</f>
        <v>0</v>
      </c>
      <c r="O242" s="475">
        <f t="shared" si="22"/>
        <v>0</v>
      </c>
      <c r="P242" s="469">
        <f t="shared" si="22"/>
        <v>0</v>
      </c>
    </row>
    <row r="243" spans="1:16" ht="26" hidden="1" x14ac:dyDescent="0.25">
      <c r="A243" s="32"/>
      <c r="B243" s="49" t="s">
        <v>237</v>
      </c>
      <c r="C243" s="9"/>
      <c r="D243" s="9" t="s">
        <v>168</v>
      </c>
      <c r="E243" s="9" t="s">
        <v>166</v>
      </c>
      <c r="F243" s="9" t="s">
        <v>233</v>
      </c>
      <c r="G243" s="88"/>
      <c r="H243" s="88"/>
      <c r="I243" s="9"/>
      <c r="J243" s="469">
        <f>J244</f>
        <v>296</v>
      </c>
      <c r="K243" s="469"/>
      <c r="L243" s="469">
        <f>L244</f>
        <v>296</v>
      </c>
      <c r="M243" s="469">
        <f>M244</f>
        <v>136</v>
      </c>
      <c r="N243" s="813">
        <f t="shared" si="22"/>
        <v>0</v>
      </c>
      <c r="O243" s="475">
        <f t="shared" si="22"/>
        <v>0</v>
      </c>
      <c r="P243" s="469">
        <f t="shared" si="22"/>
        <v>0</v>
      </c>
    </row>
    <row r="244" spans="1:16" ht="25.15" hidden="1" customHeight="1" x14ac:dyDescent="0.25">
      <c r="A244" s="32"/>
      <c r="B244" s="15" t="s">
        <v>4</v>
      </c>
      <c r="C244" s="9"/>
      <c r="D244" s="9" t="s">
        <v>168</v>
      </c>
      <c r="E244" s="9" t="s">
        <v>166</v>
      </c>
      <c r="F244" s="9" t="s">
        <v>233</v>
      </c>
      <c r="G244" s="88">
        <v>240</v>
      </c>
      <c r="H244" s="88"/>
      <c r="I244" s="9"/>
      <c r="J244" s="469">
        <f>J245</f>
        <v>296</v>
      </c>
      <c r="K244" s="469"/>
      <c r="L244" s="469">
        <v>296</v>
      </c>
      <c r="M244" s="469">
        <v>136</v>
      </c>
      <c r="N244" s="813">
        <f t="shared" si="22"/>
        <v>0</v>
      </c>
      <c r="O244" s="475">
        <f t="shared" si="22"/>
        <v>0</v>
      </c>
      <c r="P244" s="469">
        <f t="shared" si="22"/>
        <v>0</v>
      </c>
    </row>
    <row r="245" spans="1:16" ht="26" hidden="1" x14ac:dyDescent="0.3">
      <c r="A245" s="32"/>
      <c r="B245" s="82" t="s">
        <v>221</v>
      </c>
      <c r="C245" s="9"/>
      <c r="D245" s="9"/>
      <c r="E245" s="9"/>
      <c r="F245" s="9" t="s">
        <v>233</v>
      </c>
      <c r="G245" s="88">
        <v>240</v>
      </c>
      <c r="H245" s="88"/>
      <c r="I245" s="9" t="s">
        <v>166</v>
      </c>
      <c r="J245" s="469">
        <v>296</v>
      </c>
      <c r="K245" s="469"/>
      <c r="L245" s="469">
        <v>296</v>
      </c>
      <c r="M245" s="469">
        <v>136</v>
      </c>
      <c r="N245" s="813"/>
      <c r="O245" s="475"/>
      <c r="P245" s="469"/>
    </row>
    <row r="246" spans="1:16" ht="39" x14ac:dyDescent="0.25">
      <c r="A246" s="32"/>
      <c r="B246" s="493" t="s">
        <v>236</v>
      </c>
      <c r="C246" s="9"/>
      <c r="D246" s="9"/>
      <c r="E246" s="9"/>
      <c r="F246" s="9" t="s">
        <v>235</v>
      </c>
      <c r="G246" s="88"/>
      <c r="H246" s="88"/>
      <c r="I246" s="9"/>
      <c r="J246" s="469">
        <f>J251</f>
        <v>200</v>
      </c>
      <c r="K246" s="469"/>
      <c r="L246" s="469"/>
      <c r="M246" s="469"/>
      <c r="N246" s="813">
        <f>N251+N247</f>
        <v>363.32</v>
      </c>
      <c r="O246" s="475">
        <f>O251+O247</f>
        <v>506</v>
      </c>
      <c r="P246" s="469">
        <f>P251+P247</f>
        <v>646</v>
      </c>
    </row>
    <row r="247" spans="1:16" ht="26" x14ac:dyDescent="0.25">
      <c r="A247" s="32"/>
      <c r="B247" s="495" t="s">
        <v>234</v>
      </c>
      <c r="C247" s="9"/>
      <c r="D247" s="9"/>
      <c r="E247" s="9"/>
      <c r="F247" s="9" t="s">
        <v>233</v>
      </c>
      <c r="G247" s="88"/>
      <c r="H247" s="88"/>
      <c r="I247" s="9"/>
      <c r="J247" s="469"/>
      <c r="K247" s="469"/>
      <c r="L247" s="469"/>
      <c r="M247" s="469"/>
      <c r="N247" s="813">
        <f t="shared" ref="N247:P248" si="23">N248</f>
        <v>93.32</v>
      </c>
      <c r="O247" s="475">
        <f t="shared" si="23"/>
        <v>320</v>
      </c>
      <c r="P247" s="469">
        <f t="shared" si="23"/>
        <v>340</v>
      </c>
    </row>
    <row r="248" spans="1:16" ht="26" x14ac:dyDescent="0.25">
      <c r="A248" s="32"/>
      <c r="B248" s="15" t="s">
        <v>4</v>
      </c>
      <c r="C248" s="9"/>
      <c r="D248" s="9"/>
      <c r="E248" s="9"/>
      <c r="F248" s="9" t="s">
        <v>233</v>
      </c>
      <c r="G248" s="88">
        <v>240</v>
      </c>
      <c r="H248" s="88"/>
      <c r="I248" s="9"/>
      <c r="J248" s="469"/>
      <c r="K248" s="469"/>
      <c r="L248" s="469"/>
      <c r="M248" s="469"/>
      <c r="N248" s="813">
        <f t="shared" si="23"/>
        <v>93.32</v>
      </c>
      <c r="O248" s="475">
        <f t="shared" si="23"/>
        <v>320</v>
      </c>
      <c r="P248" s="469">
        <f t="shared" si="23"/>
        <v>340</v>
      </c>
    </row>
    <row r="249" spans="1:16" ht="26" x14ac:dyDescent="0.3">
      <c r="A249" s="32"/>
      <c r="B249" s="95" t="s">
        <v>221</v>
      </c>
      <c r="C249" s="9"/>
      <c r="D249" s="9"/>
      <c r="E249" s="9"/>
      <c r="F249" s="9" t="s">
        <v>233</v>
      </c>
      <c r="G249" s="88">
        <v>240</v>
      </c>
      <c r="H249" s="9" t="s">
        <v>495</v>
      </c>
      <c r="I249" s="9" t="s">
        <v>539</v>
      </c>
      <c r="J249" s="469"/>
      <c r="K249" s="469"/>
      <c r="L249" s="469"/>
      <c r="M249" s="469"/>
      <c r="N249" s="813">
        <v>93.32</v>
      </c>
      <c r="O249" s="475">
        <v>320</v>
      </c>
      <c r="P249" s="469">
        <v>340</v>
      </c>
    </row>
    <row r="250" spans="1:16" ht="13" x14ac:dyDescent="0.25">
      <c r="A250" s="32"/>
      <c r="B250" s="493" t="s">
        <v>232</v>
      </c>
      <c r="C250" s="9"/>
      <c r="D250" s="9"/>
      <c r="E250" s="9"/>
      <c r="F250" s="9" t="s">
        <v>231</v>
      </c>
      <c r="G250" s="88"/>
      <c r="H250" s="88"/>
      <c r="I250" s="9"/>
      <c r="J250" s="469"/>
      <c r="K250" s="469"/>
      <c r="L250" s="469"/>
      <c r="M250" s="469"/>
      <c r="N250" s="813">
        <f t="shared" ref="N250:P252" si="24">N251</f>
        <v>270</v>
      </c>
      <c r="O250" s="475">
        <f t="shared" si="24"/>
        <v>186</v>
      </c>
      <c r="P250" s="469">
        <f t="shared" si="24"/>
        <v>306</v>
      </c>
    </row>
    <row r="251" spans="1:16" ht="13" x14ac:dyDescent="0.25">
      <c r="A251" s="32"/>
      <c r="B251" s="495" t="s">
        <v>230</v>
      </c>
      <c r="C251" s="9"/>
      <c r="D251" s="9" t="s">
        <v>168</v>
      </c>
      <c r="E251" s="9" t="s">
        <v>166</v>
      </c>
      <c r="F251" s="9" t="s">
        <v>229</v>
      </c>
      <c r="G251" s="88"/>
      <c r="H251" s="88"/>
      <c r="I251" s="9"/>
      <c r="J251" s="469">
        <f>J252</f>
        <v>200</v>
      </c>
      <c r="K251" s="469"/>
      <c r="L251" s="469">
        <f>L252</f>
        <v>200</v>
      </c>
      <c r="M251" s="469">
        <f>M252</f>
        <v>200</v>
      </c>
      <c r="N251" s="813">
        <f t="shared" si="24"/>
        <v>270</v>
      </c>
      <c r="O251" s="475">
        <f t="shared" si="24"/>
        <v>186</v>
      </c>
      <c r="P251" s="469">
        <f t="shared" si="24"/>
        <v>306</v>
      </c>
    </row>
    <row r="252" spans="1:16" ht="25.15" customHeight="1" x14ac:dyDescent="0.25">
      <c r="A252" s="32"/>
      <c r="B252" s="15" t="s">
        <v>4</v>
      </c>
      <c r="C252" s="9"/>
      <c r="D252" s="9" t="s">
        <v>168</v>
      </c>
      <c r="E252" s="9" t="s">
        <v>166</v>
      </c>
      <c r="F252" s="9" t="s">
        <v>229</v>
      </c>
      <c r="G252" s="88">
        <v>240</v>
      </c>
      <c r="H252" s="88"/>
      <c r="I252" s="9"/>
      <c r="J252" s="469">
        <f>J253</f>
        <v>200</v>
      </c>
      <c r="K252" s="469"/>
      <c r="L252" s="469">
        <v>200</v>
      </c>
      <c r="M252" s="469">
        <v>200</v>
      </c>
      <c r="N252" s="813">
        <f t="shared" si="24"/>
        <v>270</v>
      </c>
      <c r="O252" s="475">
        <f t="shared" si="24"/>
        <v>186</v>
      </c>
      <c r="P252" s="469">
        <f t="shared" si="24"/>
        <v>306</v>
      </c>
    </row>
    <row r="253" spans="1:16" ht="26" x14ac:dyDescent="0.3">
      <c r="A253" s="32"/>
      <c r="B253" s="95" t="s">
        <v>221</v>
      </c>
      <c r="C253" s="9"/>
      <c r="D253" s="9"/>
      <c r="E253" s="9"/>
      <c r="F253" s="9" t="s">
        <v>229</v>
      </c>
      <c r="G253" s="88">
        <v>240</v>
      </c>
      <c r="H253" s="9" t="s">
        <v>495</v>
      </c>
      <c r="I253" s="9" t="s">
        <v>539</v>
      </c>
      <c r="J253" s="469">
        <v>200</v>
      </c>
      <c r="K253" s="469"/>
      <c r="L253" s="469">
        <v>200</v>
      </c>
      <c r="M253" s="469">
        <v>200</v>
      </c>
      <c r="N253" s="813">
        <v>270</v>
      </c>
      <c r="O253" s="475">
        <v>186</v>
      </c>
      <c r="P253" s="469">
        <v>306</v>
      </c>
    </row>
    <row r="254" spans="1:16" ht="65" x14ac:dyDescent="0.25">
      <c r="A254" s="32"/>
      <c r="B254" s="157" t="s">
        <v>783</v>
      </c>
      <c r="C254" s="34"/>
      <c r="D254" s="9" t="s">
        <v>168</v>
      </c>
      <c r="E254" s="9" t="s">
        <v>166</v>
      </c>
      <c r="F254" s="9" t="s">
        <v>227</v>
      </c>
      <c r="G254" s="9"/>
      <c r="H254" s="9"/>
      <c r="I254" s="9"/>
      <c r="J254" s="469">
        <f>J256</f>
        <v>686</v>
      </c>
      <c r="K254" s="469"/>
      <c r="L254" s="469">
        <f>L256</f>
        <v>686</v>
      </c>
      <c r="M254" s="469">
        <f>M256</f>
        <v>686</v>
      </c>
      <c r="N254" s="813">
        <f t="shared" ref="N254:P255" si="25">N255</f>
        <v>312.68</v>
      </c>
      <c r="O254" s="475">
        <f t="shared" si="25"/>
        <v>696</v>
      </c>
      <c r="P254" s="469">
        <f t="shared" si="25"/>
        <v>30</v>
      </c>
    </row>
    <row r="255" spans="1:16" ht="52" x14ac:dyDescent="0.25">
      <c r="A255" s="32"/>
      <c r="B255" s="493" t="s">
        <v>226</v>
      </c>
      <c r="C255" s="34"/>
      <c r="D255" s="9"/>
      <c r="E255" s="9"/>
      <c r="F255" s="9" t="s">
        <v>225</v>
      </c>
      <c r="G255" s="9"/>
      <c r="H255" s="9"/>
      <c r="I255" s="9"/>
      <c r="J255" s="469">
        <f>J254</f>
        <v>686</v>
      </c>
      <c r="K255" s="469"/>
      <c r="L255" s="469"/>
      <c r="M255" s="469"/>
      <c r="N255" s="813">
        <f t="shared" si="25"/>
        <v>312.68</v>
      </c>
      <c r="O255" s="475">
        <f t="shared" si="25"/>
        <v>696</v>
      </c>
      <c r="P255" s="469">
        <f t="shared" si="25"/>
        <v>30</v>
      </c>
    </row>
    <row r="256" spans="1:16" ht="13" x14ac:dyDescent="0.25">
      <c r="A256" s="32"/>
      <c r="B256" s="495" t="s">
        <v>224</v>
      </c>
      <c r="C256" s="34"/>
      <c r="D256" s="9" t="s">
        <v>168</v>
      </c>
      <c r="E256" s="9" t="s">
        <v>166</v>
      </c>
      <c r="F256" s="9" t="s">
        <v>220</v>
      </c>
      <c r="G256" s="34"/>
      <c r="H256" s="34"/>
      <c r="I256" s="9"/>
      <c r="J256" s="469">
        <f>J258</f>
        <v>686</v>
      </c>
      <c r="K256" s="469"/>
      <c r="L256" s="469">
        <f>L258</f>
        <v>686</v>
      </c>
      <c r="M256" s="469">
        <f>M258</f>
        <v>686</v>
      </c>
      <c r="N256" s="813">
        <f>N258</f>
        <v>312.68</v>
      </c>
      <c r="O256" s="475">
        <f>O258</f>
        <v>696</v>
      </c>
      <c r="P256" s="469">
        <f>P258</f>
        <v>30</v>
      </c>
    </row>
    <row r="257" spans="1:24" ht="40.5" hidden="1" customHeight="1" x14ac:dyDescent="0.25">
      <c r="A257" s="32"/>
      <c r="B257" s="42" t="s">
        <v>223</v>
      </c>
      <c r="C257" s="160"/>
      <c r="D257" s="31" t="s">
        <v>168</v>
      </c>
      <c r="E257" s="31" t="s">
        <v>166</v>
      </c>
      <c r="F257" s="31" t="s">
        <v>222</v>
      </c>
      <c r="G257" s="161"/>
      <c r="H257" s="161"/>
      <c r="I257" s="31" t="s">
        <v>166</v>
      </c>
      <c r="J257" s="475"/>
      <c r="K257" s="475"/>
      <c r="L257" s="475"/>
      <c r="M257" s="475"/>
      <c r="N257" s="820"/>
      <c r="O257" s="475"/>
      <c r="P257" s="475"/>
    </row>
    <row r="258" spans="1:24" ht="25.15" customHeight="1" x14ac:dyDescent="0.25">
      <c r="A258" s="32"/>
      <c r="B258" s="15" t="s">
        <v>4</v>
      </c>
      <c r="C258" s="160"/>
      <c r="D258" s="9" t="s">
        <v>168</v>
      </c>
      <c r="E258" s="9" t="s">
        <v>166</v>
      </c>
      <c r="F258" s="9" t="s">
        <v>220</v>
      </c>
      <c r="G258" s="33" t="s">
        <v>1</v>
      </c>
      <c r="H258" s="33"/>
      <c r="I258" s="9"/>
      <c r="J258" s="469">
        <v>686</v>
      </c>
      <c r="K258" s="475"/>
      <c r="L258" s="469">
        <v>686</v>
      </c>
      <c r="M258" s="469">
        <v>686</v>
      </c>
      <c r="N258" s="813">
        <f>N259</f>
        <v>312.68</v>
      </c>
      <c r="O258" s="475">
        <f>O259</f>
        <v>696</v>
      </c>
      <c r="P258" s="469">
        <f>P259</f>
        <v>30</v>
      </c>
    </row>
    <row r="259" spans="1:24" ht="27.65" customHeight="1" x14ac:dyDescent="0.3">
      <c r="A259" s="32"/>
      <c r="B259" s="95" t="s">
        <v>221</v>
      </c>
      <c r="C259" s="160"/>
      <c r="D259" s="9"/>
      <c r="E259" s="9"/>
      <c r="F259" s="9" t="s">
        <v>220</v>
      </c>
      <c r="G259" s="33" t="s">
        <v>1</v>
      </c>
      <c r="H259" s="9" t="s">
        <v>495</v>
      </c>
      <c r="I259" s="9" t="s">
        <v>539</v>
      </c>
      <c r="J259" s="469">
        <v>686</v>
      </c>
      <c r="K259" s="475"/>
      <c r="L259" s="469">
        <v>686</v>
      </c>
      <c r="M259" s="469">
        <v>686</v>
      </c>
      <c r="N259" s="813">
        <v>312.68</v>
      </c>
      <c r="O259" s="475">
        <v>696</v>
      </c>
      <c r="P259" s="469">
        <v>30</v>
      </c>
    </row>
    <row r="260" spans="1:24" s="83" customFormat="1" ht="38.25" customHeight="1" x14ac:dyDescent="0.3">
      <c r="A260" s="91">
        <v>5</v>
      </c>
      <c r="B260" s="52" t="s">
        <v>219</v>
      </c>
      <c r="C260" s="89"/>
      <c r="D260" s="89" t="s">
        <v>52</v>
      </c>
      <c r="E260" s="89" t="s">
        <v>58</v>
      </c>
      <c r="F260" s="89" t="s">
        <v>218</v>
      </c>
      <c r="G260" s="131"/>
      <c r="H260" s="131"/>
      <c r="I260" s="89"/>
      <c r="J260" s="51">
        <f>J261+J276</f>
        <v>1600</v>
      </c>
      <c r="K260" s="158"/>
      <c r="L260" s="51">
        <f>L261+L276</f>
        <v>11444.685000000001</v>
      </c>
      <c r="M260" s="51">
        <f>M261+M276</f>
        <v>14038.547</v>
      </c>
      <c r="N260" s="50">
        <f>N261+N276</f>
        <v>12144.454999999998</v>
      </c>
      <c r="O260" s="205">
        <f>O261+O276</f>
        <v>5740</v>
      </c>
      <c r="P260" s="51">
        <f>P261+P276</f>
        <v>5980</v>
      </c>
      <c r="Q260" s="84"/>
      <c r="R260" s="84"/>
      <c r="S260" s="84"/>
      <c r="T260" s="84"/>
      <c r="U260" s="84"/>
      <c r="V260" s="84"/>
      <c r="W260" s="84"/>
      <c r="X260" s="84"/>
    </row>
    <row r="261" spans="1:24" s="83" customFormat="1" ht="26" x14ac:dyDescent="0.3">
      <c r="A261" s="85"/>
      <c r="B261" s="157" t="s">
        <v>217</v>
      </c>
      <c r="C261" s="33"/>
      <c r="D261" s="33" t="s">
        <v>52</v>
      </c>
      <c r="E261" s="33" t="s">
        <v>58</v>
      </c>
      <c r="F261" s="33" t="s">
        <v>216</v>
      </c>
      <c r="G261" s="33"/>
      <c r="H261" s="33"/>
      <c r="I261" s="33"/>
      <c r="J261" s="467">
        <f>J262</f>
        <v>800</v>
      </c>
      <c r="K261" s="469"/>
      <c r="L261" s="469">
        <f>L263</f>
        <v>10777.685000000001</v>
      </c>
      <c r="M261" s="467">
        <f>M263</f>
        <v>13305.547</v>
      </c>
      <c r="N261" s="811">
        <f>N262</f>
        <v>3109.7290000000003</v>
      </c>
      <c r="O261" s="783">
        <f>O262</f>
        <v>0</v>
      </c>
      <c r="P261" s="467">
        <f>P262</f>
        <v>0</v>
      </c>
      <c r="Q261" s="84"/>
      <c r="R261" s="84"/>
      <c r="S261" s="84"/>
      <c r="T261" s="84"/>
      <c r="U261" s="84"/>
      <c r="V261" s="84"/>
      <c r="W261" s="84"/>
      <c r="X261" s="84"/>
    </row>
    <row r="262" spans="1:24" s="83" customFormat="1" ht="52" x14ac:dyDescent="0.3">
      <c r="A262" s="85"/>
      <c r="B262" s="493" t="s">
        <v>215</v>
      </c>
      <c r="C262" s="33"/>
      <c r="D262" s="33"/>
      <c r="E262" s="33"/>
      <c r="F262" s="33" t="s">
        <v>214</v>
      </c>
      <c r="G262" s="89"/>
      <c r="H262" s="89"/>
      <c r="I262" s="33"/>
      <c r="J262" s="467">
        <f>J265+J269+J272+J275</f>
        <v>800</v>
      </c>
      <c r="K262" s="469"/>
      <c r="L262" s="469"/>
      <c r="M262" s="467"/>
      <c r="N262" s="811">
        <f>N265+N269+N275</f>
        <v>3109.7290000000003</v>
      </c>
      <c r="O262" s="783">
        <f>O265+O269+O275</f>
        <v>0</v>
      </c>
      <c r="P262" s="467">
        <f>P265+P269+P275</f>
        <v>0</v>
      </c>
      <c r="Q262" s="84"/>
      <c r="R262" s="84"/>
      <c r="S262" s="84"/>
      <c r="T262" s="84"/>
      <c r="U262" s="84"/>
      <c r="V262" s="84"/>
      <c r="W262" s="84"/>
      <c r="X262" s="84"/>
    </row>
    <row r="263" spans="1:24" s="83" customFormat="1" ht="13" x14ac:dyDescent="0.3">
      <c r="A263" s="85"/>
      <c r="B263" s="495" t="s">
        <v>201</v>
      </c>
      <c r="C263" s="33"/>
      <c r="D263" s="33" t="s">
        <v>52</v>
      </c>
      <c r="E263" s="33" t="s">
        <v>58</v>
      </c>
      <c r="F263" s="33" t="s">
        <v>213</v>
      </c>
      <c r="G263" s="33"/>
      <c r="H263" s="33"/>
      <c r="I263" s="33"/>
      <c r="J263" s="467">
        <f>J264</f>
        <v>0</v>
      </c>
      <c r="K263" s="469"/>
      <c r="L263" s="467">
        <f>L267</f>
        <v>10777.685000000001</v>
      </c>
      <c r="M263" s="467">
        <f>M267</f>
        <v>13305.547</v>
      </c>
      <c r="N263" s="811">
        <f t="shared" ref="N263:P264" si="26">N264</f>
        <v>2370.38</v>
      </c>
      <c r="O263" s="783">
        <f t="shared" si="26"/>
        <v>0</v>
      </c>
      <c r="P263" s="467">
        <f t="shared" si="26"/>
        <v>0</v>
      </c>
      <c r="Q263" s="84"/>
      <c r="R263" s="84"/>
      <c r="S263" s="84"/>
      <c r="T263" s="84"/>
      <c r="U263" s="84"/>
      <c r="V263" s="84"/>
      <c r="W263" s="84"/>
      <c r="X263" s="84"/>
    </row>
    <row r="264" spans="1:24" s="83" customFormat="1" ht="26" x14ac:dyDescent="0.3">
      <c r="A264" s="85"/>
      <c r="B264" s="15" t="s">
        <v>4</v>
      </c>
      <c r="C264" s="33"/>
      <c r="D264" s="33"/>
      <c r="E264" s="33"/>
      <c r="F264" s="33" t="s">
        <v>213</v>
      </c>
      <c r="G264" s="33" t="s">
        <v>1</v>
      </c>
      <c r="H264" s="33"/>
      <c r="I264" s="33"/>
      <c r="J264" s="467">
        <f>J265</f>
        <v>0</v>
      </c>
      <c r="K264" s="469"/>
      <c r="L264" s="467"/>
      <c r="M264" s="467"/>
      <c r="N264" s="811">
        <f t="shared" si="26"/>
        <v>2370.38</v>
      </c>
      <c r="O264" s="783">
        <f t="shared" si="26"/>
        <v>0</v>
      </c>
      <c r="P264" s="467">
        <f t="shared" si="26"/>
        <v>0</v>
      </c>
      <c r="Q264" s="84"/>
      <c r="R264" s="84"/>
      <c r="S264" s="84"/>
      <c r="T264" s="84"/>
      <c r="U264" s="84"/>
      <c r="V264" s="84"/>
      <c r="W264" s="84"/>
      <c r="X264" s="84"/>
    </row>
    <row r="265" spans="1:24" s="83" customFormat="1" ht="13" x14ac:dyDescent="0.3">
      <c r="A265" s="85"/>
      <c r="B265" s="16" t="s">
        <v>60</v>
      </c>
      <c r="C265" s="33"/>
      <c r="D265" s="33"/>
      <c r="E265" s="33"/>
      <c r="F265" s="33" t="s">
        <v>213</v>
      </c>
      <c r="G265" s="33" t="s">
        <v>1</v>
      </c>
      <c r="H265" s="9" t="s">
        <v>452</v>
      </c>
      <c r="I265" s="9" t="s">
        <v>539</v>
      </c>
      <c r="J265" s="467"/>
      <c r="K265" s="469"/>
      <c r="L265" s="467"/>
      <c r="M265" s="467"/>
      <c r="N265" s="811">
        <v>2370.38</v>
      </c>
      <c r="O265" s="783"/>
      <c r="P265" s="467"/>
      <c r="Q265" s="84"/>
      <c r="R265" s="84"/>
      <c r="S265" s="84"/>
      <c r="T265" s="84"/>
      <c r="U265" s="84"/>
      <c r="V265" s="84"/>
      <c r="W265" s="84"/>
      <c r="X265" s="84"/>
    </row>
    <row r="266" spans="1:24" s="83" customFormat="1" ht="26" x14ac:dyDescent="0.3">
      <c r="A266" s="85"/>
      <c r="B266" s="495" t="s">
        <v>212</v>
      </c>
      <c r="C266" s="33"/>
      <c r="D266" s="33"/>
      <c r="E266" s="33"/>
      <c r="F266" s="33" t="s">
        <v>209</v>
      </c>
      <c r="G266" s="33"/>
      <c r="H266" s="33"/>
      <c r="I266" s="33"/>
      <c r="J266" s="467">
        <f>J267</f>
        <v>800</v>
      </c>
      <c r="K266" s="469"/>
      <c r="L266" s="467"/>
      <c r="M266" s="467"/>
      <c r="N266" s="811">
        <f>N267</f>
        <v>739.34900000000005</v>
      </c>
      <c r="O266" s="783">
        <f>O267</f>
        <v>0</v>
      </c>
      <c r="P266" s="467">
        <f>P267</f>
        <v>0</v>
      </c>
      <c r="Q266" s="84"/>
      <c r="R266" s="84"/>
      <c r="S266" s="84"/>
      <c r="T266" s="84"/>
      <c r="U266" s="84"/>
      <c r="V266" s="84"/>
      <c r="W266" s="84"/>
      <c r="X266" s="84"/>
    </row>
    <row r="267" spans="1:24" s="83" customFormat="1" ht="25.15" customHeight="1" x14ac:dyDescent="0.3">
      <c r="A267" s="85"/>
      <c r="B267" s="15" t="s">
        <v>4</v>
      </c>
      <c r="C267" s="33"/>
      <c r="D267" s="33" t="s">
        <v>52</v>
      </c>
      <c r="E267" s="33" t="s">
        <v>58</v>
      </c>
      <c r="F267" s="33" t="s">
        <v>209</v>
      </c>
      <c r="G267" s="33" t="s">
        <v>1</v>
      </c>
      <c r="H267" s="33"/>
      <c r="I267" s="33"/>
      <c r="J267" s="467">
        <f>J269</f>
        <v>800</v>
      </c>
      <c r="K267" s="469"/>
      <c r="L267" s="467">
        <f>22480.2-11702.515</f>
        <v>10777.685000000001</v>
      </c>
      <c r="M267" s="467">
        <v>13305.547</v>
      </c>
      <c r="N267" s="811">
        <f>N269</f>
        <v>739.34900000000005</v>
      </c>
      <c r="O267" s="783">
        <f>O269</f>
        <v>0</v>
      </c>
      <c r="P267" s="467">
        <f>P269</f>
        <v>0</v>
      </c>
      <c r="Q267" s="84"/>
      <c r="R267" s="84"/>
      <c r="S267" s="84"/>
      <c r="T267" s="84"/>
      <c r="U267" s="84"/>
      <c r="V267" s="84"/>
      <c r="W267" s="84"/>
      <c r="X267" s="84"/>
    </row>
    <row r="268" spans="1:24" s="83" customFormat="1" ht="52" hidden="1" x14ac:dyDescent="0.3">
      <c r="A268" s="85"/>
      <c r="B268" s="90" t="s">
        <v>211</v>
      </c>
      <c r="C268" s="89"/>
      <c r="D268" s="33" t="s">
        <v>52</v>
      </c>
      <c r="E268" s="33" t="s">
        <v>58</v>
      </c>
      <c r="F268" s="33" t="s">
        <v>210</v>
      </c>
      <c r="G268" s="89"/>
      <c r="H268" s="89"/>
      <c r="I268" s="33" t="s">
        <v>58</v>
      </c>
      <c r="J268" s="469"/>
      <c r="K268" s="469"/>
      <c r="L268" s="469"/>
      <c r="M268" s="469"/>
      <c r="N268" s="813"/>
      <c r="O268" s="475"/>
      <c r="P268" s="469"/>
      <c r="Q268" s="84"/>
      <c r="R268" s="84"/>
      <c r="S268" s="84"/>
      <c r="T268" s="84"/>
      <c r="U268" s="84"/>
      <c r="V268" s="84"/>
      <c r="W268" s="84"/>
      <c r="X268" s="84"/>
    </row>
    <row r="269" spans="1:24" s="83" customFormat="1" ht="13" x14ac:dyDescent="0.3">
      <c r="A269" s="85"/>
      <c r="B269" s="16" t="s">
        <v>60</v>
      </c>
      <c r="C269" s="89"/>
      <c r="D269" s="33"/>
      <c r="E269" s="33"/>
      <c r="F269" s="33" t="s">
        <v>209</v>
      </c>
      <c r="G269" s="33" t="s">
        <v>1</v>
      </c>
      <c r="H269" s="9" t="s">
        <v>452</v>
      </c>
      <c r="I269" s="9" t="s">
        <v>539</v>
      </c>
      <c r="J269" s="467">
        <v>800</v>
      </c>
      <c r="K269" s="469"/>
      <c r="L269" s="467">
        <f>22480.2-11702.515</f>
        <v>10777.685000000001</v>
      </c>
      <c r="M269" s="467">
        <v>13305.547</v>
      </c>
      <c r="N269" s="811">
        <v>739.34900000000005</v>
      </c>
      <c r="O269" s="783"/>
      <c r="P269" s="467"/>
      <c r="Q269" s="84"/>
      <c r="R269" s="84"/>
      <c r="S269" s="84"/>
      <c r="T269" s="84"/>
      <c r="U269" s="84"/>
      <c r="V269" s="84"/>
      <c r="W269" s="84"/>
      <c r="X269" s="84"/>
    </row>
    <row r="270" spans="1:24" s="83" customFormat="1" ht="39" hidden="1" x14ac:dyDescent="0.3">
      <c r="A270" s="85"/>
      <c r="B270" s="495" t="s">
        <v>208</v>
      </c>
      <c r="C270" s="89"/>
      <c r="D270" s="33"/>
      <c r="E270" s="33"/>
      <c r="F270" s="33" t="s">
        <v>207</v>
      </c>
      <c r="G270" s="33"/>
      <c r="H270" s="33"/>
      <c r="I270" s="33"/>
      <c r="J270" s="467">
        <f>J271</f>
        <v>0</v>
      </c>
      <c r="K270" s="469"/>
      <c r="L270" s="467"/>
      <c r="M270" s="467"/>
      <c r="N270" s="811">
        <f t="shared" ref="N270:P271" si="27">N271</f>
        <v>0</v>
      </c>
      <c r="O270" s="783">
        <f t="shared" si="27"/>
        <v>0</v>
      </c>
      <c r="P270" s="467">
        <f t="shared" si="27"/>
        <v>0</v>
      </c>
      <c r="Q270" s="84"/>
      <c r="R270" s="84"/>
      <c r="S270" s="84"/>
      <c r="T270" s="84"/>
      <c r="U270" s="84"/>
      <c r="V270" s="84"/>
      <c r="W270" s="84"/>
      <c r="X270" s="84"/>
    </row>
    <row r="271" spans="1:24" s="83" customFormat="1" ht="26" hidden="1" x14ac:dyDescent="0.3">
      <c r="A271" s="85"/>
      <c r="B271" s="15" t="s">
        <v>4</v>
      </c>
      <c r="C271" s="89"/>
      <c r="D271" s="33"/>
      <c r="E271" s="33"/>
      <c r="F271" s="33" t="s">
        <v>207</v>
      </c>
      <c r="G271" s="33" t="s">
        <v>1</v>
      </c>
      <c r="H271" s="33"/>
      <c r="I271" s="33"/>
      <c r="J271" s="467">
        <f>J272</f>
        <v>0</v>
      </c>
      <c r="K271" s="469"/>
      <c r="L271" s="467"/>
      <c r="M271" s="467"/>
      <c r="N271" s="811">
        <f t="shared" si="27"/>
        <v>0</v>
      </c>
      <c r="O271" s="783">
        <f t="shared" si="27"/>
        <v>0</v>
      </c>
      <c r="P271" s="467">
        <f t="shared" si="27"/>
        <v>0</v>
      </c>
      <c r="Q271" s="84"/>
      <c r="R271" s="84"/>
      <c r="S271" s="84"/>
      <c r="T271" s="84"/>
      <c r="U271" s="84"/>
      <c r="V271" s="84"/>
      <c r="W271" s="84"/>
      <c r="X271" s="84"/>
    </row>
    <row r="272" spans="1:24" s="83" customFormat="1" ht="13" hidden="1" x14ac:dyDescent="0.3">
      <c r="A272" s="85"/>
      <c r="B272" s="16" t="s">
        <v>60</v>
      </c>
      <c r="C272" s="89"/>
      <c r="D272" s="33"/>
      <c r="E272" s="33"/>
      <c r="F272" s="33" t="s">
        <v>207</v>
      </c>
      <c r="G272" s="33" t="s">
        <v>1</v>
      </c>
      <c r="H272" s="33"/>
      <c r="I272" s="33" t="s">
        <v>58</v>
      </c>
      <c r="J272" s="467"/>
      <c r="K272" s="469"/>
      <c r="L272" s="467"/>
      <c r="M272" s="467"/>
      <c r="N272" s="811"/>
      <c r="O272" s="783"/>
      <c r="P272" s="467"/>
      <c r="Q272" s="84"/>
      <c r="R272" s="84"/>
      <c r="S272" s="84"/>
      <c r="T272" s="84"/>
      <c r="U272" s="84"/>
      <c r="V272" s="84"/>
      <c r="W272" s="84"/>
      <c r="X272" s="84"/>
    </row>
    <row r="273" spans="1:256" s="83" customFormat="1" ht="26" hidden="1" x14ac:dyDescent="0.3">
      <c r="A273" s="85" t="s">
        <v>106</v>
      </c>
      <c r="B273" s="95" t="s">
        <v>206</v>
      </c>
      <c r="C273" s="89"/>
      <c r="D273" s="33"/>
      <c r="E273" s="33"/>
      <c r="F273" s="33" t="s">
        <v>205</v>
      </c>
      <c r="G273" s="33"/>
      <c r="H273" s="33"/>
      <c r="I273" s="33"/>
      <c r="J273" s="467">
        <f>J274</f>
        <v>0</v>
      </c>
      <c r="K273" s="469"/>
      <c r="L273" s="467"/>
      <c r="M273" s="467"/>
      <c r="N273" s="811">
        <f t="shared" ref="N273:P274" si="28">N274</f>
        <v>0</v>
      </c>
      <c r="O273" s="783">
        <f t="shared" si="28"/>
        <v>0</v>
      </c>
      <c r="P273" s="467">
        <f t="shared" si="28"/>
        <v>0</v>
      </c>
      <c r="Q273" s="84"/>
      <c r="R273" s="84"/>
      <c r="S273" s="84"/>
      <c r="T273" s="84"/>
      <c r="U273" s="84"/>
      <c r="V273" s="84"/>
      <c r="W273" s="84"/>
      <c r="X273" s="84"/>
    </row>
    <row r="274" spans="1:256" s="83" customFormat="1" ht="26" hidden="1" x14ac:dyDescent="0.3">
      <c r="A274" s="85"/>
      <c r="B274" s="15" t="s">
        <v>4</v>
      </c>
      <c r="C274" s="89"/>
      <c r="D274" s="33"/>
      <c r="E274" s="33"/>
      <c r="F274" s="33" t="s">
        <v>205</v>
      </c>
      <c r="G274" s="33" t="s">
        <v>1</v>
      </c>
      <c r="H274" s="33"/>
      <c r="I274" s="33"/>
      <c r="J274" s="467">
        <f>J275</f>
        <v>0</v>
      </c>
      <c r="K274" s="469"/>
      <c r="L274" s="467"/>
      <c r="M274" s="467"/>
      <c r="N274" s="811">
        <f t="shared" si="28"/>
        <v>0</v>
      </c>
      <c r="O274" s="783">
        <f t="shared" si="28"/>
        <v>0</v>
      </c>
      <c r="P274" s="467">
        <f t="shared" si="28"/>
        <v>0</v>
      </c>
      <c r="Q274" s="84"/>
      <c r="R274" s="84"/>
      <c r="S274" s="84"/>
      <c r="T274" s="84"/>
      <c r="U274" s="84"/>
      <c r="V274" s="84"/>
      <c r="W274" s="84"/>
      <c r="X274" s="84"/>
    </row>
    <row r="275" spans="1:256" s="83" customFormat="1" ht="13" hidden="1" x14ac:dyDescent="0.3">
      <c r="A275" s="85"/>
      <c r="B275" s="16" t="s">
        <v>60</v>
      </c>
      <c r="C275" s="89"/>
      <c r="D275" s="33"/>
      <c r="E275" s="33"/>
      <c r="F275" s="33" t="s">
        <v>205</v>
      </c>
      <c r="G275" s="33" t="s">
        <v>1</v>
      </c>
      <c r="H275" s="9" t="s">
        <v>452</v>
      </c>
      <c r="I275" s="9" t="s">
        <v>539</v>
      </c>
      <c r="J275" s="467"/>
      <c r="K275" s="469"/>
      <c r="L275" s="467"/>
      <c r="M275" s="467"/>
      <c r="N275" s="811"/>
      <c r="O275" s="783"/>
      <c r="P275" s="467"/>
      <c r="Q275" s="84"/>
      <c r="R275" s="84"/>
      <c r="S275" s="84"/>
      <c r="T275" s="84"/>
      <c r="U275" s="84"/>
      <c r="V275" s="84"/>
      <c r="W275" s="84"/>
      <c r="X275" s="84"/>
    </row>
    <row r="276" spans="1:256" s="83" customFormat="1" ht="39" x14ac:dyDescent="0.3">
      <c r="A276" s="85"/>
      <c r="B276" s="157" t="s">
        <v>837</v>
      </c>
      <c r="C276" s="89"/>
      <c r="D276" s="33" t="s">
        <v>52</v>
      </c>
      <c r="E276" s="33" t="s">
        <v>58</v>
      </c>
      <c r="F276" s="33" t="s">
        <v>204</v>
      </c>
      <c r="G276" s="33"/>
      <c r="H276" s="33"/>
      <c r="I276" s="33"/>
      <c r="J276" s="469">
        <f>J277</f>
        <v>800</v>
      </c>
      <c r="K276" s="469"/>
      <c r="L276" s="469">
        <f>L277</f>
        <v>667</v>
      </c>
      <c r="M276" s="469">
        <f>M277</f>
        <v>733</v>
      </c>
      <c r="N276" s="821">
        <f>N280+N283</f>
        <v>9034.7259999999987</v>
      </c>
      <c r="O276" s="475">
        <f>O280+O283</f>
        <v>5740</v>
      </c>
      <c r="P276" s="469">
        <f>P280+P283</f>
        <v>5980</v>
      </c>
      <c r="Q276" s="84"/>
      <c r="R276" s="84"/>
      <c r="S276" s="84"/>
      <c r="T276" s="84"/>
      <c r="U276" s="84"/>
      <c r="V276" s="84"/>
      <c r="W276" s="84"/>
      <c r="X276" s="84"/>
    </row>
    <row r="277" spans="1:256" s="83" customFormat="1" ht="26" x14ac:dyDescent="0.3">
      <c r="A277" s="85"/>
      <c r="B277" s="493" t="s">
        <v>203</v>
      </c>
      <c r="C277" s="89"/>
      <c r="D277" s="33" t="s">
        <v>52</v>
      </c>
      <c r="E277" s="33" t="s">
        <v>58</v>
      </c>
      <c r="F277" s="33" t="s">
        <v>202</v>
      </c>
      <c r="G277" s="88"/>
      <c r="H277" s="88"/>
      <c r="I277" s="33"/>
      <c r="J277" s="469">
        <f>J281</f>
        <v>800</v>
      </c>
      <c r="K277" s="469"/>
      <c r="L277" s="469">
        <f>L282</f>
        <v>667</v>
      </c>
      <c r="M277" s="469">
        <f>M282</f>
        <v>733</v>
      </c>
      <c r="N277" s="821">
        <f>N281+N280</f>
        <v>9034.7259999999987</v>
      </c>
      <c r="O277" s="475">
        <f>O281</f>
        <v>500</v>
      </c>
      <c r="P277" s="469">
        <f>P281</f>
        <v>600</v>
      </c>
      <c r="Q277" s="84"/>
      <c r="R277" s="84"/>
      <c r="S277" s="84"/>
      <c r="T277" s="84"/>
      <c r="U277" s="84"/>
      <c r="V277" s="84"/>
      <c r="W277" s="84"/>
      <c r="X277" s="84"/>
    </row>
    <row r="278" spans="1:256" s="83" customFormat="1" ht="13" x14ac:dyDescent="0.3">
      <c r="A278" s="85"/>
      <c r="B278" s="495" t="s">
        <v>201</v>
      </c>
      <c r="C278" s="89"/>
      <c r="D278" s="33"/>
      <c r="E278" s="33"/>
      <c r="F278" s="33" t="s">
        <v>200</v>
      </c>
      <c r="G278" s="88"/>
      <c r="H278" s="88"/>
      <c r="I278" s="33"/>
      <c r="J278" s="469"/>
      <c r="K278" s="469"/>
      <c r="L278" s="469"/>
      <c r="M278" s="469"/>
      <c r="N278" s="821">
        <f t="shared" ref="N278:P279" si="29">N279</f>
        <v>8493.4879999999994</v>
      </c>
      <c r="O278" s="475">
        <f t="shared" si="29"/>
        <v>5240</v>
      </c>
      <c r="P278" s="469">
        <f t="shared" si="29"/>
        <v>5380</v>
      </c>
      <c r="Q278" s="84"/>
      <c r="R278" s="84"/>
      <c r="S278" s="84"/>
      <c r="T278" s="84"/>
      <c r="U278" s="84"/>
      <c r="V278" s="84"/>
      <c r="W278" s="84"/>
      <c r="X278" s="84"/>
    </row>
    <row r="279" spans="1:256" s="83" customFormat="1" ht="26" x14ac:dyDescent="0.3">
      <c r="A279" s="85"/>
      <c r="B279" s="15" t="s">
        <v>4</v>
      </c>
      <c r="C279" s="89"/>
      <c r="D279" s="33"/>
      <c r="E279" s="33"/>
      <c r="F279" s="33" t="s">
        <v>200</v>
      </c>
      <c r="G279" s="88">
        <v>240</v>
      </c>
      <c r="H279" s="88"/>
      <c r="I279" s="33"/>
      <c r="J279" s="469"/>
      <c r="K279" s="469"/>
      <c r="L279" s="469"/>
      <c r="M279" s="469"/>
      <c r="N279" s="821">
        <f t="shared" si="29"/>
        <v>8493.4879999999994</v>
      </c>
      <c r="O279" s="475">
        <f t="shared" si="29"/>
        <v>5240</v>
      </c>
      <c r="P279" s="469">
        <f t="shared" si="29"/>
        <v>5380</v>
      </c>
      <c r="Q279" s="84"/>
      <c r="R279" s="84"/>
      <c r="S279" s="84"/>
      <c r="T279" s="84"/>
      <c r="U279" s="84"/>
      <c r="V279" s="84"/>
      <c r="W279" s="84"/>
      <c r="X279" s="84"/>
    </row>
    <row r="280" spans="1:256" s="83" customFormat="1" ht="13" x14ac:dyDescent="0.3">
      <c r="A280" s="85"/>
      <c r="B280" s="16" t="s">
        <v>60</v>
      </c>
      <c r="C280" s="89"/>
      <c r="D280" s="33"/>
      <c r="E280" s="33"/>
      <c r="F280" s="33" t="s">
        <v>200</v>
      </c>
      <c r="G280" s="88">
        <v>240</v>
      </c>
      <c r="H280" s="9" t="s">
        <v>452</v>
      </c>
      <c r="I280" s="9" t="s">
        <v>539</v>
      </c>
      <c r="J280" s="469"/>
      <c r="K280" s="469"/>
      <c r="L280" s="469"/>
      <c r="M280" s="469"/>
      <c r="N280" s="821">
        <v>8493.4879999999994</v>
      </c>
      <c r="O280" s="475">
        <v>5240</v>
      </c>
      <c r="P280" s="469">
        <v>5380</v>
      </c>
      <c r="Q280" s="84"/>
      <c r="R280" s="84"/>
      <c r="S280" s="84"/>
      <c r="T280" s="84"/>
      <c r="U280" s="84"/>
      <c r="V280" s="84"/>
      <c r="W280" s="84"/>
      <c r="X280" s="84"/>
    </row>
    <row r="281" spans="1:256" s="83" customFormat="1" ht="26" x14ac:dyDescent="0.3">
      <c r="A281" s="85"/>
      <c r="B281" s="495" t="s">
        <v>199</v>
      </c>
      <c r="C281" s="89"/>
      <c r="D281" s="33"/>
      <c r="E281" s="33"/>
      <c r="F281" s="33" t="s">
        <v>198</v>
      </c>
      <c r="G281" s="88"/>
      <c r="H281" s="88"/>
      <c r="I281" s="33"/>
      <c r="J281" s="469">
        <f>J282</f>
        <v>800</v>
      </c>
      <c r="K281" s="469"/>
      <c r="L281" s="469"/>
      <c r="M281" s="469"/>
      <c r="N281" s="813">
        <f t="shared" ref="N281:P282" si="30">N282</f>
        <v>541.23800000000006</v>
      </c>
      <c r="O281" s="475">
        <f t="shared" si="30"/>
        <v>500</v>
      </c>
      <c r="P281" s="469">
        <f t="shared" si="30"/>
        <v>600</v>
      </c>
      <c r="Q281" s="84"/>
      <c r="R281" s="84"/>
      <c r="S281" s="84"/>
      <c r="T281" s="84"/>
      <c r="U281" s="84"/>
      <c r="V281" s="84"/>
      <c r="W281" s="84"/>
      <c r="X281" s="84"/>
    </row>
    <row r="282" spans="1:256" s="83" customFormat="1" ht="25.15" customHeight="1" x14ac:dyDescent="0.3">
      <c r="A282" s="85"/>
      <c r="B282" s="15" t="s">
        <v>4</v>
      </c>
      <c r="C282" s="89"/>
      <c r="D282" s="33" t="s">
        <v>52</v>
      </c>
      <c r="E282" s="33" t="s">
        <v>58</v>
      </c>
      <c r="F282" s="33" t="s">
        <v>198</v>
      </c>
      <c r="G282" s="88">
        <v>240</v>
      </c>
      <c r="H282" s="88"/>
      <c r="I282" s="33"/>
      <c r="J282" s="469">
        <f>J283</f>
        <v>800</v>
      </c>
      <c r="K282" s="469"/>
      <c r="L282" s="469">
        <v>667</v>
      </c>
      <c r="M282" s="469">
        <v>733</v>
      </c>
      <c r="N282" s="813">
        <f t="shared" si="30"/>
        <v>541.23800000000006</v>
      </c>
      <c r="O282" s="475">
        <f t="shared" si="30"/>
        <v>500</v>
      </c>
      <c r="P282" s="469">
        <f t="shared" si="30"/>
        <v>600</v>
      </c>
      <c r="Q282" s="84"/>
      <c r="R282" s="84"/>
      <c r="S282" s="84"/>
      <c r="T282" s="84"/>
      <c r="U282" s="84"/>
      <c r="V282" s="84"/>
      <c r="W282" s="84"/>
      <c r="X282" s="84"/>
    </row>
    <row r="283" spans="1:256" s="83" customFormat="1" ht="13" x14ac:dyDescent="0.3">
      <c r="A283" s="85"/>
      <c r="B283" s="16" t="s">
        <v>60</v>
      </c>
      <c r="C283" s="89"/>
      <c r="D283" s="33"/>
      <c r="E283" s="33"/>
      <c r="F283" s="33" t="s">
        <v>198</v>
      </c>
      <c r="G283" s="88">
        <v>240</v>
      </c>
      <c r="H283" s="9" t="s">
        <v>452</v>
      </c>
      <c r="I283" s="9" t="s">
        <v>539</v>
      </c>
      <c r="J283" s="469">
        <v>800</v>
      </c>
      <c r="K283" s="469"/>
      <c r="L283" s="469">
        <v>667</v>
      </c>
      <c r="M283" s="469">
        <v>733</v>
      </c>
      <c r="N283" s="813">
        <v>541.23800000000006</v>
      </c>
      <c r="O283" s="475">
        <v>500</v>
      </c>
      <c r="P283" s="469">
        <v>600</v>
      </c>
      <c r="Q283" s="84"/>
      <c r="R283" s="84"/>
      <c r="S283" s="84"/>
      <c r="T283" s="84"/>
      <c r="U283" s="84"/>
      <c r="V283" s="84"/>
      <c r="W283" s="84"/>
      <c r="X283" s="84"/>
    </row>
    <row r="284" spans="1:256" ht="39" x14ac:dyDescent="0.25">
      <c r="A284" s="156">
        <v>6</v>
      </c>
      <c r="B284" s="155" t="s">
        <v>197</v>
      </c>
      <c r="C284" s="152"/>
      <c r="D284" s="154" t="s">
        <v>15</v>
      </c>
      <c r="E284" s="152" t="s">
        <v>13</v>
      </c>
      <c r="F284" s="152" t="s">
        <v>196</v>
      </c>
      <c r="G284" s="153"/>
      <c r="H284" s="153"/>
      <c r="I284" s="152"/>
      <c r="J284" s="150">
        <f>J285</f>
        <v>3497.6120000000001</v>
      </c>
      <c r="K284" s="151"/>
      <c r="L284" s="150">
        <f>L286</f>
        <v>4000</v>
      </c>
      <c r="M284" s="150">
        <f>M286</f>
        <v>0</v>
      </c>
      <c r="N284" s="712">
        <f t="shared" ref="N284:P286" si="31">N285</f>
        <v>4700</v>
      </c>
      <c r="O284" s="150">
        <f t="shared" si="31"/>
        <v>48</v>
      </c>
      <c r="P284" s="150">
        <f t="shared" si="31"/>
        <v>816.12</v>
      </c>
    </row>
    <row r="285" spans="1:256" s="2" customFormat="1" ht="31.15" customHeight="1" x14ac:dyDescent="0.25">
      <c r="A285" s="815"/>
      <c r="B285" s="492" t="s">
        <v>195</v>
      </c>
      <c r="C285" s="492"/>
      <c r="D285" s="492"/>
      <c r="E285" s="492"/>
      <c r="F285" s="9" t="s">
        <v>194</v>
      </c>
      <c r="G285" s="492"/>
      <c r="H285" s="492"/>
      <c r="I285" s="492"/>
      <c r="J285" s="496">
        <f>J286</f>
        <v>3497.6120000000001</v>
      </c>
      <c r="K285" s="492"/>
      <c r="L285" s="492"/>
      <c r="M285" s="492"/>
      <c r="N285" s="822">
        <f t="shared" si="31"/>
        <v>4700</v>
      </c>
      <c r="O285" s="789">
        <f t="shared" si="31"/>
        <v>48</v>
      </c>
      <c r="P285" s="496">
        <f t="shared" si="31"/>
        <v>816.12</v>
      </c>
      <c r="Q285" s="497"/>
      <c r="R285" s="497"/>
      <c r="S285" s="497"/>
      <c r="T285" s="497"/>
      <c r="U285" s="497"/>
      <c r="V285" s="497"/>
      <c r="W285" s="497"/>
      <c r="X285" s="497"/>
      <c r="Y285" s="497"/>
      <c r="Z285" s="497"/>
      <c r="AA285" s="497"/>
      <c r="AB285" s="497"/>
      <c r="AC285" s="497"/>
      <c r="AD285" s="497"/>
      <c r="AE285" s="497"/>
      <c r="AF285" s="497"/>
      <c r="AG285" s="497"/>
      <c r="AH285" s="497"/>
      <c r="AI285" s="497"/>
      <c r="AJ285" s="497"/>
      <c r="AK285" s="497"/>
      <c r="AL285" s="497"/>
      <c r="AM285" s="497"/>
      <c r="AN285" s="497"/>
      <c r="AO285" s="497"/>
      <c r="AP285" s="497"/>
      <c r="AQ285" s="497"/>
      <c r="AR285" s="497"/>
      <c r="AS285" s="497"/>
      <c r="AT285" s="497"/>
      <c r="AU285" s="497"/>
      <c r="AV285" s="497"/>
      <c r="AW285" s="497"/>
      <c r="AX285" s="497"/>
      <c r="AY285" s="497"/>
      <c r="AZ285" s="497"/>
      <c r="BA285" s="497"/>
      <c r="BB285" s="497"/>
      <c r="BC285" s="497"/>
      <c r="BD285" s="497"/>
      <c r="BE285" s="497"/>
      <c r="BF285" s="497"/>
      <c r="BG285" s="497"/>
      <c r="BH285" s="497"/>
      <c r="BI285" s="497"/>
      <c r="BJ285" s="497"/>
      <c r="BK285" s="497"/>
      <c r="BL285" s="497"/>
      <c r="BM285" s="497"/>
      <c r="BN285" s="497"/>
      <c r="BO285" s="497"/>
      <c r="BP285" s="497"/>
      <c r="BQ285" s="497"/>
      <c r="BR285" s="497"/>
      <c r="BS285" s="497"/>
      <c r="BT285" s="497"/>
      <c r="BU285" s="497"/>
      <c r="BV285" s="497"/>
      <c r="BW285" s="497"/>
      <c r="BX285" s="497"/>
      <c r="BY285" s="497"/>
      <c r="BZ285" s="497"/>
      <c r="CA285" s="497"/>
      <c r="CB285" s="497"/>
      <c r="CC285" s="497"/>
      <c r="CD285" s="497"/>
      <c r="CE285" s="497"/>
      <c r="CF285" s="497"/>
      <c r="CG285" s="497"/>
      <c r="CH285" s="497"/>
      <c r="CI285" s="497"/>
      <c r="CJ285" s="497"/>
      <c r="CK285" s="497"/>
      <c r="CL285" s="497"/>
      <c r="CM285" s="497"/>
      <c r="CN285" s="497"/>
      <c r="CO285" s="497"/>
      <c r="CP285" s="497"/>
      <c r="CQ285" s="497"/>
      <c r="CR285" s="497"/>
      <c r="CS285" s="497"/>
      <c r="CT285" s="497"/>
      <c r="CU285" s="497"/>
      <c r="CV285" s="497"/>
      <c r="CW285" s="497"/>
      <c r="CX285" s="497"/>
      <c r="CY285" s="497"/>
      <c r="CZ285" s="497"/>
      <c r="DA285" s="497"/>
      <c r="DB285" s="497"/>
      <c r="DC285" s="497"/>
      <c r="DD285" s="497"/>
      <c r="DE285" s="497"/>
      <c r="DF285" s="497"/>
      <c r="DG285" s="497"/>
      <c r="DH285" s="497"/>
      <c r="DI285" s="497"/>
      <c r="DJ285" s="497"/>
      <c r="DK285" s="497"/>
      <c r="DL285" s="497"/>
      <c r="DM285" s="497"/>
      <c r="DN285" s="497"/>
      <c r="DO285" s="497"/>
      <c r="DP285" s="497"/>
      <c r="DQ285" s="497"/>
      <c r="DR285" s="497"/>
      <c r="DS285" s="497"/>
      <c r="DT285" s="497"/>
      <c r="DU285" s="497"/>
      <c r="DV285" s="497"/>
      <c r="DW285" s="497"/>
      <c r="DX285" s="497"/>
      <c r="DY285" s="497"/>
      <c r="DZ285" s="497"/>
      <c r="EA285" s="497"/>
      <c r="EB285" s="497"/>
      <c r="EC285" s="497"/>
      <c r="ED285" s="497"/>
      <c r="EE285" s="497"/>
      <c r="EF285" s="497"/>
      <c r="EG285" s="497"/>
      <c r="EH285" s="497"/>
      <c r="EI285" s="497"/>
      <c r="EJ285" s="497"/>
      <c r="EK285" s="497"/>
      <c r="EL285" s="497"/>
      <c r="EM285" s="497"/>
      <c r="EN285" s="497"/>
      <c r="EO285" s="497"/>
      <c r="EP285" s="497"/>
      <c r="EQ285" s="497"/>
      <c r="ER285" s="497"/>
      <c r="ES285" s="497"/>
      <c r="ET285" s="497"/>
      <c r="EU285" s="497"/>
      <c r="EV285" s="497"/>
      <c r="EW285" s="497"/>
      <c r="EX285" s="497"/>
      <c r="EY285" s="497"/>
      <c r="EZ285" s="497"/>
      <c r="FA285" s="497"/>
      <c r="FB285" s="497"/>
      <c r="FC285" s="497"/>
      <c r="FD285" s="497"/>
      <c r="FE285" s="497"/>
      <c r="FF285" s="497"/>
      <c r="FG285" s="497"/>
      <c r="FH285" s="497"/>
      <c r="FI285" s="497"/>
      <c r="FJ285" s="497"/>
      <c r="FK285" s="497"/>
      <c r="FL285" s="497"/>
      <c r="FM285" s="497"/>
      <c r="FN285" s="497"/>
      <c r="FO285" s="497"/>
      <c r="FP285" s="497"/>
      <c r="FQ285" s="497"/>
      <c r="FR285" s="497"/>
      <c r="FS285" s="497"/>
      <c r="FT285" s="497"/>
      <c r="FU285" s="497"/>
      <c r="FV285" s="497"/>
      <c r="FW285" s="497"/>
      <c r="FX285" s="497"/>
      <c r="FY285" s="497"/>
      <c r="FZ285" s="497"/>
      <c r="GA285" s="497"/>
      <c r="GB285" s="497"/>
      <c r="GC285" s="497"/>
      <c r="GD285" s="497"/>
      <c r="GE285" s="497"/>
      <c r="GF285" s="497"/>
      <c r="GG285" s="497"/>
      <c r="GH285" s="497"/>
      <c r="GI285" s="497"/>
      <c r="GJ285" s="497"/>
      <c r="GK285" s="497"/>
      <c r="GL285" s="497"/>
      <c r="GM285" s="497"/>
      <c r="GN285" s="497"/>
      <c r="GO285" s="497"/>
      <c r="GP285" s="497"/>
      <c r="GQ285" s="497"/>
      <c r="GR285" s="497"/>
      <c r="GS285" s="497"/>
      <c r="GT285" s="497"/>
      <c r="GU285" s="497"/>
      <c r="GV285" s="497"/>
      <c r="GW285" s="497"/>
      <c r="GX285" s="497"/>
      <c r="GY285" s="497"/>
      <c r="GZ285" s="497"/>
      <c r="HA285" s="497"/>
      <c r="HB285" s="497"/>
      <c r="HC285" s="497"/>
      <c r="HD285" s="497"/>
      <c r="HE285" s="497"/>
      <c r="HF285" s="497"/>
      <c r="HG285" s="497"/>
      <c r="HH285" s="497"/>
      <c r="HI285" s="497"/>
      <c r="HJ285" s="497"/>
      <c r="HK285" s="497"/>
      <c r="HL285" s="497"/>
      <c r="HM285" s="497"/>
      <c r="HN285" s="497"/>
      <c r="HO285" s="497"/>
      <c r="HP285" s="497"/>
      <c r="HQ285" s="497"/>
      <c r="HR285" s="497"/>
      <c r="HS285" s="497"/>
      <c r="HT285" s="497"/>
      <c r="HU285" s="497"/>
      <c r="HV285" s="497"/>
      <c r="HW285" s="497"/>
      <c r="HX285" s="497"/>
      <c r="HY285" s="497"/>
      <c r="HZ285" s="497"/>
      <c r="IA285" s="497"/>
      <c r="IB285" s="497"/>
      <c r="IC285" s="497"/>
      <c r="ID285" s="497"/>
      <c r="IE285" s="497"/>
      <c r="IF285" s="497"/>
      <c r="IG285" s="497"/>
      <c r="IH285" s="497"/>
      <c r="II285" s="497"/>
      <c r="IJ285" s="497"/>
      <c r="IK285" s="497"/>
      <c r="IL285" s="497"/>
      <c r="IM285" s="497"/>
      <c r="IN285" s="497"/>
      <c r="IO285" s="497"/>
      <c r="IP285" s="497"/>
      <c r="IQ285" s="497"/>
      <c r="IR285" s="497"/>
      <c r="IS285" s="497"/>
      <c r="IT285" s="497"/>
      <c r="IU285" s="497"/>
      <c r="IV285" s="497"/>
    </row>
    <row r="286" spans="1:256" ht="26" x14ac:dyDescent="0.25">
      <c r="A286" s="145"/>
      <c r="B286" s="144" t="s">
        <v>193</v>
      </c>
      <c r="C286" s="142"/>
      <c r="D286" s="143" t="s">
        <v>15</v>
      </c>
      <c r="E286" s="142" t="s">
        <v>13</v>
      </c>
      <c r="F286" s="142" t="s">
        <v>191</v>
      </c>
      <c r="G286" s="142"/>
      <c r="H286" s="142"/>
      <c r="I286" s="142"/>
      <c r="J286" s="498">
        <f>J287</f>
        <v>3497.6120000000001</v>
      </c>
      <c r="K286" s="499"/>
      <c r="L286" s="499">
        <f>L287</f>
        <v>4000</v>
      </c>
      <c r="M286" s="500">
        <f>M287</f>
        <v>0</v>
      </c>
      <c r="N286" s="823">
        <f t="shared" si="31"/>
        <v>4700</v>
      </c>
      <c r="O286" s="790">
        <f t="shared" si="31"/>
        <v>48</v>
      </c>
      <c r="P286" s="498">
        <f t="shared" si="31"/>
        <v>816.12</v>
      </c>
    </row>
    <row r="287" spans="1:256" ht="13" x14ac:dyDescent="0.25">
      <c r="A287" s="32"/>
      <c r="B287" s="58" t="s">
        <v>28</v>
      </c>
      <c r="C287" s="9"/>
      <c r="D287" s="88" t="s">
        <v>15</v>
      </c>
      <c r="E287" s="9" t="s">
        <v>13</v>
      </c>
      <c r="F287" s="9" t="s">
        <v>191</v>
      </c>
      <c r="G287" s="9" t="s">
        <v>26</v>
      </c>
      <c r="H287" s="9"/>
      <c r="I287" s="9"/>
      <c r="J287" s="467">
        <f>J289</f>
        <v>3497.6120000000001</v>
      </c>
      <c r="K287" s="481"/>
      <c r="L287" s="472">
        <v>4000</v>
      </c>
      <c r="M287" s="471"/>
      <c r="N287" s="811">
        <f>N289</f>
        <v>4700</v>
      </c>
      <c r="O287" s="783">
        <f>O289</f>
        <v>48</v>
      </c>
      <c r="P287" s="467">
        <f>P289</f>
        <v>816.12</v>
      </c>
    </row>
    <row r="288" spans="1:256" ht="52" hidden="1" x14ac:dyDescent="0.25">
      <c r="A288" s="32"/>
      <c r="B288" s="58" t="s">
        <v>192</v>
      </c>
      <c r="C288" s="9"/>
      <c r="D288" s="88" t="s">
        <v>15</v>
      </c>
      <c r="E288" s="9" t="s">
        <v>13</v>
      </c>
      <c r="F288" s="9" t="s">
        <v>191</v>
      </c>
      <c r="G288" s="9"/>
      <c r="H288" s="9"/>
      <c r="I288" s="9" t="s">
        <v>13</v>
      </c>
      <c r="J288" s="471"/>
      <c r="K288" s="471"/>
      <c r="L288" s="471"/>
      <c r="M288" s="471"/>
      <c r="N288" s="814"/>
      <c r="O288" s="746"/>
      <c r="P288" s="471"/>
    </row>
    <row r="289" spans="1:17" ht="13" x14ac:dyDescent="0.25">
      <c r="A289" s="32"/>
      <c r="B289" s="58" t="s">
        <v>39</v>
      </c>
      <c r="C289" s="9"/>
      <c r="D289" s="88"/>
      <c r="E289" s="9"/>
      <c r="F289" s="9" t="s">
        <v>191</v>
      </c>
      <c r="G289" s="9" t="s">
        <v>26</v>
      </c>
      <c r="H289" s="9" t="s">
        <v>463</v>
      </c>
      <c r="I289" s="9" t="s">
        <v>488</v>
      </c>
      <c r="J289" s="467">
        <v>3497.6120000000001</v>
      </c>
      <c r="K289" s="471"/>
      <c r="L289" s="471"/>
      <c r="M289" s="471"/>
      <c r="N289" s="811">
        <v>4700</v>
      </c>
      <c r="O289" s="783">
        <v>48</v>
      </c>
      <c r="P289" s="467">
        <v>816.12</v>
      </c>
    </row>
    <row r="290" spans="1:17" ht="56.5" customHeight="1" x14ac:dyDescent="0.25">
      <c r="A290" s="91">
        <v>7</v>
      </c>
      <c r="B290" s="132" t="s">
        <v>190</v>
      </c>
      <c r="C290" s="9"/>
      <c r="D290" s="34" t="s">
        <v>15</v>
      </c>
      <c r="E290" s="34" t="s">
        <v>32</v>
      </c>
      <c r="F290" s="34" t="s">
        <v>189</v>
      </c>
      <c r="G290" s="131"/>
      <c r="H290" s="131"/>
      <c r="I290" s="34"/>
      <c r="J290" s="51">
        <f>J291</f>
        <v>7617.2000000000007</v>
      </c>
      <c r="K290" s="131"/>
      <c r="L290" s="51">
        <f>L292+L295</f>
        <v>7617.2</v>
      </c>
      <c r="M290" s="482">
        <f>M292+M295</f>
        <v>7463.8</v>
      </c>
      <c r="N290" s="50">
        <f>N291</f>
        <v>28849.945999999996</v>
      </c>
      <c r="O290" s="205">
        <f>O291</f>
        <v>32518.875</v>
      </c>
      <c r="P290" s="51">
        <f>P291</f>
        <v>31004.17</v>
      </c>
    </row>
    <row r="291" spans="1:17" ht="56.5" customHeight="1" x14ac:dyDescent="0.25">
      <c r="A291" s="91"/>
      <c r="B291" s="495" t="s">
        <v>188</v>
      </c>
      <c r="C291" s="9"/>
      <c r="D291" s="34"/>
      <c r="E291" s="34"/>
      <c r="F291" s="9" t="s">
        <v>187</v>
      </c>
      <c r="G291" s="131"/>
      <c r="H291" s="131"/>
      <c r="I291" s="34"/>
      <c r="J291" s="47">
        <f>J292+J295</f>
        <v>7617.2000000000007</v>
      </c>
      <c r="K291" s="131"/>
      <c r="L291" s="51"/>
      <c r="M291" s="482"/>
      <c r="N291" s="46">
        <f>N292+N295</f>
        <v>28849.945999999996</v>
      </c>
      <c r="O291" s="791">
        <f>O292+O295</f>
        <v>32518.875</v>
      </c>
      <c r="P291" s="47">
        <f>P292+P295</f>
        <v>31004.17</v>
      </c>
    </row>
    <row r="292" spans="1:17" ht="39" x14ac:dyDescent="0.25">
      <c r="A292" s="32"/>
      <c r="B292" s="49" t="s">
        <v>186</v>
      </c>
      <c r="C292" s="9"/>
      <c r="D292" s="34" t="s">
        <v>15</v>
      </c>
      <c r="E292" s="34" t="s">
        <v>32</v>
      </c>
      <c r="F292" s="9" t="s">
        <v>185</v>
      </c>
      <c r="G292" s="9"/>
      <c r="H292" s="9"/>
      <c r="I292" s="34"/>
      <c r="J292" s="467">
        <f>J293</f>
        <v>5253.4660000000003</v>
      </c>
      <c r="K292" s="471"/>
      <c r="L292" s="471">
        <f>L293</f>
        <v>5406.2</v>
      </c>
      <c r="M292" s="471">
        <f>M293</f>
        <v>5230.3</v>
      </c>
      <c r="N292" s="811">
        <f>N293</f>
        <v>6219.4609999999993</v>
      </c>
      <c r="O292" s="783">
        <f>O293</f>
        <v>10043.379999999999</v>
      </c>
      <c r="P292" s="467">
        <f>P293</f>
        <v>6288.7259999999997</v>
      </c>
    </row>
    <row r="293" spans="1:17" ht="25.15" customHeight="1" x14ac:dyDescent="0.25">
      <c r="A293" s="32"/>
      <c r="B293" s="15" t="s">
        <v>4</v>
      </c>
      <c r="C293" s="9"/>
      <c r="D293" s="9" t="s">
        <v>15</v>
      </c>
      <c r="E293" s="9" t="s">
        <v>32</v>
      </c>
      <c r="F293" s="9" t="s">
        <v>185</v>
      </c>
      <c r="G293" s="9" t="s">
        <v>1</v>
      </c>
      <c r="H293" s="9"/>
      <c r="I293" s="9"/>
      <c r="J293" s="467">
        <f>J294</f>
        <v>5253.4660000000003</v>
      </c>
      <c r="K293" s="471"/>
      <c r="L293" s="467">
        <v>5406.2</v>
      </c>
      <c r="M293" s="467">
        <v>5230.3</v>
      </c>
      <c r="N293" s="811">
        <f>N294</f>
        <v>6219.4609999999993</v>
      </c>
      <c r="O293" s="783">
        <f>O294</f>
        <v>10043.379999999999</v>
      </c>
      <c r="P293" s="467">
        <f>P294</f>
        <v>6288.7259999999997</v>
      </c>
    </row>
    <row r="294" spans="1:17" ht="13" x14ac:dyDescent="0.3">
      <c r="A294" s="32"/>
      <c r="B294" s="16" t="s">
        <v>34</v>
      </c>
      <c r="C294" s="9"/>
      <c r="D294" s="9"/>
      <c r="E294" s="9"/>
      <c r="F294" s="9" t="s">
        <v>185</v>
      </c>
      <c r="G294" s="9" t="s">
        <v>1</v>
      </c>
      <c r="H294" s="9" t="s">
        <v>463</v>
      </c>
      <c r="I294" s="9" t="s">
        <v>495</v>
      </c>
      <c r="J294" s="467">
        <v>5253.4660000000003</v>
      </c>
      <c r="K294" s="471"/>
      <c r="L294" s="467"/>
      <c r="M294" s="467"/>
      <c r="N294" s="811">
        <f>2739.765+2287.696+472+720</f>
        <v>6219.4609999999993</v>
      </c>
      <c r="O294" s="783">
        <v>10043.379999999999</v>
      </c>
      <c r="P294" s="467">
        <v>6288.7259999999997</v>
      </c>
    </row>
    <row r="295" spans="1:17" ht="39" x14ac:dyDescent="0.25">
      <c r="A295" s="32"/>
      <c r="B295" s="49" t="s">
        <v>184</v>
      </c>
      <c r="C295" s="9"/>
      <c r="D295" s="34" t="s">
        <v>15</v>
      </c>
      <c r="E295" s="34" t="s">
        <v>32</v>
      </c>
      <c r="F295" s="9" t="s">
        <v>183</v>
      </c>
      <c r="G295" s="9"/>
      <c r="H295" s="9"/>
      <c r="I295" s="34"/>
      <c r="J295" s="467">
        <f>J296</f>
        <v>2363.7339999999999</v>
      </c>
      <c r="K295" s="470"/>
      <c r="L295" s="470">
        <f>L296</f>
        <v>2211</v>
      </c>
      <c r="M295" s="470">
        <f>M296</f>
        <v>2233.5</v>
      </c>
      <c r="N295" s="811">
        <f>N296</f>
        <v>22630.484999999997</v>
      </c>
      <c r="O295" s="783">
        <f>O296</f>
        <v>22475.494999999999</v>
      </c>
      <c r="P295" s="467">
        <f>P296</f>
        <v>24715.444</v>
      </c>
    </row>
    <row r="296" spans="1:17" ht="25.15" customHeight="1" x14ac:dyDescent="0.25">
      <c r="A296" s="32"/>
      <c r="B296" s="15" t="s">
        <v>4</v>
      </c>
      <c r="C296" s="9"/>
      <c r="D296" s="9" t="s">
        <v>15</v>
      </c>
      <c r="E296" s="9" t="s">
        <v>32</v>
      </c>
      <c r="F296" s="9" t="s">
        <v>183</v>
      </c>
      <c r="G296" s="9" t="s">
        <v>1</v>
      </c>
      <c r="H296" s="9"/>
      <c r="I296" s="9"/>
      <c r="J296" s="467">
        <f>J298</f>
        <v>2363.7339999999999</v>
      </c>
      <c r="K296" s="470"/>
      <c r="L296" s="470">
        <v>2211</v>
      </c>
      <c r="M296" s="470">
        <v>2233.5</v>
      </c>
      <c r="N296" s="811">
        <f>N298</f>
        <v>22630.484999999997</v>
      </c>
      <c r="O296" s="783">
        <f>O298</f>
        <v>22475.494999999999</v>
      </c>
      <c r="P296" s="467">
        <f>P298</f>
        <v>24715.444</v>
      </c>
    </row>
    <row r="297" spans="1:17" ht="18.649999999999999" hidden="1" customHeight="1" x14ac:dyDescent="0.3">
      <c r="A297" s="32"/>
      <c r="B297" s="86"/>
      <c r="C297" s="9"/>
      <c r="D297" s="9"/>
      <c r="E297" s="9"/>
      <c r="F297" s="9"/>
      <c r="G297" s="9"/>
      <c r="H297" s="9"/>
      <c r="I297" s="9"/>
      <c r="J297" s="467"/>
      <c r="K297" s="470"/>
      <c r="L297" s="470"/>
      <c r="M297" s="470"/>
      <c r="N297" s="811"/>
      <c r="O297" s="783"/>
      <c r="P297" s="467"/>
    </row>
    <row r="298" spans="1:17" ht="13" x14ac:dyDescent="0.3">
      <c r="A298" s="32"/>
      <c r="B298" s="16" t="s">
        <v>34</v>
      </c>
      <c r="C298" s="9"/>
      <c r="D298" s="9"/>
      <c r="E298" s="9"/>
      <c r="F298" s="9" t="s">
        <v>183</v>
      </c>
      <c r="G298" s="9" t="s">
        <v>1</v>
      </c>
      <c r="H298" s="9" t="s">
        <v>463</v>
      </c>
      <c r="I298" s="9" t="s">
        <v>495</v>
      </c>
      <c r="J298" s="467">
        <v>2363.7339999999999</v>
      </c>
      <c r="K298" s="470"/>
      <c r="L298" s="470"/>
      <c r="M298" s="470"/>
      <c r="N298" s="811">
        <f>21991.152+639.333</f>
        <v>22630.484999999997</v>
      </c>
      <c r="O298" s="783">
        <v>22475.494999999999</v>
      </c>
      <c r="P298" s="467">
        <v>24715.444</v>
      </c>
      <c r="Q298" s="1026"/>
    </row>
    <row r="299" spans="1:17" ht="65" x14ac:dyDescent="0.25">
      <c r="A299" s="91">
        <v>8</v>
      </c>
      <c r="B299" s="135" t="s">
        <v>529</v>
      </c>
      <c r="C299" s="9"/>
      <c r="D299" s="9"/>
      <c r="E299" s="9"/>
      <c r="F299" s="34" t="s">
        <v>181</v>
      </c>
      <c r="G299" s="9"/>
      <c r="H299" s="9"/>
      <c r="I299" s="9"/>
      <c r="J299" s="467"/>
      <c r="K299" s="470"/>
      <c r="L299" s="470"/>
      <c r="M299" s="470"/>
      <c r="N299" s="824">
        <f>N300</f>
        <v>10748.93</v>
      </c>
      <c r="O299" s="792">
        <f>O300</f>
        <v>3670.8</v>
      </c>
      <c r="P299" s="470">
        <f>P300</f>
        <v>4037.88</v>
      </c>
    </row>
    <row r="300" spans="1:17" ht="39" x14ac:dyDescent="0.25">
      <c r="A300" s="32"/>
      <c r="B300" s="493" t="s">
        <v>180</v>
      </c>
      <c r="C300" s="9"/>
      <c r="D300" s="9"/>
      <c r="E300" s="9"/>
      <c r="F300" s="9" t="s">
        <v>179</v>
      </c>
      <c r="G300" s="9"/>
      <c r="H300" s="9"/>
      <c r="I300" s="9"/>
      <c r="J300" s="467"/>
      <c r="K300" s="470"/>
      <c r="L300" s="470"/>
      <c r="M300" s="470"/>
      <c r="N300" s="811">
        <f>N304+N301</f>
        <v>10748.93</v>
      </c>
      <c r="O300" s="783">
        <f>O304+O301</f>
        <v>3670.8</v>
      </c>
      <c r="P300" s="467">
        <f>P304+P301</f>
        <v>4037.88</v>
      </c>
    </row>
    <row r="301" spans="1:17" ht="39" x14ac:dyDescent="0.25">
      <c r="A301" s="32"/>
      <c r="B301" s="495" t="s">
        <v>23</v>
      </c>
      <c r="C301" s="9"/>
      <c r="D301" s="9"/>
      <c r="E301" s="9"/>
      <c r="F301" s="9" t="s">
        <v>178</v>
      </c>
      <c r="G301" s="9"/>
      <c r="H301" s="9"/>
      <c r="I301" s="9"/>
      <c r="J301" s="467"/>
      <c r="K301" s="470"/>
      <c r="L301" s="470"/>
      <c r="M301" s="470"/>
      <c r="N301" s="811">
        <f t="shared" ref="N301:P302" si="32">N302</f>
        <v>3250.8</v>
      </c>
      <c r="O301" s="783">
        <f t="shared" si="32"/>
        <v>3268.201</v>
      </c>
      <c r="P301" s="467">
        <f t="shared" si="32"/>
        <v>3595.0210000000002</v>
      </c>
    </row>
    <row r="302" spans="1:17" ht="26" x14ac:dyDescent="0.25">
      <c r="A302" s="32"/>
      <c r="B302" s="15" t="s">
        <v>4</v>
      </c>
      <c r="C302" s="9"/>
      <c r="D302" s="9"/>
      <c r="E302" s="9"/>
      <c r="F302" s="9" t="s">
        <v>178</v>
      </c>
      <c r="G302" s="9" t="s">
        <v>1</v>
      </c>
      <c r="H302" s="9"/>
      <c r="I302" s="9"/>
      <c r="J302" s="467"/>
      <c r="K302" s="470"/>
      <c r="L302" s="470"/>
      <c r="M302" s="470"/>
      <c r="N302" s="811">
        <f t="shared" si="32"/>
        <v>3250.8</v>
      </c>
      <c r="O302" s="783">
        <f t="shared" si="32"/>
        <v>3268.201</v>
      </c>
      <c r="P302" s="467">
        <f t="shared" si="32"/>
        <v>3595.0210000000002</v>
      </c>
    </row>
    <row r="303" spans="1:17" ht="13" x14ac:dyDescent="0.3">
      <c r="A303" s="32"/>
      <c r="B303" s="16" t="s">
        <v>39</v>
      </c>
      <c r="C303" s="9"/>
      <c r="D303" s="9"/>
      <c r="E303" s="9"/>
      <c r="F303" s="9" t="s">
        <v>178</v>
      </c>
      <c r="G303" s="9" t="s">
        <v>1</v>
      </c>
      <c r="H303" s="9" t="s">
        <v>463</v>
      </c>
      <c r="I303" s="9" t="s">
        <v>488</v>
      </c>
      <c r="J303" s="467"/>
      <c r="K303" s="470"/>
      <c r="L303" s="470"/>
      <c r="M303" s="470"/>
      <c r="N303" s="811">
        <v>3250.8</v>
      </c>
      <c r="O303" s="783">
        <v>3268.201</v>
      </c>
      <c r="P303" s="467">
        <v>3595.0210000000002</v>
      </c>
    </row>
    <row r="304" spans="1:17" ht="26" x14ac:dyDescent="0.25">
      <c r="A304" s="32"/>
      <c r="B304" s="501" t="s">
        <v>40</v>
      </c>
      <c r="C304" s="9"/>
      <c r="D304" s="9"/>
      <c r="E304" s="9"/>
      <c r="F304" s="9" t="s">
        <v>177</v>
      </c>
      <c r="G304" s="9"/>
      <c r="H304" s="9"/>
      <c r="I304" s="9"/>
      <c r="J304" s="467"/>
      <c r="K304" s="470"/>
      <c r="L304" s="470"/>
      <c r="M304" s="470"/>
      <c r="N304" s="811">
        <f t="shared" ref="N304:P305" si="33">N305</f>
        <v>7498.13</v>
      </c>
      <c r="O304" s="783">
        <f t="shared" si="33"/>
        <v>402.59899999999999</v>
      </c>
      <c r="P304" s="467">
        <f t="shared" si="33"/>
        <v>442.85899999999998</v>
      </c>
    </row>
    <row r="305" spans="1:16" ht="26" x14ac:dyDescent="0.25">
      <c r="A305" s="32"/>
      <c r="B305" s="15" t="s">
        <v>4</v>
      </c>
      <c r="C305" s="9"/>
      <c r="D305" s="9"/>
      <c r="E305" s="9"/>
      <c r="F305" s="9" t="s">
        <v>177</v>
      </c>
      <c r="G305" s="9" t="s">
        <v>1</v>
      </c>
      <c r="H305" s="9"/>
      <c r="I305" s="9"/>
      <c r="J305" s="467"/>
      <c r="K305" s="470"/>
      <c r="L305" s="470"/>
      <c r="M305" s="470"/>
      <c r="N305" s="811">
        <f t="shared" si="33"/>
        <v>7498.13</v>
      </c>
      <c r="O305" s="783">
        <f t="shared" si="33"/>
        <v>402.59899999999999</v>
      </c>
      <c r="P305" s="467">
        <f t="shared" si="33"/>
        <v>442.85899999999998</v>
      </c>
    </row>
    <row r="306" spans="1:16" ht="13" x14ac:dyDescent="0.3">
      <c r="A306" s="32"/>
      <c r="B306" s="16" t="s">
        <v>39</v>
      </c>
      <c r="C306" s="9"/>
      <c r="D306" s="9"/>
      <c r="E306" s="9"/>
      <c r="F306" s="9" t="s">
        <v>177</v>
      </c>
      <c r="G306" s="9" t="s">
        <v>1</v>
      </c>
      <c r="H306" s="9" t="s">
        <v>463</v>
      </c>
      <c r="I306" s="9" t="s">
        <v>488</v>
      </c>
      <c r="J306" s="467"/>
      <c r="K306" s="470"/>
      <c r="L306" s="470"/>
      <c r="M306" s="470"/>
      <c r="N306" s="811">
        <f>7106.03+392.1</f>
        <v>7498.13</v>
      </c>
      <c r="O306" s="783">
        <v>402.59899999999999</v>
      </c>
      <c r="P306" s="467">
        <v>442.85899999999998</v>
      </c>
    </row>
    <row r="307" spans="1:16" ht="39" x14ac:dyDescent="0.25">
      <c r="A307" s="91">
        <v>9</v>
      </c>
      <c r="B307" s="135" t="s">
        <v>861</v>
      </c>
      <c r="C307" s="9"/>
      <c r="D307" s="9"/>
      <c r="E307" s="9"/>
      <c r="F307" s="932" t="s">
        <v>468</v>
      </c>
      <c r="G307" s="932" t="s">
        <v>106</v>
      </c>
      <c r="H307" s="932"/>
      <c r="I307" s="9"/>
      <c r="J307" s="467"/>
      <c r="K307" s="470"/>
      <c r="L307" s="470"/>
      <c r="M307" s="470"/>
      <c r="N307" s="938">
        <f>N308+N314</f>
        <v>127.21300000000001</v>
      </c>
      <c r="O307" s="783"/>
      <c r="P307" s="467"/>
    </row>
    <row r="308" spans="1:16" ht="13.5" x14ac:dyDescent="0.25">
      <c r="A308" s="32"/>
      <c r="B308" s="930" t="s">
        <v>849</v>
      </c>
      <c r="C308" s="9"/>
      <c r="D308" s="9"/>
      <c r="E308" s="9"/>
      <c r="F308" s="933" t="s">
        <v>854</v>
      </c>
      <c r="G308" s="935"/>
      <c r="H308" s="935"/>
      <c r="I308" s="9"/>
      <c r="J308" s="467"/>
      <c r="K308" s="470"/>
      <c r="L308" s="470"/>
      <c r="M308" s="470"/>
      <c r="N308" s="939">
        <f t="shared" ref="N308:N318" si="34">N309</f>
        <v>102.349</v>
      </c>
      <c r="O308" s="783"/>
      <c r="P308" s="467"/>
    </row>
    <row r="309" spans="1:16" ht="26" x14ac:dyDescent="0.25">
      <c r="A309" s="32"/>
      <c r="B309" s="148" t="s">
        <v>850</v>
      </c>
      <c r="C309" s="9"/>
      <c r="D309" s="9"/>
      <c r="E309" s="9"/>
      <c r="F309" s="933" t="s">
        <v>855</v>
      </c>
      <c r="G309" s="936"/>
      <c r="H309" s="936"/>
      <c r="I309" s="9"/>
      <c r="J309" s="467"/>
      <c r="K309" s="470"/>
      <c r="L309" s="470"/>
      <c r="M309" s="470"/>
      <c r="N309" s="939">
        <f t="shared" si="34"/>
        <v>102.349</v>
      </c>
      <c r="O309" s="783"/>
      <c r="P309" s="467"/>
    </row>
    <row r="310" spans="1:16" ht="41.5" customHeight="1" x14ac:dyDescent="0.25">
      <c r="A310" s="32"/>
      <c r="B310" s="104" t="s">
        <v>851</v>
      </c>
      <c r="C310" s="9"/>
      <c r="D310" s="9"/>
      <c r="E310" s="9"/>
      <c r="F310" s="933" t="s">
        <v>856</v>
      </c>
      <c r="G310" s="937"/>
      <c r="H310" s="937"/>
      <c r="I310" s="9"/>
      <c r="J310" s="467"/>
      <c r="K310" s="470"/>
      <c r="L310" s="470"/>
      <c r="M310" s="470"/>
      <c r="N310" s="939">
        <f t="shared" si="34"/>
        <v>102.349</v>
      </c>
      <c r="O310" s="783"/>
      <c r="P310" s="467"/>
    </row>
    <row r="311" spans="1:16" ht="13" x14ac:dyDescent="0.25">
      <c r="A311" s="32"/>
      <c r="B311" s="931" t="s">
        <v>852</v>
      </c>
      <c r="C311" s="9"/>
      <c r="D311" s="9"/>
      <c r="E311" s="9"/>
      <c r="F311" s="937" t="s">
        <v>856</v>
      </c>
      <c r="G311" s="934" t="s">
        <v>860</v>
      </c>
      <c r="H311" s="934"/>
      <c r="I311" s="9"/>
      <c r="J311" s="467"/>
      <c r="K311" s="470"/>
      <c r="L311" s="470"/>
      <c r="M311" s="470"/>
      <c r="N311" s="939">
        <f t="shared" si="34"/>
        <v>102.349</v>
      </c>
      <c r="O311" s="783"/>
      <c r="P311" s="467"/>
    </row>
    <row r="312" spans="1:16" ht="13" x14ac:dyDescent="0.25">
      <c r="A312" s="32"/>
      <c r="B312" s="931" t="s">
        <v>80</v>
      </c>
      <c r="C312" s="9"/>
      <c r="D312" s="9"/>
      <c r="E312" s="9"/>
      <c r="F312" s="937" t="s">
        <v>856</v>
      </c>
      <c r="G312" s="934" t="s">
        <v>77</v>
      </c>
      <c r="H312" s="934"/>
      <c r="I312" s="9"/>
      <c r="J312" s="467"/>
      <c r="K312" s="470"/>
      <c r="L312" s="470"/>
      <c r="M312" s="470"/>
      <c r="N312" s="939">
        <f t="shared" si="34"/>
        <v>102.349</v>
      </c>
      <c r="O312" s="783"/>
      <c r="P312" s="467"/>
    </row>
    <row r="313" spans="1:16" ht="13" x14ac:dyDescent="0.25">
      <c r="A313" s="32"/>
      <c r="B313" s="931" t="s">
        <v>45</v>
      </c>
      <c r="C313" s="9"/>
      <c r="D313" s="9"/>
      <c r="E313" s="9"/>
      <c r="F313" s="937" t="s">
        <v>856</v>
      </c>
      <c r="G313" s="934" t="s">
        <v>77</v>
      </c>
      <c r="H313" s="934" t="s">
        <v>496</v>
      </c>
      <c r="I313" s="9" t="s">
        <v>495</v>
      </c>
      <c r="J313" s="467"/>
      <c r="K313" s="470"/>
      <c r="L313" s="470"/>
      <c r="M313" s="470"/>
      <c r="N313" s="939">
        <v>102.349</v>
      </c>
      <c r="O313" s="783"/>
      <c r="P313" s="467"/>
    </row>
    <row r="314" spans="1:16" ht="40.5" x14ac:dyDescent="0.25">
      <c r="A314" s="32"/>
      <c r="B314" s="930" t="s">
        <v>853</v>
      </c>
      <c r="C314" s="9"/>
      <c r="D314" s="9"/>
      <c r="E314" s="9"/>
      <c r="F314" s="933" t="s">
        <v>857</v>
      </c>
      <c r="G314" s="935"/>
      <c r="H314" s="935"/>
      <c r="I314" s="9"/>
      <c r="J314" s="467"/>
      <c r="K314" s="470"/>
      <c r="L314" s="470"/>
      <c r="M314" s="470"/>
      <c r="N314" s="939">
        <f t="shared" si="34"/>
        <v>24.864000000000001</v>
      </c>
      <c r="O314" s="783"/>
      <c r="P314" s="467"/>
    </row>
    <row r="315" spans="1:16" ht="26" x14ac:dyDescent="0.25">
      <c r="A315" s="32"/>
      <c r="B315" s="148" t="s">
        <v>850</v>
      </c>
      <c r="C315" s="9"/>
      <c r="D315" s="9"/>
      <c r="E315" s="9"/>
      <c r="F315" s="933" t="s">
        <v>858</v>
      </c>
      <c r="G315" s="936"/>
      <c r="H315" s="936"/>
      <c r="I315" s="9"/>
      <c r="J315" s="467"/>
      <c r="K315" s="470"/>
      <c r="L315" s="470"/>
      <c r="M315" s="470"/>
      <c r="N315" s="939">
        <f t="shared" si="34"/>
        <v>24.864000000000001</v>
      </c>
      <c r="O315" s="783"/>
      <c r="P315" s="467"/>
    </row>
    <row r="316" spans="1:16" ht="39" x14ac:dyDescent="0.25">
      <c r="A316" s="32"/>
      <c r="B316" s="104" t="s">
        <v>851</v>
      </c>
      <c r="C316" s="9"/>
      <c r="D316" s="9"/>
      <c r="E316" s="9"/>
      <c r="F316" s="933" t="s">
        <v>859</v>
      </c>
      <c r="G316" s="937"/>
      <c r="H316" s="937"/>
      <c r="I316" s="9"/>
      <c r="J316" s="467"/>
      <c r="K316" s="470"/>
      <c r="L316" s="470"/>
      <c r="M316" s="470"/>
      <c r="N316" s="939">
        <f t="shared" si="34"/>
        <v>24.864000000000001</v>
      </c>
      <c r="O316" s="783"/>
      <c r="P316" s="467"/>
    </row>
    <row r="317" spans="1:16" ht="13" x14ac:dyDescent="0.25">
      <c r="A317" s="32"/>
      <c r="B317" s="931" t="s">
        <v>852</v>
      </c>
      <c r="C317" s="9"/>
      <c r="D317" s="9"/>
      <c r="E317" s="9"/>
      <c r="F317" s="933" t="s">
        <v>859</v>
      </c>
      <c r="G317" s="934" t="s">
        <v>860</v>
      </c>
      <c r="H317" s="934"/>
      <c r="I317" s="9"/>
      <c r="J317" s="467"/>
      <c r="K317" s="470"/>
      <c r="L317" s="470"/>
      <c r="M317" s="470"/>
      <c r="N317" s="939">
        <f t="shared" si="34"/>
        <v>24.864000000000001</v>
      </c>
      <c r="O317" s="783"/>
      <c r="P317" s="467"/>
    </row>
    <row r="318" spans="1:16" ht="13" x14ac:dyDescent="0.25">
      <c r="A318" s="32"/>
      <c r="B318" s="931" t="s">
        <v>80</v>
      </c>
      <c r="C318" s="9"/>
      <c r="D318" s="9"/>
      <c r="E318" s="9"/>
      <c r="F318" s="937" t="s">
        <v>859</v>
      </c>
      <c r="G318" s="934" t="s">
        <v>77</v>
      </c>
      <c r="H318" s="934"/>
      <c r="I318" s="9"/>
      <c r="J318" s="467"/>
      <c r="K318" s="470"/>
      <c r="L318" s="470"/>
      <c r="M318" s="470"/>
      <c r="N318" s="939">
        <f t="shared" si="34"/>
        <v>24.864000000000001</v>
      </c>
      <c r="O318" s="783"/>
      <c r="P318" s="467"/>
    </row>
    <row r="319" spans="1:16" ht="13" x14ac:dyDescent="0.25">
      <c r="A319" s="32"/>
      <c r="B319" s="931" t="s">
        <v>45</v>
      </c>
      <c r="C319" s="9"/>
      <c r="D319" s="9"/>
      <c r="E319" s="9"/>
      <c r="F319" s="937" t="s">
        <v>859</v>
      </c>
      <c r="G319" s="934" t="s">
        <v>77</v>
      </c>
      <c r="H319" s="934" t="s">
        <v>496</v>
      </c>
      <c r="I319" s="9" t="s">
        <v>495</v>
      </c>
      <c r="J319" s="467"/>
      <c r="K319" s="470"/>
      <c r="L319" s="470"/>
      <c r="M319" s="470"/>
      <c r="N319" s="939">
        <v>24.864000000000001</v>
      </c>
      <c r="O319" s="783"/>
      <c r="P319" s="467"/>
    </row>
    <row r="320" spans="1:16" ht="13" hidden="1" x14ac:dyDescent="0.3">
      <c r="A320" s="32"/>
      <c r="B320" s="106"/>
      <c r="C320" s="9"/>
      <c r="D320" s="9"/>
      <c r="E320" s="9"/>
      <c r="F320" s="9"/>
      <c r="G320" s="9"/>
      <c r="H320" s="9"/>
      <c r="I320" s="9"/>
      <c r="J320" s="467"/>
      <c r="K320" s="470"/>
      <c r="L320" s="470"/>
      <c r="M320" s="470"/>
      <c r="N320" s="811"/>
      <c r="O320" s="783"/>
      <c r="P320" s="467"/>
    </row>
    <row r="321" spans="1:24" ht="13" hidden="1" x14ac:dyDescent="0.3">
      <c r="A321" s="32"/>
      <c r="B321" s="106"/>
      <c r="C321" s="9"/>
      <c r="D321" s="9"/>
      <c r="E321" s="9"/>
      <c r="F321" s="9"/>
      <c r="G321" s="9"/>
      <c r="H321" s="9"/>
      <c r="I321" s="9"/>
      <c r="J321" s="467"/>
      <c r="K321" s="470"/>
      <c r="L321" s="470"/>
      <c r="M321" s="470"/>
      <c r="N321" s="811"/>
      <c r="O321" s="783"/>
      <c r="P321" s="467"/>
    </row>
    <row r="322" spans="1:24" ht="13" hidden="1" x14ac:dyDescent="0.3">
      <c r="A322" s="32"/>
      <c r="B322" s="106"/>
      <c r="C322" s="9"/>
      <c r="D322" s="9"/>
      <c r="E322" s="9"/>
      <c r="F322" s="9"/>
      <c r="G322" s="9"/>
      <c r="H322" s="9"/>
      <c r="I322" s="9"/>
      <c r="J322" s="467"/>
      <c r="K322" s="470"/>
      <c r="L322" s="470"/>
      <c r="M322" s="470"/>
      <c r="N322" s="811"/>
      <c r="O322" s="783"/>
      <c r="P322" s="467"/>
    </row>
    <row r="323" spans="1:24" ht="55.15" hidden="1" customHeight="1" x14ac:dyDescent="0.25">
      <c r="A323" s="91">
        <v>9</v>
      </c>
      <c r="B323" s="134" t="s">
        <v>176</v>
      </c>
      <c r="C323" s="34"/>
      <c r="D323" s="94" t="s">
        <v>15</v>
      </c>
      <c r="E323" s="34" t="s">
        <v>32</v>
      </c>
      <c r="F323" s="34" t="s">
        <v>175</v>
      </c>
      <c r="G323" s="131"/>
      <c r="H323" s="131"/>
      <c r="I323" s="34"/>
      <c r="J323" s="51">
        <f>J324</f>
        <v>3000</v>
      </c>
      <c r="K323" s="51"/>
      <c r="L323" s="51">
        <f>L325</f>
        <v>6008.35</v>
      </c>
      <c r="M323" s="51">
        <f>M325</f>
        <v>8515.7049999999999</v>
      </c>
      <c r="N323" s="50">
        <f t="shared" ref="N323:P325" si="35">N324</f>
        <v>0</v>
      </c>
      <c r="O323" s="205">
        <f t="shared" si="35"/>
        <v>3500</v>
      </c>
      <c r="P323" s="51">
        <f t="shared" si="35"/>
        <v>3500</v>
      </c>
    </row>
    <row r="324" spans="1:24" ht="39" hidden="1" x14ac:dyDescent="0.25">
      <c r="A324" s="91"/>
      <c r="B324" s="495" t="s">
        <v>174</v>
      </c>
      <c r="C324" s="34"/>
      <c r="D324" s="94"/>
      <c r="E324" s="34"/>
      <c r="F324" s="9" t="s">
        <v>173</v>
      </c>
      <c r="G324" s="48"/>
      <c r="H324" s="48"/>
      <c r="I324" s="9"/>
      <c r="J324" s="47">
        <f>J325</f>
        <v>3000</v>
      </c>
      <c r="K324" s="51"/>
      <c r="L324" s="51"/>
      <c r="M324" s="51"/>
      <c r="N324" s="46">
        <f t="shared" si="35"/>
        <v>0</v>
      </c>
      <c r="O324" s="791">
        <f t="shared" si="35"/>
        <v>3500</v>
      </c>
      <c r="P324" s="47">
        <f t="shared" si="35"/>
        <v>3500</v>
      </c>
    </row>
    <row r="325" spans="1:24" ht="26" hidden="1" x14ac:dyDescent="0.25">
      <c r="A325" s="32"/>
      <c r="B325" s="133" t="s">
        <v>172</v>
      </c>
      <c r="C325" s="9"/>
      <c r="D325" s="88" t="s">
        <v>15</v>
      </c>
      <c r="E325" s="9" t="s">
        <v>32</v>
      </c>
      <c r="F325" s="9" t="s">
        <v>159</v>
      </c>
      <c r="G325" s="9"/>
      <c r="H325" s="9"/>
      <c r="I325" s="9"/>
      <c r="J325" s="467">
        <f>J326</f>
        <v>3000</v>
      </c>
      <c r="K325" s="471"/>
      <c r="L325" s="470">
        <f>L326</f>
        <v>6008.35</v>
      </c>
      <c r="M325" s="470">
        <f>M326</f>
        <v>8515.7049999999999</v>
      </c>
      <c r="N325" s="811">
        <f t="shared" si="35"/>
        <v>0</v>
      </c>
      <c r="O325" s="783">
        <f t="shared" si="35"/>
        <v>3500</v>
      </c>
      <c r="P325" s="467">
        <f t="shared" si="35"/>
        <v>3500</v>
      </c>
    </row>
    <row r="326" spans="1:24" ht="12.65" hidden="1" customHeight="1" x14ac:dyDescent="0.3">
      <c r="A326" s="32"/>
      <c r="B326" s="86" t="s">
        <v>16</v>
      </c>
      <c r="C326" s="9"/>
      <c r="D326" s="88" t="s">
        <v>15</v>
      </c>
      <c r="E326" s="9" t="s">
        <v>32</v>
      </c>
      <c r="F326" s="9" t="s">
        <v>159</v>
      </c>
      <c r="G326" s="9" t="s">
        <v>1</v>
      </c>
      <c r="H326" s="9"/>
      <c r="I326" s="9"/>
      <c r="J326" s="467">
        <f>J332</f>
        <v>3000</v>
      </c>
      <c r="K326" s="471"/>
      <c r="L326" s="470">
        <v>6008.35</v>
      </c>
      <c r="M326" s="470">
        <v>8515.7049999999999</v>
      </c>
      <c r="N326" s="811">
        <f>N332</f>
        <v>0</v>
      </c>
      <c r="O326" s="783">
        <f>O332</f>
        <v>3500</v>
      </c>
      <c r="P326" s="467">
        <f>P332</f>
        <v>3500</v>
      </c>
    </row>
    <row r="327" spans="1:24" ht="44.25" hidden="1" customHeight="1" x14ac:dyDescent="0.25">
      <c r="A327" s="32"/>
      <c r="B327" s="52" t="s">
        <v>171</v>
      </c>
      <c r="C327" s="9"/>
      <c r="D327" s="34" t="s">
        <v>168</v>
      </c>
      <c r="E327" s="34" t="s">
        <v>166</v>
      </c>
      <c r="F327" s="34" t="s">
        <v>170</v>
      </c>
      <c r="G327" s="131"/>
      <c r="H327" s="131"/>
      <c r="I327" s="34" t="s">
        <v>166</v>
      </c>
      <c r="J327" s="48"/>
      <c r="K327" s="131"/>
      <c r="L327" s="2"/>
      <c r="M327" s="24"/>
      <c r="N327" s="825"/>
      <c r="O327" s="793"/>
      <c r="P327" s="48"/>
    </row>
    <row r="328" spans="1:24" ht="39" hidden="1" x14ac:dyDescent="0.25">
      <c r="A328" s="32"/>
      <c r="B328" s="49" t="s">
        <v>169</v>
      </c>
      <c r="C328" s="9"/>
      <c r="D328" s="9" t="s">
        <v>168</v>
      </c>
      <c r="E328" s="9" t="s">
        <v>166</v>
      </c>
      <c r="F328" s="9" t="s">
        <v>167</v>
      </c>
      <c r="G328" s="88"/>
      <c r="H328" s="88"/>
      <c r="I328" s="9" t="s">
        <v>166</v>
      </c>
      <c r="J328" s="469"/>
      <c r="K328" s="469"/>
      <c r="L328" s="469"/>
      <c r="M328" s="469"/>
      <c r="N328" s="813"/>
      <c r="O328" s="475"/>
      <c r="P328" s="469"/>
    </row>
    <row r="329" spans="1:24" ht="42.75" hidden="1" customHeight="1" x14ac:dyDescent="0.25">
      <c r="A329" s="32"/>
      <c r="B329" s="132" t="s">
        <v>165</v>
      </c>
      <c r="C329" s="34"/>
      <c r="D329" s="94" t="s">
        <v>15</v>
      </c>
      <c r="E329" s="34" t="s">
        <v>13</v>
      </c>
      <c r="F329" s="34" t="s">
        <v>164</v>
      </c>
      <c r="G329" s="131"/>
      <c r="H329" s="131"/>
      <c r="I329" s="34" t="s">
        <v>13</v>
      </c>
      <c r="J329" s="48"/>
      <c r="K329" s="130"/>
      <c r="L329" s="2"/>
      <c r="M329" s="13"/>
      <c r="N329" s="825"/>
      <c r="O329" s="793"/>
      <c r="P329" s="48"/>
    </row>
    <row r="330" spans="1:24" ht="72.75" hidden="1" customHeight="1" x14ac:dyDescent="0.25">
      <c r="A330" s="32"/>
      <c r="B330" s="49" t="s">
        <v>163</v>
      </c>
      <c r="C330" s="9"/>
      <c r="D330" s="88" t="s">
        <v>15</v>
      </c>
      <c r="E330" s="9" t="s">
        <v>13</v>
      </c>
      <c r="F330" s="9" t="s">
        <v>162</v>
      </c>
      <c r="G330" s="9"/>
      <c r="H330" s="9"/>
      <c r="I330" s="9" t="s">
        <v>13</v>
      </c>
      <c r="J330" s="469"/>
      <c r="K330" s="471"/>
      <c r="L330" s="471"/>
      <c r="M330" s="471"/>
      <c r="N330" s="813"/>
      <c r="O330" s="475"/>
      <c r="P330" s="469"/>
    </row>
    <row r="331" spans="1:24" ht="57" hidden="1" customHeight="1" x14ac:dyDescent="0.25">
      <c r="A331" s="32"/>
      <c r="B331" s="58" t="s">
        <v>161</v>
      </c>
      <c r="C331" s="34"/>
      <c r="D331" s="88" t="s">
        <v>15</v>
      </c>
      <c r="E331" s="9" t="s">
        <v>13</v>
      </c>
      <c r="F331" s="9" t="s">
        <v>160</v>
      </c>
      <c r="G331" s="9"/>
      <c r="H331" s="9"/>
      <c r="I331" s="9" t="s">
        <v>13</v>
      </c>
      <c r="J331" s="469"/>
      <c r="K331" s="471"/>
      <c r="L331" s="471"/>
      <c r="M331" s="471"/>
      <c r="N331" s="813"/>
      <c r="O331" s="475"/>
      <c r="P331" s="469"/>
    </row>
    <row r="332" spans="1:24" ht="13" hidden="1" x14ac:dyDescent="0.3">
      <c r="A332" s="32"/>
      <c r="B332" s="16" t="s">
        <v>34</v>
      </c>
      <c r="C332" s="9"/>
      <c r="D332" s="88" t="s">
        <v>15</v>
      </c>
      <c r="E332" s="9" t="s">
        <v>32</v>
      </c>
      <c r="F332" s="9" t="s">
        <v>159</v>
      </c>
      <c r="G332" s="9" t="s">
        <v>1</v>
      </c>
      <c r="H332" s="9" t="s">
        <v>463</v>
      </c>
      <c r="I332" s="9" t="s">
        <v>495</v>
      </c>
      <c r="J332" s="467">
        <v>3000</v>
      </c>
      <c r="K332" s="471"/>
      <c r="L332" s="470">
        <v>6008.35</v>
      </c>
      <c r="M332" s="470">
        <v>8515.7049999999999</v>
      </c>
      <c r="N332" s="811"/>
      <c r="O332" s="783">
        <v>3500</v>
      </c>
      <c r="P332" s="467">
        <v>3500</v>
      </c>
    </row>
    <row r="333" spans="1:24" ht="25.9" customHeight="1" x14ac:dyDescent="0.25">
      <c r="A333" s="32"/>
      <c r="B333" s="129" t="s">
        <v>158</v>
      </c>
      <c r="C333" s="34"/>
      <c r="D333" s="88"/>
      <c r="E333" s="9"/>
      <c r="F333" s="9"/>
      <c r="G333" s="9"/>
      <c r="H333" s="9"/>
      <c r="I333" s="9"/>
      <c r="J333" s="502">
        <f>J334+J405+J415</f>
        <v>47038.588000000003</v>
      </c>
      <c r="K333" s="471"/>
      <c r="L333" s="470">
        <f>L334+L405+L415</f>
        <v>28148.264999999999</v>
      </c>
      <c r="M333" s="470">
        <f>M334+M405+M415</f>
        <v>29104.548000000003</v>
      </c>
      <c r="N333" s="826">
        <f>N334+N405+N415</f>
        <v>34762.766000000003</v>
      </c>
      <c r="O333" s="794">
        <f>O334+O405+O415</f>
        <v>22983.125000000004</v>
      </c>
      <c r="P333" s="502">
        <f>P334+P405+P415</f>
        <v>24438.730000000003</v>
      </c>
    </row>
    <row r="334" spans="1:24" s="83" customFormat="1" ht="39" x14ac:dyDescent="0.3">
      <c r="A334" s="91">
        <v>10</v>
      </c>
      <c r="B334" s="126" t="s">
        <v>126</v>
      </c>
      <c r="C334" s="118"/>
      <c r="D334" s="89" t="s">
        <v>69</v>
      </c>
      <c r="E334" s="89" t="s">
        <v>112</v>
      </c>
      <c r="F334" s="113" t="s">
        <v>157</v>
      </c>
      <c r="G334" s="118"/>
      <c r="H334" s="118"/>
      <c r="I334" s="89"/>
      <c r="J334" s="503">
        <f>J341+J400+J371+J374+J378+J385+J382</f>
        <v>14363.046000000004</v>
      </c>
      <c r="K334" s="465"/>
      <c r="L334" s="465">
        <f>L341+L368+L371+L374+L378+L385+L392</f>
        <v>14872.082</v>
      </c>
      <c r="M334" s="465">
        <f>M341+M368+M371+M374+M378+M385+M392</f>
        <v>15828.365000000002</v>
      </c>
      <c r="N334" s="827">
        <f>N344+N345+N348+N350+N357+N360+N365+N384+N387+N389+N404+N395+N335</f>
        <v>19429.613000000001</v>
      </c>
      <c r="O334" s="795">
        <f>O344+O345+O348+O350+O357+O360+O365+O384+O387+O389+O404+O395</f>
        <v>18352.710000000003</v>
      </c>
      <c r="P334" s="503">
        <f>P344+P345+P348+P350+P357+P360+P365+P384+P387+P389+P404+P395</f>
        <v>19433.080000000002</v>
      </c>
      <c r="Q334" s="84"/>
      <c r="R334" s="84"/>
      <c r="S334" s="84"/>
      <c r="T334" s="84"/>
      <c r="U334" s="84"/>
      <c r="V334" s="84"/>
      <c r="W334" s="84"/>
      <c r="X334" s="84"/>
    </row>
    <row r="335" spans="1:24" s="83" customFormat="1" ht="30" x14ac:dyDescent="0.3">
      <c r="A335" s="91"/>
      <c r="B335" s="285" t="s">
        <v>866</v>
      </c>
      <c r="C335" s="118"/>
      <c r="D335" s="89"/>
      <c r="E335" s="89"/>
      <c r="F335" s="112" t="s">
        <v>598</v>
      </c>
      <c r="G335" s="119"/>
      <c r="H335" s="119"/>
      <c r="I335" s="33"/>
      <c r="J335" s="503"/>
      <c r="K335" s="465"/>
      <c r="L335" s="465"/>
      <c r="M335" s="465"/>
      <c r="N335" s="828">
        <f>N336</f>
        <v>1627.578</v>
      </c>
      <c r="O335" s="795"/>
      <c r="P335" s="503"/>
      <c r="Q335" s="84"/>
      <c r="R335" s="84"/>
      <c r="S335" s="84"/>
      <c r="T335" s="84"/>
      <c r="U335" s="84"/>
      <c r="V335" s="84"/>
      <c r="W335" s="84"/>
      <c r="X335" s="84"/>
    </row>
    <row r="336" spans="1:24" s="83" customFormat="1" ht="13" x14ac:dyDescent="0.3">
      <c r="A336" s="91"/>
      <c r="B336" s="285" t="s">
        <v>582</v>
      </c>
      <c r="C336" s="118"/>
      <c r="D336" s="89"/>
      <c r="E336" s="89"/>
      <c r="F336" s="112" t="s">
        <v>597</v>
      </c>
      <c r="G336" s="119"/>
      <c r="H336" s="119"/>
      <c r="I336" s="33"/>
      <c r="J336" s="503"/>
      <c r="K336" s="465"/>
      <c r="L336" s="465"/>
      <c r="M336" s="465"/>
      <c r="N336" s="828">
        <f>N337</f>
        <v>1627.578</v>
      </c>
      <c r="O336" s="795"/>
      <c r="P336" s="503"/>
      <c r="Q336" s="84"/>
      <c r="R336" s="84"/>
      <c r="S336" s="84"/>
      <c r="T336" s="84"/>
      <c r="U336" s="84"/>
      <c r="V336" s="84"/>
      <c r="W336" s="84"/>
      <c r="X336" s="84"/>
    </row>
    <row r="337" spans="1:24" s="83" customFormat="1" ht="20" x14ac:dyDescent="0.3">
      <c r="A337" s="91"/>
      <c r="B337" s="285" t="s">
        <v>867</v>
      </c>
      <c r="C337" s="118"/>
      <c r="D337" s="89"/>
      <c r="E337" s="89"/>
      <c r="F337" s="113" t="s">
        <v>593</v>
      </c>
      <c r="G337" s="119"/>
      <c r="H337" s="119"/>
      <c r="I337" s="33"/>
      <c r="J337" s="503"/>
      <c r="K337" s="465"/>
      <c r="L337" s="465"/>
      <c r="M337" s="465"/>
      <c r="N337" s="827">
        <f>N338</f>
        <v>1627.578</v>
      </c>
      <c r="O337" s="795"/>
      <c r="P337" s="503"/>
      <c r="Q337" s="84"/>
      <c r="R337" s="84"/>
      <c r="S337" s="84"/>
      <c r="T337" s="84"/>
      <c r="U337" s="84"/>
      <c r="V337" s="84"/>
      <c r="W337" s="84"/>
      <c r="X337" s="84"/>
    </row>
    <row r="338" spans="1:24" s="83" customFormat="1" ht="13" x14ac:dyDescent="0.3">
      <c r="A338" s="91"/>
      <c r="B338" s="284" t="s">
        <v>571</v>
      </c>
      <c r="C338" s="118"/>
      <c r="D338" s="89"/>
      <c r="E338" s="89"/>
      <c r="F338" s="112" t="s">
        <v>593</v>
      </c>
      <c r="G338" s="119">
        <v>120</v>
      </c>
      <c r="H338" s="119"/>
      <c r="I338" s="33"/>
      <c r="J338" s="503"/>
      <c r="K338" s="465"/>
      <c r="L338" s="465"/>
      <c r="M338" s="465"/>
      <c r="N338" s="828">
        <f>N339</f>
        <v>1627.578</v>
      </c>
      <c r="O338" s="795"/>
      <c r="P338" s="503"/>
      <c r="Q338" s="84"/>
      <c r="R338" s="84"/>
      <c r="S338" s="84"/>
      <c r="T338" s="84"/>
      <c r="U338" s="84"/>
      <c r="V338" s="84"/>
      <c r="W338" s="84"/>
      <c r="X338" s="84"/>
    </row>
    <row r="339" spans="1:24" s="83" customFormat="1" ht="20" x14ac:dyDescent="0.3">
      <c r="A339" s="91"/>
      <c r="B339" s="285" t="s">
        <v>600</v>
      </c>
      <c r="C339" s="118"/>
      <c r="D339" s="89"/>
      <c r="E339" s="89"/>
      <c r="F339" s="112" t="s">
        <v>593</v>
      </c>
      <c r="G339" s="119">
        <v>120</v>
      </c>
      <c r="H339" s="9" t="s">
        <v>456</v>
      </c>
      <c r="I339" s="33" t="s">
        <v>488</v>
      </c>
      <c r="J339" s="503"/>
      <c r="K339" s="465"/>
      <c r="L339" s="465"/>
      <c r="M339" s="465"/>
      <c r="N339" s="818">
        <v>1627.578</v>
      </c>
      <c r="O339" s="795"/>
      <c r="P339" s="503"/>
      <c r="Q339" s="84"/>
      <c r="R339" s="84"/>
      <c r="S339" s="84"/>
      <c r="T339" s="84"/>
      <c r="U339" s="84"/>
      <c r="V339" s="84"/>
      <c r="W339" s="84"/>
      <c r="X339" s="84"/>
    </row>
    <row r="340" spans="1:24" s="83" customFormat="1" ht="39" x14ac:dyDescent="0.3">
      <c r="A340" s="91"/>
      <c r="B340" s="493" t="s">
        <v>156</v>
      </c>
      <c r="C340" s="118"/>
      <c r="D340" s="89"/>
      <c r="E340" s="89"/>
      <c r="F340" s="112" t="s">
        <v>155</v>
      </c>
      <c r="G340" s="118"/>
      <c r="H340" s="118"/>
      <c r="I340" s="89"/>
      <c r="J340" s="504">
        <f>J334</f>
        <v>14363.046000000004</v>
      </c>
      <c r="K340" s="465"/>
      <c r="L340" s="465"/>
      <c r="M340" s="465"/>
      <c r="N340" s="828">
        <f>N334</f>
        <v>19429.613000000001</v>
      </c>
      <c r="O340" s="796">
        <f>O334</f>
        <v>18352.710000000003</v>
      </c>
      <c r="P340" s="504">
        <f>P334</f>
        <v>19433.080000000002</v>
      </c>
      <c r="Q340" s="84"/>
      <c r="R340" s="84"/>
      <c r="S340" s="84"/>
      <c r="T340" s="84"/>
      <c r="U340" s="84"/>
      <c r="V340" s="84"/>
      <c r="W340" s="84"/>
      <c r="X340" s="84"/>
    </row>
    <row r="341" spans="1:24" s="83" customFormat="1" ht="13" x14ac:dyDescent="0.3">
      <c r="A341" s="85"/>
      <c r="B341" s="493" t="s">
        <v>109</v>
      </c>
      <c r="C341" s="118"/>
      <c r="D341" s="33" t="s">
        <v>69</v>
      </c>
      <c r="E341" s="33" t="s">
        <v>112</v>
      </c>
      <c r="F341" s="112" t="s">
        <v>154</v>
      </c>
      <c r="G341" s="118"/>
      <c r="H341" s="118"/>
      <c r="I341" s="33"/>
      <c r="J341" s="466">
        <f>J343+J346+J356+J359+J364</f>
        <v>12462.203000000003</v>
      </c>
      <c r="K341" s="464"/>
      <c r="L341" s="465">
        <f>L343+L346</f>
        <v>12437.288999999999</v>
      </c>
      <c r="M341" s="465">
        <f>M343+M346</f>
        <v>13307.900000000001</v>
      </c>
      <c r="N341" s="819">
        <f>N343+N346+N356+N359+N364</f>
        <v>15497.144</v>
      </c>
      <c r="O341" s="788">
        <f>O343+O346+O356+O359+O364</f>
        <v>15466.985000000001</v>
      </c>
      <c r="P341" s="466">
        <f>P343+P346+P356+P359+P364</f>
        <v>16326.328000000001</v>
      </c>
      <c r="Q341" s="84"/>
      <c r="R341" s="84"/>
      <c r="S341" s="84"/>
      <c r="T341" s="84"/>
      <c r="U341" s="84"/>
      <c r="V341" s="84"/>
      <c r="W341" s="84"/>
      <c r="X341" s="84"/>
    </row>
    <row r="342" spans="1:24" s="83" customFormat="1" ht="13" x14ac:dyDescent="0.3">
      <c r="A342" s="85"/>
      <c r="B342" s="505" t="s">
        <v>153</v>
      </c>
      <c r="C342" s="118"/>
      <c r="D342" s="33"/>
      <c r="E342" s="33"/>
      <c r="F342" s="113" t="s">
        <v>152</v>
      </c>
      <c r="G342" s="118"/>
      <c r="H342" s="118"/>
      <c r="I342" s="89"/>
      <c r="J342" s="465">
        <f>J341</f>
        <v>12462.203000000003</v>
      </c>
      <c r="K342" s="464"/>
      <c r="L342" s="465"/>
      <c r="M342" s="465"/>
      <c r="N342" s="812">
        <f>N341</f>
        <v>15497.144</v>
      </c>
      <c r="O342" s="784">
        <f>O341</f>
        <v>15466.985000000001</v>
      </c>
      <c r="P342" s="465">
        <f>P341</f>
        <v>16326.328000000001</v>
      </c>
      <c r="Q342" s="84"/>
      <c r="R342" s="84"/>
      <c r="S342" s="84"/>
      <c r="T342" s="84"/>
      <c r="U342" s="84"/>
      <c r="V342" s="84"/>
      <c r="W342" s="84"/>
      <c r="X342" s="84"/>
    </row>
    <row r="343" spans="1:24" s="83" customFormat="1" ht="22.15" customHeight="1" x14ac:dyDescent="0.3">
      <c r="A343" s="85"/>
      <c r="B343" s="86" t="s">
        <v>7</v>
      </c>
      <c r="C343" s="118"/>
      <c r="D343" s="33"/>
      <c r="E343" s="33"/>
      <c r="F343" s="112" t="s">
        <v>152</v>
      </c>
      <c r="G343" s="119">
        <v>120</v>
      </c>
      <c r="H343" s="119"/>
      <c r="I343" s="89"/>
      <c r="J343" s="466">
        <f>J344+J345</f>
        <v>8197.5570000000007</v>
      </c>
      <c r="K343" s="464"/>
      <c r="L343" s="465">
        <f>L344+L345</f>
        <v>9181.8719999999994</v>
      </c>
      <c r="M343" s="465">
        <f>M344+M345</f>
        <v>9824.6040000000012</v>
      </c>
      <c r="N343" s="819">
        <f>N344+N345</f>
        <v>10432.886</v>
      </c>
      <c r="O343" s="788">
        <f>O344+O345</f>
        <v>9671.2350000000006</v>
      </c>
      <c r="P343" s="466">
        <f>P344+P345</f>
        <v>10737.36</v>
      </c>
      <c r="Q343" s="84"/>
      <c r="R343" s="84"/>
      <c r="S343" s="84"/>
      <c r="T343" s="84"/>
      <c r="U343" s="84"/>
      <c r="V343" s="84"/>
      <c r="W343" s="84"/>
      <c r="X343" s="84"/>
    </row>
    <row r="344" spans="1:24" s="83" customFormat="1" ht="41.5" customHeight="1" x14ac:dyDescent="0.3">
      <c r="A344" s="85"/>
      <c r="B344" s="95" t="s">
        <v>114</v>
      </c>
      <c r="C344" s="118"/>
      <c r="D344" s="33" t="s">
        <v>69</v>
      </c>
      <c r="E344" s="33" t="s">
        <v>112</v>
      </c>
      <c r="F344" s="112" t="s">
        <v>152</v>
      </c>
      <c r="G344" s="119">
        <v>120</v>
      </c>
      <c r="H344" s="9" t="s">
        <v>456</v>
      </c>
      <c r="I344" s="33" t="s">
        <v>495</v>
      </c>
      <c r="J344" s="466">
        <f>807.519+241.455</f>
        <v>1048.9739999999999</v>
      </c>
      <c r="K344" s="465"/>
      <c r="L344" s="467">
        <v>1378.2239999999999</v>
      </c>
      <c r="M344" s="121">
        <v>1474.6990000000001</v>
      </c>
      <c r="N344" s="819">
        <v>786.16700000000003</v>
      </c>
      <c r="O344" s="788">
        <v>672.428</v>
      </c>
      <c r="P344" s="466">
        <v>739.67200000000003</v>
      </c>
      <c r="Q344" s="84"/>
      <c r="R344" s="84"/>
      <c r="S344" s="84"/>
      <c r="T344" s="84"/>
      <c r="U344" s="84"/>
      <c r="V344" s="84"/>
      <c r="W344" s="84"/>
      <c r="X344" s="84"/>
    </row>
    <row r="345" spans="1:24" ht="41.5" customHeight="1" x14ac:dyDescent="0.3">
      <c r="A345" s="32"/>
      <c r="B345" s="100" t="s">
        <v>105</v>
      </c>
      <c r="C345" s="88"/>
      <c r="D345" s="88" t="s">
        <v>69</v>
      </c>
      <c r="E345" s="88" t="s">
        <v>103</v>
      </c>
      <c r="F345" s="112" t="s">
        <v>152</v>
      </c>
      <c r="G345" s="88">
        <v>120</v>
      </c>
      <c r="H345" s="9" t="s">
        <v>456</v>
      </c>
      <c r="I345" s="33" t="s">
        <v>452</v>
      </c>
      <c r="J345" s="467">
        <f>5450.283+1.2+1697.1</f>
        <v>7148.5830000000005</v>
      </c>
      <c r="K345" s="467"/>
      <c r="L345" s="467">
        <v>7803.6480000000001</v>
      </c>
      <c r="M345" s="506">
        <v>8349.9050000000007</v>
      </c>
      <c r="N345" s="811">
        <f>7358.558+84.6+2203.561</f>
        <v>9646.719000000001</v>
      </c>
      <c r="O345" s="783">
        <v>8998.8070000000007</v>
      </c>
      <c r="P345" s="467">
        <v>9997.6880000000001</v>
      </c>
    </row>
    <row r="346" spans="1:24" s="83" customFormat="1" ht="29.5" hidden="1" customHeight="1" x14ac:dyDescent="0.3">
      <c r="A346" s="85"/>
      <c r="B346" s="15" t="s">
        <v>4</v>
      </c>
      <c r="C346" s="118"/>
      <c r="D346" s="33" t="s">
        <v>69</v>
      </c>
      <c r="E346" s="33" t="s">
        <v>112</v>
      </c>
      <c r="F346" s="112" t="s">
        <v>152</v>
      </c>
      <c r="G346" s="119">
        <v>240</v>
      </c>
      <c r="H346" s="119"/>
      <c r="I346" s="89"/>
      <c r="J346" s="466">
        <f>J348+J350</f>
        <v>3612.3460000000005</v>
      </c>
      <c r="K346" s="464"/>
      <c r="L346" s="464">
        <f>L348+L350</f>
        <v>3255.4169999999999</v>
      </c>
      <c r="M346" s="464">
        <f>M348+M350</f>
        <v>3483.2959999999998</v>
      </c>
      <c r="N346" s="819">
        <f>N348+N350</f>
        <v>4728.2479999999996</v>
      </c>
      <c r="O346" s="788">
        <f>O348+O350</f>
        <v>5795.75</v>
      </c>
      <c r="P346" s="466">
        <f>P348+P350</f>
        <v>5588.9679999999998</v>
      </c>
      <c r="Q346" s="84"/>
      <c r="R346" s="84"/>
      <c r="S346" s="84"/>
      <c r="T346" s="84"/>
      <c r="U346" s="84"/>
      <c r="V346" s="84"/>
      <c r="W346" s="84"/>
      <c r="X346" s="84"/>
    </row>
    <row r="347" spans="1:24" s="83" customFormat="1" ht="28.9" hidden="1" customHeight="1" x14ac:dyDescent="0.3">
      <c r="A347" s="85"/>
      <c r="B347" s="15" t="s">
        <v>4</v>
      </c>
      <c r="C347" s="118"/>
      <c r="D347" s="33"/>
      <c r="E347" s="33"/>
      <c r="F347" s="112" t="s">
        <v>152</v>
      </c>
      <c r="G347" s="119">
        <v>240</v>
      </c>
      <c r="H347" s="119"/>
      <c r="I347" s="33"/>
      <c r="J347" s="466">
        <f>J348</f>
        <v>1338.8210000000001</v>
      </c>
      <c r="K347" s="464"/>
      <c r="L347" s="464"/>
      <c r="M347" s="464"/>
      <c r="N347" s="819">
        <f>N348</f>
        <v>1365.819</v>
      </c>
      <c r="O347" s="788">
        <f>O348</f>
        <v>1199.08</v>
      </c>
      <c r="P347" s="466">
        <f>P348</f>
        <v>1171.8689999999999</v>
      </c>
      <c r="Q347" s="84"/>
      <c r="R347" s="84"/>
      <c r="S347" s="84"/>
      <c r="T347" s="84"/>
      <c r="U347" s="84"/>
      <c r="V347" s="84"/>
      <c r="W347" s="84"/>
      <c r="X347" s="84"/>
    </row>
    <row r="348" spans="1:24" s="83" customFormat="1" ht="43.15" customHeight="1" x14ac:dyDescent="0.3">
      <c r="A348" s="85"/>
      <c r="B348" s="95" t="s">
        <v>114</v>
      </c>
      <c r="C348" s="118"/>
      <c r="D348" s="33"/>
      <c r="E348" s="33"/>
      <c r="F348" s="112" t="s">
        <v>152</v>
      </c>
      <c r="G348" s="119">
        <v>240</v>
      </c>
      <c r="H348" s="9" t="s">
        <v>456</v>
      </c>
      <c r="I348" s="33" t="s">
        <v>495</v>
      </c>
      <c r="J348" s="466">
        <f>2387.795-1048.974</f>
        <v>1338.8210000000001</v>
      </c>
      <c r="K348" s="464"/>
      <c r="L348" s="468">
        <v>906.91</v>
      </c>
      <c r="M348" s="468">
        <v>970.39300000000003</v>
      </c>
      <c r="N348" s="819">
        <f>1729.395-330-33.576</f>
        <v>1365.819</v>
      </c>
      <c r="O348" s="788">
        <v>1199.08</v>
      </c>
      <c r="P348" s="466">
        <v>1171.8689999999999</v>
      </c>
      <c r="Q348" s="1027"/>
      <c r="R348" s="84"/>
      <c r="S348" s="84"/>
      <c r="T348" s="84"/>
      <c r="U348" s="84"/>
      <c r="V348" s="84"/>
      <c r="W348" s="84"/>
      <c r="X348" s="84"/>
    </row>
    <row r="349" spans="1:24" s="83" customFormat="1" ht="27" customHeight="1" x14ac:dyDescent="0.3">
      <c r="A349" s="85"/>
      <c r="B349" s="15" t="s">
        <v>4</v>
      </c>
      <c r="C349" s="118"/>
      <c r="D349" s="33"/>
      <c r="E349" s="33"/>
      <c r="F349" s="112" t="s">
        <v>152</v>
      </c>
      <c r="G349" s="88">
        <v>240</v>
      </c>
      <c r="H349" s="88"/>
      <c r="I349" s="88"/>
      <c r="J349" s="467">
        <f>J350</f>
        <v>2273.5250000000001</v>
      </c>
      <c r="K349" s="464"/>
      <c r="L349" s="468"/>
      <c r="M349" s="468"/>
      <c r="N349" s="811">
        <f>N350</f>
        <v>3362.4290000000001</v>
      </c>
      <c r="O349" s="783">
        <f>O350</f>
        <v>4596.67</v>
      </c>
      <c r="P349" s="467">
        <f>P350</f>
        <v>4417.0990000000002</v>
      </c>
      <c r="Q349" s="1028"/>
      <c r="R349" s="84"/>
      <c r="S349" s="84"/>
      <c r="T349" s="84"/>
      <c r="U349" s="84"/>
      <c r="V349" s="84"/>
      <c r="W349" s="84"/>
      <c r="X349" s="84"/>
    </row>
    <row r="350" spans="1:24" ht="39" customHeight="1" x14ac:dyDescent="0.3">
      <c r="A350" s="32"/>
      <c r="B350" s="100" t="s">
        <v>105</v>
      </c>
      <c r="C350" s="88"/>
      <c r="D350" s="88" t="s">
        <v>69</v>
      </c>
      <c r="E350" s="88" t="s">
        <v>103</v>
      </c>
      <c r="F350" s="112" t="s">
        <v>152</v>
      </c>
      <c r="G350" s="88">
        <v>240</v>
      </c>
      <c r="H350" s="9" t="s">
        <v>456</v>
      </c>
      <c r="I350" s="33" t="s">
        <v>452</v>
      </c>
      <c r="J350" s="467">
        <v>2273.5250000000001</v>
      </c>
      <c r="K350" s="467"/>
      <c r="L350" s="507">
        <v>2348.5070000000001</v>
      </c>
      <c r="M350" s="508">
        <v>2512.9029999999998</v>
      </c>
      <c r="N350" s="811">
        <f>3400.429-38</f>
        <v>3362.4290000000001</v>
      </c>
      <c r="O350" s="783">
        <v>4596.67</v>
      </c>
      <c r="P350" s="467">
        <v>4417.0990000000002</v>
      </c>
    </row>
    <row r="351" spans="1:24" ht="21" hidden="1" customHeight="1" x14ac:dyDescent="0.3">
      <c r="A351" s="32"/>
      <c r="B351" s="86"/>
      <c r="C351" s="88"/>
      <c r="D351" s="88"/>
      <c r="E351" s="88"/>
      <c r="F351" s="88"/>
      <c r="G351" s="88"/>
      <c r="H351" s="88"/>
      <c r="I351" s="88"/>
      <c r="J351" s="467"/>
      <c r="K351" s="467"/>
      <c r="L351" s="467"/>
      <c r="M351" s="469"/>
      <c r="N351" s="811"/>
      <c r="O351" s="783"/>
      <c r="P351" s="467"/>
    </row>
    <row r="352" spans="1:24" ht="21" hidden="1" customHeight="1" x14ac:dyDescent="0.3">
      <c r="A352" s="32"/>
      <c r="B352" s="86" t="s">
        <v>16</v>
      </c>
      <c r="C352" s="88"/>
      <c r="D352" s="88" t="s">
        <v>69</v>
      </c>
      <c r="E352" s="88" t="s">
        <v>103</v>
      </c>
      <c r="F352" s="88">
        <v>9100004</v>
      </c>
      <c r="G352" s="88">
        <v>240</v>
      </c>
      <c r="H352" s="88"/>
      <c r="I352" s="88" t="s">
        <v>103</v>
      </c>
      <c r="J352" s="467">
        <v>2215.5729999999999</v>
      </c>
      <c r="K352" s="467"/>
      <c r="L352" s="467">
        <f>J352*106%</f>
        <v>2348.50738</v>
      </c>
      <c r="M352" s="469">
        <f>L352*107%</f>
        <v>2512.9028966000001</v>
      </c>
      <c r="N352" s="811">
        <v>2215.5729999999999</v>
      </c>
      <c r="O352" s="783">
        <v>2215.5729999999999</v>
      </c>
      <c r="P352" s="467">
        <v>2215.5729999999999</v>
      </c>
    </row>
    <row r="353" spans="1:16" ht="21" hidden="1" customHeight="1" x14ac:dyDescent="0.3">
      <c r="A353" s="32"/>
      <c r="B353" s="86"/>
      <c r="C353" s="88"/>
      <c r="D353" s="88"/>
      <c r="E353" s="88"/>
      <c r="F353" s="88"/>
      <c r="G353" s="88"/>
      <c r="H353" s="88"/>
      <c r="I353" s="88"/>
      <c r="J353" s="467"/>
      <c r="K353" s="467"/>
      <c r="L353" s="467"/>
      <c r="M353" s="469"/>
      <c r="N353" s="811"/>
      <c r="O353" s="783"/>
      <c r="P353" s="467"/>
    </row>
    <row r="354" spans="1:16" ht="21" hidden="1" customHeight="1" x14ac:dyDescent="0.3">
      <c r="A354" s="32"/>
      <c r="B354" s="86"/>
      <c r="C354" s="88"/>
      <c r="D354" s="88"/>
      <c r="E354" s="88"/>
      <c r="F354" s="88">
        <v>9100004</v>
      </c>
      <c r="G354" s="88"/>
      <c r="H354" s="88"/>
      <c r="I354" s="88" t="s">
        <v>103</v>
      </c>
      <c r="J354" s="467" t="e">
        <f>#REF!+J350</f>
        <v>#REF!</v>
      </c>
      <c r="K354" s="467"/>
      <c r="L354" s="467" t="e">
        <f>#REF!+L350</f>
        <v>#REF!</v>
      </c>
      <c r="M354" s="469" t="e">
        <f>#REF!+M350</f>
        <v>#REF!</v>
      </c>
      <c r="N354" s="811" t="e">
        <f>#REF!+N350</f>
        <v>#REF!</v>
      </c>
      <c r="O354" s="783" t="e">
        <f>#REF!+O350</f>
        <v>#REF!</v>
      </c>
      <c r="P354" s="467" t="e">
        <f>#REF!+P350</f>
        <v>#REF!</v>
      </c>
    </row>
    <row r="355" spans="1:16" ht="39" x14ac:dyDescent="0.3">
      <c r="A355" s="32"/>
      <c r="B355" s="95" t="s">
        <v>151</v>
      </c>
      <c r="C355" s="88"/>
      <c r="D355" s="88"/>
      <c r="E355" s="88"/>
      <c r="F355" s="113" t="s">
        <v>623</v>
      </c>
      <c r="G355" s="94"/>
      <c r="H355" s="94"/>
      <c r="I355" s="94"/>
      <c r="J355" s="470">
        <f>J356</f>
        <v>179.7</v>
      </c>
      <c r="K355" s="470"/>
      <c r="L355" s="470"/>
      <c r="M355" s="471"/>
      <c r="N355" s="824">
        <f t="shared" ref="N355:P356" si="36">N356</f>
        <v>47.31</v>
      </c>
      <c r="O355" s="792">
        <f t="shared" si="36"/>
        <v>0</v>
      </c>
      <c r="P355" s="470">
        <f t="shared" si="36"/>
        <v>0</v>
      </c>
    </row>
    <row r="356" spans="1:16" ht="13" x14ac:dyDescent="0.3">
      <c r="A356" s="32"/>
      <c r="B356" s="95" t="s">
        <v>123</v>
      </c>
      <c r="C356" s="88"/>
      <c r="D356" s="88"/>
      <c r="E356" s="88"/>
      <c r="F356" s="112" t="s">
        <v>623</v>
      </c>
      <c r="G356" s="88">
        <v>540</v>
      </c>
      <c r="H356" s="88"/>
      <c r="I356" s="88"/>
      <c r="J356" s="467">
        <f>J357</f>
        <v>179.7</v>
      </c>
      <c r="K356" s="467"/>
      <c r="L356" s="467"/>
      <c r="M356" s="469"/>
      <c r="N356" s="811">
        <f t="shared" si="36"/>
        <v>47.31</v>
      </c>
      <c r="O356" s="783">
        <f t="shared" si="36"/>
        <v>0</v>
      </c>
      <c r="P356" s="467">
        <f t="shared" si="36"/>
        <v>0</v>
      </c>
    </row>
    <row r="357" spans="1:16" ht="39" x14ac:dyDescent="0.3">
      <c r="A357" s="32"/>
      <c r="B357" s="100" t="s">
        <v>105</v>
      </c>
      <c r="C357" s="88"/>
      <c r="D357" s="88"/>
      <c r="E357" s="88"/>
      <c r="F357" s="112" t="s">
        <v>623</v>
      </c>
      <c r="G357" s="88">
        <v>540</v>
      </c>
      <c r="H357" s="9" t="s">
        <v>456</v>
      </c>
      <c r="I357" s="33" t="s">
        <v>452</v>
      </c>
      <c r="J357" s="467">
        <v>179.7</v>
      </c>
      <c r="K357" s="467"/>
      <c r="L357" s="467"/>
      <c r="M357" s="469"/>
      <c r="N357" s="811">
        <v>47.31</v>
      </c>
      <c r="O357" s="783"/>
      <c r="P357" s="467"/>
    </row>
    <row r="358" spans="1:16" ht="39" x14ac:dyDescent="0.25">
      <c r="A358" s="32"/>
      <c r="B358" s="509" t="s">
        <v>149</v>
      </c>
      <c r="C358" s="88"/>
      <c r="D358" s="88"/>
      <c r="E358" s="88"/>
      <c r="F358" s="113" t="s">
        <v>148</v>
      </c>
      <c r="G358" s="94"/>
      <c r="H358" s="94"/>
      <c r="I358" s="94"/>
      <c r="J358" s="470">
        <f>J359</f>
        <v>303</v>
      </c>
      <c r="K358" s="470"/>
      <c r="L358" s="470"/>
      <c r="M358" s="471"/>
      <c r="N358" s="824">
        <f t="shared" ref="N358:P359" si="37">N359</f>
        <v>288.7</v>
      </c>
      <c r="O358" s="792">
        <f t="shared" si="37"/>
        <v>0</v>
      </c>
      <c r="P358" s="470">
        <f t="shared" si="37"/>
        <v>0</v>
      </c>
    </row>
    <row r="359" spans="1:16" ht="13" x14ac:dyDescent="0.25">
      <c r="A359" s="32"/>
      <c r="B359" s="509" t="s">
        <v>130</v>
      </c>
      <c r="C359" s="88"/>
      <c r="D359" s="88"/>
      <c r="E359" s="88"/>
      <c r="F359" s="112" t="s">
        <v>148</v>
      </c>
      <c r="G359" s="88">
        <v>540</v>
      </c>
      <c r="H359" s="88"/>
      <c r="I359" s="88"/>
      <c r="J359" s="467">
        <f>J360</f>
        <v>303</v>
      </c>
      <c r="K359" s="467"/>
      <c r="L359" s="467"/>
      <c r="M359" s="469"/>
      <c r="N359" s="811">
        <f t="shared" si="37"/>
        <v>288.7</v>
      </c>
      <c r="O359" s="783">
        <f t="shared" si="37"/>
        <v>0</v>
      </c>
      <c r="P359" s="467">
        <f t="shared" si="37"/>
        <v>0</v>
      </c>
    </row>
    <row r="360" spans="1:16" ht="39" x14ac:dyDescent="0.3">
      <c r="A360" s="32"/>
      <c r="B360" s="100" t="s">
        <v>105</v>
      </c>
      <c r="C360" s="88"/>
      <c r="D360" s="88"/>
      <c r="E360" s="88"/>
      <c r="F360" s="112" t="s">
        <v>148</v>
      </c>
      <c r="G360" s="88">
        <v>540</v>
      </c>
      <c r="H360" s="9" t="s">
        <v>456</v>
      </c>
      <c r="I360" s="33" t="s">
        <v>452</v>
      </c>
      <c r="J360" s="467">
        <v>303</v>
      </c>
      <c r="K360" s="467"/>
      <c r="L360" s="467"/>
      <c r="M360" s="469"/>
      <c r="N360" s="811">
        <v>288.7</v>
      </c>
      <c r="O360" s="783"/>
      <c r="P360" s="467"/>
    </row>
    <row r="361" spans="1:16" ht="39" hidden="1" x14ac:dyDescent="0.25">
      <c r="A361" s="32"/>
      <c r="B361" s="495" t="s">
        <v>147</v>
      </c>
      <c r="C361" s="88"/>
      <c r="D361" s="88"/>
      <c r="E361" s="88"/>
      <c r="F361" s="112" t="s">
        <v>146</v>
      </c>
      <c r="G361" s="88">
        <v>540</v>
      </c>
      <c r="H361" s="88"/>
      <c r="I361" s="88"/>
      <c r="J361" s="467"/>
      <c r="K361" s="467"/>
      <c r="L361" s="467"/>
      <c r="M361" s="469"/>
      <c r="N361" s="811"/>
      <c r="O361" s="783"/>
      <c r="P361" s="467"/>
    </row>
    <row r="362" spans="1:16" ht="39" hidden="1" x14ac:dyDescent="0.3">
      <c r="A362" s="32"/>
      <c r="B362" s="100" t="s">
        <v>105</v>
      </c>
      <c r="C362" s="88"/>
      <c r="D362" s="88"/>
      <c r="E362" s="88"/>
      <c r="F362" s="112" t="s">
        <v>146</v>
      </c>
      <c r="G362" s="88">
        <v>540</v>
      </c>
      <c r="H362" s="88"/>
      <c r="I362" s="88" t="s">
        <v>103</v>
      </c>
      <c r="J362" s="467"/>
      <c r="K362" s="467"/>
      <c r="L362" s="467"/>
      <c r="M362" s="469"/>
      <c r="N362" s="811"/>
      <c r="O362" s="783"/>
      <c r="P362" s="467"/>
    </row>
    <row r="363" spans="1:16" ht="65" hidden="1" x14ac:dyDescent="0.25">
      <c r="A363" s="32"/>
      <c r="B363" s="510" t="s">
        <v>145</v>
      </c>
      <c r="C363" s="88"/>
      <c r="D363" s="88"/>
      <c r="E363" s="88"/>
      <c r="F363" s="113" t="s">
        <v>144</v>
      </c>
      <c r="G363" s="94"/>
      <c r="H363" s="94"/>
      <c r="I363" s="94"/>
      <c r="J363" s="470">
        <f>J364</f>
        <v>169.6</v>
      </c>
      <c r="K363" s="470"/>
      <c r="L363" s="470"/>
      <c r="M363" s="471"/>
      <c r="N363" s="824">
        <f t="shared" ref="N363:P364" si="38">N364</f>
        <v>0</v>
      </c>
      <c r="O363" s="792">
        <f t="shared" si="38"/>
        <v>0</v>
      </c>
      <c r="P363" s="470">
        <f t="shared" si="38"/>
        <v>0</v>
      </c>
    </row>
    <row r="364" spans="1:16" ht="13" hidden="1" x14ac:dyDescent="0.25">
      <c r="A364" s="32"/>
      <c r="B364" s="510" t="s">
        <v>130</v>
      </c>
      <c r="C364" s="88"/>
      <c r="D364" s="88"/>
      <c r="E364" s="88"/>
      <c r="F364" s="112" t="s">
        <v>144</v>
      </c>
      <c r="G364" s="88">
        <v>540</v>
      </c>
      <c r="H364" s="88"/>
      <c r="I364" s="88"/>
      <c r="J364" s="467">
        <f>J365</f>
        <v>169.6</v>
      </c>
      <c r="K364" s="467"/>
      <c r="L364" s="467"/>
      <c r="M364" s="469"/>
      <c r="N364" s="811">
        <f t="shared" si="38"/>
        <v>0</v>
      </c>
      <c r="O364" s="783">
        <f t="shared" si="38"/>
        <v>0</v>
      </c>
      <c r="P364" s="467">
        <f t="shared" si="38"/>
        <v>0</v>
      </c>
    </row>
    <row r="365" spans="1:16" ht="39" hidden="1" x14ac:dyDescent="0.3">
      <c r="A365" s="32"/>
      <c r="B365" s="100" t="s">
        <v>105</v>
      </c>
      <c r="C365" s="88"/>
      <c r="D365" s="88"/>
      <c r="E365" s="88"/>
      <c r="F365" s="112" t="s">
        <v>144</v>
      </c>
      <c r="G365" s="88">
        <v>540</v>
      </c>
      <c r="H365" s="9" t="s">
        <v>456</v>
      </c>
      <c r="I365" s="33" t="s">
        <v>452</v>
      </c>
      <c r="J365" s="467">
        <v>169.6</v>
      </c>
      <c r="K365" s="467"/>
      <c r="L365" s="467"/>
      <c r="M365" s="469"/>
      <c r="N365" s="811">
        <v>0</v>
      </c>
      <c r="O365" s="783"/>
      <c r="P365" s="467"/>
    </row>
    <row r="366" spans="1:16" ht="52" hidden="1" x14ac:dyDescent="0.25">
      <c r="A366" s="32"/>
      <c r="B366" s="493" t="s">
        <v>111</v>
      </c>
      <c r="C366" s="88"/>
      <c r="D366" s="88"/>
      <c r="E366" s="88"/>
      <c r="F366" s="34" t="s">
        <v>110</v>
      </c>
      <c r="G366" s="88"/>
      <c r="H366" s="88"/>
      <c r="I366" s="88"/>
      <c r="J366" s="470">
        <f>J367</f>
        <v>0</v>
      </c>
      <c r="K366" s="467"/>
      <c r="L366" s="467"/>
      <c r="M366" s="469"/>
      <c r="N366" s="824">
        <f t="shared" ref="N366:P369" si="39">N367</f>
        <v>0</v>
      </c>
      <c r="O366" s="792">
        <f t="shared" si="39"/>
        <v>0</v>
      </c>
      <c r="P366" s="470">
        <f t="shared" si="39"/>
        <v>0</v>
      </c>
    </row>
    <row r="367" spans="1:16" ht="21" hidden="1" customHeight="1" x14ac:dyDescent="0.25">
      <c r="A367" s="32"/>
      <c r="B367" s="493" t="s">
        <v>109</v>
      </c>
      <c r="C367" s="88"/>
      <c r="D367" s="88"/>
      <c r="E367" s="88"/>
      <c r="F367" s="9" t="s">
        <v>108</v>
      </c>
      <c r="G367" s="88"/>
      <c r="H367" s="88"/>
      <c r="I367" s="88"/>
      <c r="J367" s="467">
        <f>J368</f>
        <v>0</v>
      </c>
      <c r="K367" s="467"/>
      <c r="L367" s="467"/>
      <c r="M367" s="469"/>
      <c r="N367" s="811">
        <f t="shared" si="39"/>
        <v>0</v>
      </c>
      <c r="O367" s="783">
        <f t="shared" si="39"/>
        <v>0</v>
      </c>
      <c r="P367" s="467">
        <f t="shared" si="39"/>
        <v>0</v>
      </c>
    </row>
    <row r="368" spans="1:16" ht="26" hidden="1" x14ac:dyDescent="0.25">
      <c r="A368" s="32"/>
      <c r="B368" s="49" t="s">
        <v>107</v>
      </c>
      <c r="C368" s="88" t="s">
        <v>106</v>
      </c>
      <c r="D368" s="88" t="s">
        <v>69</v>
      </c>
      <c r="E368" s="88" t="s">
        <v>103</v>
      </c>
      <c r="F368" s="9" t="s">
        <v>104</v>
      </c>
      <c r="G368" s="9"/>
      <c r="H368" s="9"/>
      <c r="I368" s="88"/>
      <c r="J368" s="466">
        <f>J369</f>
        <v>0</v>
      </c>
      <c r="K368" s="465"/>
      <c r="L368" s="465">
        <f>L369</f>
        <v>1223.8879999999999</v>
      </c>
      <c r="M368" s="464">
        <f>M369</f>
        <v>1309.56</v>
      </c>
      <c r="N368" s="819">
        <f t="shared" si="39"/>
        <v>0</v>
      </c>
      <c r="O368" s="788">
        <f t="shared" si="39"/>
        <v>0</v>
      </c>
      <c r="P368" s="466">
        <f t="shared" si="39"/>
        <v>0</v>
      </c>
    </row>
    <row r="369" spans="1:16" ht="13" hidden="1" x14ac:dyDescent="0.3">
      <c r="A369" s="32"/>
      <c r="B369" s="16" t="s">
        <v>7</v>
      </c>
      <c r="C369" s="88"/>
      <c r="D369" s="88" t="s">
        <v>69</v>
      </c>
      <c r="E369" s="88" t="s">
        <v>103</v>
      </c>
      <c r="F369" s="9" t="s">
        <v>104</v>
      </c>
      <c r="G369" s="88">
        <v>120</v>
      </c>
      <c r="H369" s="88"/>
      <c r="I369" s="88"/>
      <c r="J369" s="466">
        <f>J370</f>
        <v>0</v>
      </c>
      <c r="K369" s="466"/>
      <c r="L369" s="467">
        <v>1223.8879999999999</v>
      </c>
      <c r="M369" s="467">
        <v>1309.56</v>
      </c>
      <c r="N369" s="819">
        <f t="shared" si="39"/>
        <v>0</v>
      </c>
      <c r="O369" s="788">
        <f t="shared" si="39"/>
        <v>0</v>
      </c>
      <c r="P369" s="466">
        <f t="shared" si="39"/>
        <v>0</v>
      </c>
    </row>
    <row r="370" spans="1:16" ht="39" hidden="1" x14ac:dyDescent="0.3">
      <c r="A370" s="32"/>
      <c r="B370" s="100" t="s">
        <v>105</v>
      </c>
      <c r="C370" s="88"/>
      <c r="D370" s="88"/>
      <c r="E370" s="88"/>
      <c r="F370" s="9" t="s">
        <v>104</v>
      </c>
      <c r="G370" s="88">
        <v>120</v>
      </c>
      <c r="H370" s="88"/>
      <c r="I370" s="88" t="s">
        <v>103</v>
      </c>
      <c r="J370" s="466"/>
      <c r="K370" s="466"/>
      <c r="L370" s="467">
        <v>1223.8879999999999</v>
      </c>
      <c r="M370" s="467">
        <v>1309.56</v>
      </c>
      <c r="N370" s="819"/>
      <c r="O370" s="788"/>
      <c r="P370" s="466"/>
    </row>
    <row r="371" spans="1:16" ht="65" hidden="1" x14ac:dyDescent="0.25">
      <c r="A371" s="32"/>
      <c r="B371" s="90" t="s">
        <v>784</v>
      </c>
      <c r="C371" s="88"/>
      <c r="D371" s="88" t="s">
        <v>69</v>
      </c>
      <c r="E371" s="88" t="s">
        <v>103</v>
      </c>
      <c r="F371" s="34" t="s">
        <v>141</v>
      </c>
      <c r="G371" s="9"/>
      <c r="H371" s="9"/>
      <c r="I371" s="88"/>
      <c r="J371" s="471">
        <f>J372</f>
        <v>0</v>
      </c>
      <c r="K371" s="471"/>
      <c r="L371" s="471">
        <f>L372</f>
        <v>171.8</v>
      </c>
      <c r="M371" s="471">
        <f>M372</f>
        <v>171.8</v>
      </c>
      <c r="N371" s="814">
        <f>N372</f>
        <v>0</v>
      </c>
      <c r="O371" s="746">
        <f>O372</f>
        <v>0</v>
      </c>
      <c r="P371" s="471">
        <f>P372</f>
        <v>0</v>
      </c>
    </row>
    <row r="372" spans="1:16" ht="13" hidden="1" x14ac:dyDescent="0.3">
      <c r="A372" s="32"/>
      <c r="B372" s="16" t="s">
        <v>142</v>
      </c>
      <c r="C372" s="88"/>
      <c r="D372" s="88" t="s">
        <v>69</v>
      </c>
      <c r="E372" s="88" t="s">
        <v>103</v>
      </c>
      <c r="F372" s="9" t="s">
        <v>141</v>
      </c>
      <c r="G372" s="9" t="s">
        <v>140</v>
      </c>
      <c r="H372" s="9"/>
      <c r="I372" s="88"/>
      <c r="J372" s="469">
        <f>J373</f>
        <v>0</v>
      </c>
      <c r="K372" s="469"/>
      <c r="L372" s="469">
        <v>171.8</v>
      </c>
      <c r="M372" s="469">
        <v>171.8</v>
      </c>
      <c r="N372" s="813">
        <f>N373</f>
        <v>0</v>
      </c>
      <c r="O372" s="475">
        <f>O373</f>
        <v>0</v>
      </c>
      <c r="P372" s="469">
        <f>P373</f>
        <v>0</v>
      </c>
    </row>
    <row r="373" spans="1:16" ht="39" hidden="1" x14ac:dyDescent="0.3">
      <c r="A373" s="32"/>
      <c r="B373" s="100" t="s">
        <v>105</v>
      </c>
      <c r="C373" s="88"/>
      <c r="D373" s="88"/>
      <c r="E373" s="88"/>
      <c r="F373" s="9" t="s">
        <v>141</v>
      </c>
      <c r="G373" s="9" t="s">
        <v>140</v>
      </c>
      <c r="H373" s="9"/>
      <c r="I373" s="88" t="s">
        <v>103</v>
      </c>
      <c r="J373" s="469"/>
      <c r="K373" s="469"/>
      <c r="L373" s="469">
        <v>171.8</v>
      </c>
      <c r="M373" s="469">
        <v>171.8</v>
      </c>
      <c r="N373" s="813"/>
      <c r="O373" s="475"/>
      <c r="P373" s="469"/>
    </row>
    <row r="374" spans="1:16" ht="75.650000000000006" hidden="1" customHeight="1" x14ac:dyDescent="0.25">
      <c r="A374" s="32"/>
      <c r="B374" s="111" t="s">
        <v>785</v>
      </c>
      <c r="C374" s="88"/>
      <c r="D374" s="9" t="s">
        <v>69</v>
      </c>
      <c r="E374" s="9" t="s">
        <v>103</v>
      </c>
      <c r="F374" s="34" t="s">
        <v>136</v>
      </c>
      <c r="G374" s="9"/>
      <c r="H374" s="9"/>
      <c r="I374" s="9"/>
      <c r="J374" s="471">
        <f>J376</f>
        <v>0</v>
      </c>
      <c r="K374" s="471"/>
      <c r="L374" s="471">
        <f>L376</f>
        <v>263</v>
      </c>
      <c r="M374" s="471">
        <f>M376</f>
        <v>263</v>
      </c>
      <c r="N374" s="814">
        <f>N376</f>
        <v>0</v>
      </c>
      <c r="O374" s="746">
        <f>O376</f>
        <v>0</v>
      </c>
      <c r="P374" s="471">
        <f>P376</f>
        <v>0</v>
      </c>
    </row>
    <row r="375" spans="1:16" ht="18" hidden="1" customHeight="1" x14ac:dyDescent="0.25">
      <c r="A375" s="32"/>
      <c r="B375" s="42" t="s">
        <v>138</v>
      </c>
      <c r="C375" s="9"/>
      <c r="D375" s="9" t="s">
        <v>69</v>
      </c>
      <c r="E375" s="9" t="s">
        <v>103</v>
      </c>
      <c r="F375" s="9" t="s">
        <v>137</v>
      </c>
      <c r="G375" s="9"/>
      <c r="H375" s="9"/>
      <c r="I375" s="9" t="s">
        <v>103</v>
      </c>
      <c r="J375" s="468"/>
      <c r="K375" s="468"/>
      <c r="L375" s="468"/>
      <c r="M375" s="468"/>
      <c r="N375" s="818"/>
      <c r="O375" s="787"/>
      <c r="P375" s="468"/>
    </row>
    <row r="376" spans="1:16" ht="15" hidden="1" customHeight="1" x14ac:dyDescent="0.3">
      <c r="A376" s="32"/>
      <c r="B376" s="16" t="s">
        <v>123</v>
      </c>
      <c r="C376" s="9"/>
      <c r="D376" s="9" t="s">
        <v>69</v>
      </c>
      <c r="E376" s="9" t="s">
        <v>103</v>
      </c>
      <c r="F376" s="9" t="s">
        <v>136</v>
      </c>
      <c r="G376" s="9" t="s">
        <v>120</v>
      </c>
      <c r="H376" s="9"/>
      <c r="I376" s="9"/>
      <c r="J376" s="468">
        <f>J377</f>
        <v>0</v>
      </c>
      <c r="K376" s="468"/>
      <c r="L376" s="468">
        <v>263</v>
      </c>
      <c r="M376" s="468">
        <v>263</v>
      </c>
      <c r="N376" s="818">
        <f>N377</f>
        <v>0</v>
      </c>
      <c r="O376" s="787">
        <f>O377</f>
        <v>0</v>
      </c>
      <c r="P376" s="468">
        <f>P377</f>
        <v>0</v>
      </c>
    </row>
    <row r="377" spans="1:16" ht="42" hidden="1" customHeight="1" x14ac:dyDescent="0.3">
      <c r="A377" s="32"/>
      <c r="B377" s="100" t="s">
        <v>105</v>
      </c>
      <c r="C377" s="9"/>
      <c r="D377" s="9"/>
      <c r="E377" s="9"/>
      <c r="F377" s="9" t="s">
        <v>136</v>
      </c>
      <c r="G377" s="9" t="s">
        <v>120</v>
      </c>
      <c r="H377" s="9"/>
      <c r="I377" s="9" t="s">
        <v>103</v>
      </c>
      <c r="J377" s="468"/>
      <c r="K377" s="468"/>
      <c r="L377" s="468">
        <v>263</v>
      </c>
      <c r="M377" s="468">
        <v>263</v>
      </c>
      <c r="N377" s="818"/>
      <c r="O377" s="787"/>
      <c r="P377" s="468"/>
    </row>
    <row r="378" spans="1:16" ht="99" hidden="1" customHeight="1" x14ac:dyDescent="0.25">
      <c r="A378" s="32"/>
      <c r="B378" s="110" t="s">
        <v>786</v>
      </c>
      <c r="C378" s="9"/>
      <c r="D378" s="9" t="s">
        <v>69</v>
      </c>
      <c r="E378" s="9" t="s">
        <v>103</v>
      </c>
      <c r="F378" s="34" t="s">
        <v>132</v>
      </c>
      <c r="G378" s="9"/>
      <c r="H378" s="9"/>
      <c r="I378" s="9"/>
      <c r="J378" s="464">
        <f>J379</f>
        <v>0</v>
      </c>
      <c r="K378" s="464"/>
      <c r="L378" s="464">
        <f>L379</f>
        <v>130.1</v>
      </c>
      <c r="M378" s="464">
        <f>M379</f>
        <v>130.1</v>
      </c>
      <c r="N378" s="817">
        <f>N379</f>
        <v>0</v>
      </c>
      <c r="O378" s="786">
        <f>O379</f>
        <v>0</v>
      </c>
      <c r="P378" s="464">
        <f>P379</f>
        <v>0</v>
      </c>
    </row>
    <row r="379" spans="1:16" ht="15" hidden="1" customHeight="1" x14ac:dyDescent="0.3">
      <c r="A379" s="32"/>
      <c r="B379" s="16" t="s">
        <v>123</v>
      </c>
      <c r="C379" s="9"/>
      <c r="D379" s="9" t="s">
        <v>69</v>
      </c>
      <c r="E379" s="9" t="s">
        <v>103</v>
      </c>
      <c r="F379" s="9" t="s">
        <v>132</v>
      </c>
      <c r="G379" s="9" t="s">
        <v>120</v>
      </c>
      <c r="H379" s="9"/>
      <c r="I379" s="9"/>
      <c r="J379" s="468">
        <f>J381</f>
        <v>0</v>
      </c>
      <c r="K379" s="468"/>
      <c r="L379" s="468">
        <v>130.1</v>
      </c>
      <c r="M379" s="468">
        <v>130.1</v>
      </c>
      <c r="N379" s="818">
        <f>N381</f>
        <v>0</v>
      </c>
      <c r="O379" s="787">
        <f>O381</f>
        <v>0</v>
      </c>
      <c r="P379" s="468">
        <f>P381</f>
        <v>0</v>
      </c>
    </row>
    <row r="380" spans="1:16" ht="60.65" hidden="1" customHeight="1" x14ac:dyDescent="0.25">
      <c r="A380" s="32"/>
      <c r="B380" s="109" t="s">
        <v>134</v>
      </c>
      <c r="C380" s="88"/>
      <c r="D380" s="88" t="s">
        <v>69</v>
      </c>
      <c r="E380" s="88" t="s">
        <v>103</v>
      </c>
      <c r="F380" s="9" t="s">
        <v>133</v>
      </c>
      <c r="G380" s="9"/>
      <c r="H380" s="9"/>
      <c r="I380" s="88" t="s">
        <v>103</v>
      </c>
      <c r="J380" s="468"/>
      <c r="K380" s="468"/>
      <c r="L380" s="468"/>
      <c r="M380" s="468"/>
      <c r="N380" s="818"/>
      <c r="O380" s="787"/>
      <c r="P380" s="468"/>
    </row>
    <row r="381" spans="1:16" ht="40.15" hidden="1" customHeight="1" x14ac:dyDescent="0.3">
      <c r="A381" s="32"/>
      <c r="B381" s="82" t="s">
        <v>105</v>
      </c>
      <c r="C381" s="88"/>
      <c r="D381" s="88"/>
      <c r="E381" s="88"/>
      <c r="F381" s="9" t="s">
        <v>132</v>
      </c>
      <c r="G381" s="9" t="s">
        <v>120</v>
      </c>
      <c r="H381" s="9"/>
      <c r="I381" s="9" t="s">
        <v>103</v>
      </c>
      <c r="J381" s="468"/>
      <c r="K381" s="468"/>
      <c r="L381" s="468">
        <v>130.1</v>
      </c>
      <c r="M381" s="468">
        <v>130.1</v>
      </c>
      <c r="N381" s="818"/>
      <c r="O381" s="787"/>
      <c r="P381" s="468"/>
    </row>
    <row r="382" spans="1:16" ht="40.15" customHeight="1" x14ac:dyDescent="0.3">
      <c r="A382" s="32"/>
      <c r="B382" s="95" t="s">
        <v>131</v>
      </c>
      <c r="C382" s="88"/>
      <c r="D382" s="88"/>
      <c r="E382" s="88"/>
      <c r="F382" s="34" t="s">
        <v>129</v>
      </c>
      <c r="G382" s="34"/>
      <c r="H382" s="34"/>
      <c r="I382" s="34"/>
      <c r="J382" s="464">
        <f>J384</f>
        <v>170.1</v>
      </c>
      <c r="K382" s="464"/>
      <c r="L382" s="464"/>
      <c r="M382" s="464"/>
      <c r="N382" s="817">
        <f>N384</f>
        <v>219.47200000000001</v>
      </c>
      <c r="O382" s="786">
        <f>O384</f>
        <v>0</v>
      </c>
      <c r="P382" s="464">
        <f>P384</f>
        <v>0</v>
      </c>
    </row>
    <row r="383" spans="1:16" ht="13" x14ac:dyDescent="0.25">
      <c r="A383" s="32"/>
      <c r="B383" s="510" t="s">
        <v>130</v>
      </c>
      <c r="C383" s="88"/>
      <c r="D383" s="88"/>
      <c r="E383" s="88"/>
      <c r="F383" s="9" t="s">
        <v>129</v>
      </c>
      <c r="G383" s="9" t="s">
        <v>120</v>
      </c>
      <c r="H383" s="9"/>
      <c r="I383" s="9"/>
      <c r="J383" s="468"/>
      <c r="K383" s="468"/>
      <c r="L383" s="468"/>
      <c r="M383" s="468"/>
      <c r="N383" s="818">
        <f>N384</f>
        <v>219.47200000000001</v>
      </c>
      <c r="O383" s="787">
        <f>O384</f>
        <v>0</v>
      </c>
      <c r="P383" s="468">
        <f>P384</f>
        <v>0</v>
      </c>
    </row>
    <row r="384" spans="1:16" ht="26" x14ac:dyDescent="0.3">
      <c r="A384" s="32"/>
      <c r="B384" s="82" t="s">
        <v>122</v>
      </c>
      <c r="C384" s="88"/>
      <c r="D384" s="88"/>
      <c r="E384" s="88"/>
      <c r="F384" s="9" t="s">
        <v>129</v>
      </c>
      <c r="G384" s="9" t="s">
        <v>120</v>
      </c>
      <c r="H384" s="9" t="s">
        <v>456</v>
      </c>
      <c r="I384" s="33" t="s">
        <v>585</v>
      </c>
      <c r="J384" s="468">
        <v>170.1</v>
      </c>
      <c r="K384" s="468"/>
      <c r="L384" s="468"/>
      <c r="M384" s="468"/>
      <c r="N384" s="818">
        <v>219.47200000000001</v>
      </c>
      <c r="O384" s="787"/>
      <c r="P384" s="468"/>
    </row>
    <row r="385" spans="1:24" ht="52" x14ac:dyDescent="0.25">
      <c r="A385" s="32"/>
      <c r="B385" s="107" t="s">
        <v>128</v>
      </c>
      <c r="C385" s="88"/>
      <c r="D385" s="88" t="s">
        <v>69</v>
      </c>
      <c r="E385" s="88" t="s">
        <v>103</v>
      </c>
      <c r="F385" s="34" t="s">
        <v>127</v>
      </c>
      <c r="G385" s="9"/>
      <c r="H385" s="9"/>
      <c r="I385" s="88"/>
      <c r="J385" s="464">
        <f>J386+J388</f>
        <v>547.5</v>
      </c>
      <c r="K385" s="464"/>
      <c r="L385" s="464">
        <f>L386+L388</f>
        <v>546.70000000000005</v>
      </c>
      <c r="M385" s="464">
        <f>M386+M388</f>
        <v>546.70000000000005</v>
      </c>
      <c r="N385" s="817">
        <f>N386+N388</f>
        <v>632.18600000000004</v>
      </c>
      <c r="O385" s="786">
        <f>O386+O388</f>
        <v>598.5</v>
      </c>
      <c r="P385" s="464">
        <f>P386+P388</f>
        <v>598.5</v>
      </c>
    </row>
    <row r="386" spans="1:24" ht="13" x14ac:dyDescent="0.3">
      <c r="A386" s="32"/>
      <c r="B386" s="106" t="s">
        <v>7</v>
      </c>
      <c r="C386" s="88"/>
      <c r="D386" s="88" t="s">
        <v>69</v>
      </c>
      <c r="E386" s="88" t="s">
        <v>103</v>
      </c>
      <c r="F386" s="9" t="s">
        <v>127</v>
      </c>
      <c r="G386" s="9" t="s">
        <v>5</v>
      </c>
      <c r="H386" s="9"/>
      <c r="I386" s="88"/>
      <c r="J386" s="468">
        <f>J387</f>
        <v>510.3</v>
      </c>
      <c r="K386" s="468"/>
      <c r="L386" s="468">
        <f>546.7-45.2</f>
        <v>501.50000000000006</v>
      </c>
      <c r="M386" s="468">
        <f>546.7-45.2</f>
        <v>501.50000000000006</v>
      </c>
      <c r="N386" s="818">
        <f>N387</f>
        <v>594.98599999999999</v>
      </c>
      <c r="O386" s="787">
        <f>O387</f>
        <v>561.29999999999995</v>
      </c>
      <c r="P386" s="468">
        <f>P387</f>
        <v>561.29999999999995</v>
      </c>
    </row>
    <row r="387" spans="1:24" s="6" customFormat="1" ht="33.65" customHeight="1" x14ac:dyDescent="0.25">
      <c r="A387" s="839"/>
      <c r="B387" s="52" t="s">
        <v>833</v>
      </c>
      <c r="C387" s="76"/>
      <c r="D387" s="76"/>
      <c r="E387" s="76"/>
      <c r="F387" s="748" t="s">
        <v>127</v>
      </c>
      <c r="G387" s="9" t="s">
        <v>5</v>
      </c>
      <c r="H387" s="9" t="s">
        <v>495</v>
      </c>
      <c r="I387" s="9" t="s">
        <v>832</v>
      </c>
      <c r="J387" s="749">
        <f>392.863+117.437</f>
        <v>510.3</v>
      </c>
      <c r="K387" s="749"/>
      <c r="L387" s="749">
        <f>546.7-45.2</f>
        <v>501.50000000000006</v>
      </c>
      <c r="M387" s="749">
        <f>546.7-45.2</f>
        <v>501.50000000000006</v>
      </c>
      <c r="N387" s="818">
        <f>594.9+0.086</f>
        <v>594.98599999999999</v>
      </c>
      <c r="O387" s="797">
        <v>561.29999999999995</v>
      </c>
      <c r="P387" s="749">
        <v>561.29999999999995</v>
      </c>
      <c r="Q387" s="750"/>
      <c r="R387" s="750"/>
      <c r="S387" s="750"/>
      <c r="T387" s="750"/>
      <c r="U387" s="750"/>
      <c r="V387" s="750"/>
      <c r="W387" s="750"/>
      <c r="X387" s="750"/>
    </row>
    <row r="388" spans="1:24" ht="26" x14ac:dyDescent="0.25">
      <c r="A388" s="32"/>
      <c r="B388" s="15" t="s">
        <v>4</v>
      </c>
      <c r="C388" s="88"/>
      <c r="D388" s="88"/>
      <c r="E388" s="88"/>
      <c r="F388" s="9" t="s">
        <v>127</v>
      </c>
      <c r="G388" s="9" t="s">
        <v>1</v>
      </c>
      <c r="H388" s="9"/>
      <c r="I388" s="88"/>
      <c r="J388" s="468">
        <f>J389</f>
        <v>37.200000000000003</v>
      </c>
      <c r="K388" s="468"/>
      <c r="L388" s="468">
        <v>45.2</v>
      </c>
      <c r="M388" s="468">
        <v>45.2</v>
      </c>
      <c r="N388" s="818">
        <f>N389</f>
        <v>37.200000000000003</v>
      </c>
      <c r="O388" s="787">
        <f>O389</f>
        <v>37.200000000000003</v>
      </c>
      <c r="P388" s="468">
        <f>P389</f>
        <v>37.200000000000003</v>
      </c>
    </row>
    <row r="389" spans="1:24" ht="39" x14ac:dyDescent="0.25">
      <c r="A389" s="32"/>
      <c r="B389" s="52" t="s">
        <v>833</v>
      </c>
      <c r="C389" s="88"/>
      <c r="D389" s="88"/>
      <c r="E389" s="88"/>
      <c r="F389" s="9" t="s">
        <v>127</v>
      </c>
      <c r="G389" s="9" t="s">
        <v>1</v>
      </c>
      <c r="H389" s="9" t="s">
        <v>495</v>
      </c>
      <c r="I389" s="9" t="s">
        <v>832</v>
      </c>
      <c r="J389" s="468">
        <f>17.5+15.7+4</f>
        <v>37.200000000000003</v>
      </c>
      <c r="K389" s="468"/>
      <c r="L389" s="468">
        <v>45.2</v>
      </c>
      <c r="M389" s="468">
        <v>45.2</v>
      </c>
      <c r="N389" s="818">
        <v>37.200000000000003</v>
      </c>
      <c r="O389" s="787">
        <v>37.200000000000003</v>
      </c>
      <c r="P389" s="468">
        <v>37.200000000000003</v>
      </c>
    </row>
    <row r="390" spans="1:24" ht="42" hidden="1" customHeight="1" x14ac:dyDescent="0.25">
      <c r="A390" s="32"/>
      <c r="B390" s="52" t="s">
        <v>122</v>
      </c>
      <c r="C390" s="9"/>
      <c r="D390" s="94" t="s">
        <v>69</v>
      </c>
      <c r="E390" s="34" t="s">
        <v>119</v>
      </c>
      <c r="F390" s="94" t="s">
        <v>71</v>
      </c>
      <c r="G390" s="94" t="s">
        <v>71</v>
      </c>
      <c r="H390" s="94"/>
      <c r="I390" s="34"/>
      <c r="J390" s="471">
        <f>J391</f>
        <v>0</v>
      </c>
      <c r="K390" s="471"/>
      <c r="L390" s="471">
        <f t="shared" ref="L390:P393" si="40">L391</f>
        <v>99.305000000000007</v>
      </c>
      <c r="M390" s="471">
        <f t="shared" si="40"/>
        <v>99.305000000000007</v>
      </c>
      <c r="N390" s="814">
        <f t="shared" si="40"/>
        <v>0</v>
      </c>
      <c r="O390" s="746">
        <f t="shared" si="40"/>
        <v>0</v>
      </c>
      <c r="P390" s="471">
        <f t="shared" si="40"/>
        <v>0</v>
      </c>
    </row>
    <row r="391" spans="1:24" ht="39" hidden="1" x14ac:dyDescent="0.25">
      <c r="A391" s="32"/>
      <c r="B391" s="52" t="s">
        <v>126</v>
      </c>
      <c r="C391" s="9"/>
      <c r="D391" s="94" t="s">
        <v>69</v>
      </c>
      <c r="E391" s="94" t="s">
        <v>119</v>
      </c>
      <c r="F391" s="34" t="s">
        <v>125</v>
      </c>
      <c r="G391" s="79"/>
      <c r="H391" s="79"/>
      <c r="I391" s="94"/>
      <c r="J391" s="471">
        <f>J392</f>
        <v>0</v>
      </c>
      <c r="K391" s="471"/>
      <c r="L391" s="471">
        <f t="shared" si="40"/>
        <v>99.305000000000007</v>
      </c>
      <c r="M391" s="471">
        <f t="shared" si="40"/>
        <v>99.305000000000007</v>
      </c>
      <c r="N391" s="814">
        <f t="shared" si="40"/>
        <v>0</v>
      </c>
      <c r="O391" s="746">
        <f t="shared" si="40"/>
        <v>0</v>
      </c>
      <c r="P391" s="471">
        <f t="shared" si="40"/>
        <v>0</v>
      </c>
    </row>
    <row r="392" spans="1:24" ht="68.5" hidden="1" customHeight="1" x14ac:dyDescent="0.25">
      <c r="A392" s="32"/>
      <c r="B392" s="105" t="s">
        <v>787</v>
      </c>
      <c r="C392" s="9"/>
      <c r="D392" s="88" t="s">
        <v>69</v>
      </c>
      <c r="E392" s="88" t="s">
        <v>119</v>
      </c>
      <c r="F392" s="34" t="s">
        <v>121</v>
      </c>
      <c r="G392" s="9"/>
      <c r="H392" s="9"/>
      <c r="I392" s="88"/>
      <c r="J392" s="468">
        <f>J393</f>
        <v>0</v>
      </c>
      <c r="K392" s="468"/>
      <c r="L392" s="468">
        <f t="shared" si="40"/>
        <v>99.305000000000007</v>
      </c>
      <c r="M392" s="468">
        <f t="shared" si="40"/>
        <v>99.305000000000007</v>
      </c>
      <c r="N392" s="818">
        <f t="shared" si="40"/>
        <v>0</v>
      </c>
      <c r="O392" s="787">
        <f t="shared" si="40"/>
        <v>0</v>
      </c>
      <c r="P392" s="468">
        <f t="shared" si="40"/>
        <v>0</v>
      </c>
    </row>
    <row r="393" spans="1:24" ht="13.9" hidden="1" customHeight="1" x14ac:dyDescent="0.3">
      <c r="A393" s="32"/>
      <c r="B393" s="86" t="s">
        <v>123</v>
      </c>
      <c r="C393" s="9"/>
      <c r="D393" s="88" t="s">
        <v>69</v>
      </c>
      <c r="E393" s="88" t="s">
        <v>119</v>
      </c>
      <c r="F393" s="9" t="s">
        <v>121</v>
      </c>
      <c r="G393" s="9" t="s">
        <v>120</v>
      </c>
      <c r="H393" s="9"/>
      <c r="I393" s="88"/>
      <c r="J393" s="468">
        <f>J394</f>
        <v>0</v>
      </c>
      <c r="K393" s="468"/>
      <c r="L393" s="468">
        <v>99.305000000000007</v>
      </c>
      <c r="M393" s="468">
        <v>99.305000000000007</v>
      </c>
      <c r="N393" s="818">
        <f t="shared" si="40"/>
        <v>0</v>
      </c>
      <c r="O393" s="787">
        <f t="shared" si="40"/>
        <v>0</v>
      </c>
      <c r="P393" s="468">
        <f t="shared" si="40"/>
        <v>0</v>
      </c>
    </row>
    <row r="394" spans="1:24" ht="28.15" hidden="1" customHeight="1" x14ac:dyDescent="0.3">
      <c r="A394" s="32"/>
      <c r="B394" s="82" t="s">
        <v>122</v>
      </c>
      <c r="C394" s="9"/>
      <c r="D394" s="88"/>
      <c r="E394" s="88"/>
      <c r="F394" s="9" t="s">
        <v>121</v>
      </c>
      <c r="G394" s="9" t="s">
        <v>120</v>
      </c>
      <c r="H394" s="9"/>
      <c r="I394" s="88" t="s">
        <v>119</v>
      </c>
      <c r="J394" s="468"/>
      <c r="K394" s="468"/>
      <c r="L394" s="468">
        <v>99.305000000000007</v>
      </c>
      <c r="M394" s="468">
        <v>99.305000000000007</v>
      </c>
      <c r="N394" s="818"/>
      <c r="O394" s="787"/>
      <c r="P394" s="468"/>
    </row>
    <row r="395" spans="1:24" ht="54.65" hidden="1" customHeight="1" x14ac:dyDescent="0.25">
      <c r="A395" s="32"/>
      <c r="B395" s="493" t="s">
        <v>118</v>
      </c>
      <c r="C395" s="9"/>
      <c r="D395" s="88"/>
      <c r="E395" s="88"/>
      <c r="F395" s="34" t="s">
        <v>117</v>
      </c>
      <c r="G395" s="9"/>
      <c r="H395" s="9"/>
      <c r="I395" s="88"/>
      <c r="J395" s="468"/>
      <c r="K395" s="468"/>
      <c r="L395" s="468"/>
      <c r="M395" s="468"/>
      <c r="N395" s="818">
        <f>N396</f>
        <v>0</v>
      </c>
      <c r="O395" s="787">
        <f t="shared" ref="O395:P398" si="41">O396</f>
        <v>659.56200000000001</v>
      </c>
      <c r="P395" s="468">
        <f t="shared" si="41"/>
        <v>725.51900000000001</v>
      </c>
    </row>
    <row r="396" spans="1:24" ht="28.15" hidden="1" customHeight="1" x14ac:dyDescent="0.25">
      <c r="A396" s="32"/>
      <c r="B396" s="493" t="s">
        <v>109</v>
      </c>
      <c r="C396" s="9"/>
      <c r="D396" s="88"/>
      <c r="E396" s="88"/>
      <c r="F396" s="9" t="s">
        <v>116</v>
      </c>
      <c r="G396" s="9"/>
      <c r="H396" s="9"/>
      <c r="I396" s="88"/>
      <c r="J396" s="468"/>
      <c r="K396" s="468"/>
      <c r="L396" s="468"/>
      <c r="M396" s="468"/>
      <c r="N396" s="818">
        <f>N397</f>
        <v>0</v>
      </c>
      <c r="O396" s="787">
        <f t="shared" si="41"/>
        <v>659.56200000000001</v>
      </c>
      <c r="P396" s="468">
        <f t="shared" si="41"/>
        <v>725.51900000000001</v>
      </c>
    </row>
    <row r="397" spans="1:24" ht="28.15" hidden="1" customHeight="1" x14ac:dyDescent="0.25">
      <c r="A397" s="32"/>
      <c r="B397" s="505" t="s">
        <v>115</v>
      </c>
      <c r="C397" s="9"/>
      <c r="D397" s="88"/>
      <c r="E397" s="88"/>
      <c r="F397" s="9" t="s">
        <v>113</v>
      </c>
      <c r="G397" s="9"/>
      <c r="H397" s="9"/>
      <c r="I397" s="88"/>
      <c r="J397" s="468"/>
      <c r="K397" s="468"/>
      <c r="L397" s="468"/>
      <c r="M397" s="468"/>
      <c r="N397" s="818">
        <f>N398</f>
        <v>0</v>
      </c>
      <c r="O397" s="787">
        <f t="shared" si="41"/>
        <v>659.56200000000001</v>
      </c>
      <c r="P397" s="468">
        <f t="shared" si="41"/>
        <v>725.51900000000001</v>
      </c>
    </row>
    <row r="398" spans="1:24" ht="16.149999999999999" hidden="1" customHeight="1" x14ac:dyDescent="0.3">
      <c r="A398" s="32"/>
      <c r="B398" s="16" t="s">
        <v>7</v>
      </c>
      <c r="C398" s="9"/>
      <c r="D398" s="88"/>
      <c r="E398" s="88"/>
      <c r="F398" s="9" t="s">
        <v>113</v>
      </c>
      <c r="G398" s="9" t="s">
        <v>5</v>
      </c>
      <c r="H398" s="9"/>
      <c r="I398" s="88"/>
      <c r="J398" s="468"/>
      <c r="K398" s="468"/>
      <c r="L398" s="468"/>
      <c r="M398" s="468"/>
      <c r="N398" s="818"/>
      <c r="O398" s="787">
        <f t="shared" si="41"/>
        <v>659.56200000000001</v>
      </c>
      <c r="P398" s="468">
        <f t="shared" si="41"/>
        <v>725.51900000000001</v>
      </c>
    </row>
    <row r="399" spans="1:24" ht="40.15" hidden="1" customHeight="1" x14ac:dyDescent="0.3">
      <c r="A399" s="32"/>
      <c r="B399" s="95" t="s">
        <v>114</v>
      </c>
      <c r="C399" s="9"/>
      <c r="D399" s="88"/>
      <c r="E399" s="88"/>
      <c r="F399" s="9" t="s">
        <v>113</v>
      </c>
      <c r="G399" s="9" t="s">
        <v>5</v>
      </c>
      <c r="H399" s="9" t="s">
        <v>456</v>
      </c>
      <c r="I399" s="9" t="s">
        <v>495</v>
      </c>
      <c r="J399" s="468"/>
      <c r="K399" s="468"/>
      <c r="L399" s="468"/>
      <c r="M399" s="468"/>
      <c r="N399" s="944"/>
      <c r="O399" s="787">
        <v>659.56200000000001</v>
      </c>
      <c r="P399" s="468">
        <v>725.51900000000001</v>
      </c>
    </row>
    <row r="400" spans="1:24" ht="52" x14ac:dyDescent="0.25">
      <c r="A400" s="32"/>
      <c r="B400" s="493" t="s">
        <v>111</v>
      </c>
      <c r="C400" s="88"/>
      <c r="D400" s="88"/>
      <c r="E400" s="88"/>
      <c r="F400" s="34" t="s">
        <v>110</v>
      </c>
      <c r="G400" s="88"/>
      <c r="H400" s="88"/>
      <c r="I400" s="88"/>
      <c r="J400" s="470">
        <f>J401</f>
        <v>1183.2429999999999</v>
      </c>
      <c r="K400" s="467"/>
      <c r="L400" s="467"/>
      <c r="M400" s="469"/>
      <c r="N400" s="824">
        <f t="shared" ref="N400:P403" si="42">N401</f>
        <v>1453.2329999999999</v>
      </c>
      <c r="O400" s="792">
        <f t="shared" si="42"/>
        <v>1627.663</v>
      </c>
      <c r="P400" s="470">
        <f t="shared" si="42"/>
        <v>1782.7329999999999</v>
      </c>
    </row>
    <row r="401" spans="1:24" ht="21" customHeight="1" x14ac:dyDescent="0.25">
      <c r="A401" s="32"/>
      <c r="B401" s="493" t="s">
        <v>109</v>
      </c>
      <c r="C401" s="88"/>
      <c r="D401" s="88"/>
      <c r="E401" s="88"/>
      <c r="F401" s="9" t="s">
        <v>108</v>
      </c>
      <c r="G401" s="88"/>
      <c r="H401" s="88"/>
      <c r="I401" s="88"/>
      <c r="J401" s="467">
        <f>J402</f>
        <v>1183.2429999999999</v>
      </c>
      <c r="K401" s="467"/>
      <c r="L401" s="467"/>
      <c r="M401" s="469"/>
      <c r="N401" s="811">
        <f t="shared" si="42"/>
        <v>1453.2329999999999</v>
      </c>
      <c r="O401" s="783">
        <f t="shared" si="42"/>
        <v>1627.663</v>
      </c>
      <c r="P401" s="467">
        <f t="shared" si="42"/>
        <v>1782.7329999999999</v>
      </c>
    </row>
    <row r="402" spans="1:24" ht="26" x14ac:dyDescent="0.25">
      <c r="A402" s="32"/>
      <c r="B402" s="49" t="s">
        <v>107</v>
      </c>
      <c r="C402" s="88" t="s">
        <v>106</v>
      </c>
      <c r="D402" s="88" t="s">
        <v>69</v>
      </c>
      <c r="E402" s="88" t="s">
        <v>103</v>
      </c>
      <c r="F402" s="9" t="s">
        <v>104</v>
      </c>
      <c r="G402" s="9"/>
      <c r="H402" s="9"/>
      <c r="I402" s="88"/>
      <c r="J402" s="466">
        <f>J403</f>
        <v>1183.2429999999999</v>
      </c>
      <c r="K402" s="465"/>
      <c r="L402" s="465">
        <f>L403</f>
        <v>1223.8879999999999</v>
      </c>
      <c r="M402" s="464">
        <f>M403</f>
        <v>1309.56</v>
      </c>
      <c r="N402" s="819">
        <f t="shared" si="42"/>
        <v>1453.2329999999999</v>
      </c>
      <c r="O402" s="788">
        <f t="shared" si="42"/>
        <v>1627.663</v>
      </c>
      <c r="P402" s="466">
        <f t="shared" si="42"/>
        <v>1782.7329999999999</v>
      </c>
    </row>
    <row r="403" spans="1:24" ht="13" x14ac:dyDescent="0.3">
      <c r="A403" s="32"/>
      <c r="B403" s="16" t="s">
        <v>7</v>
      </c>
      <c r="C403" s="88"/>
      <c r="D403" s="88" t="s">
        <v>69</v>
      </c>
      <c r="E403" s="88" t="s">
        <v>103</v>
      </c>
      <c r="F403" s="9" t="s">
        <v>104</v>
      </c>
      <c r="G403" s="88">
        <v>120</v>
      </c>
      <c r="H403" s="88"/>
      <c r="I403" s="88"/>
      <c r="J403" s="466">
        <f>J404</f>
        <v>1183.2429999999999</v>
      </c>
      <c r="K403" s="466"/>
      <c r="L403" s="467">
        <v>1223.8879999999999</v>
      </c>
      <c r="M403" s="467">
        <v>1309.56</v>
      </c>
      <c r="N403" s="819">
        <f t="shared" si="42"/>
        <v>1453.2329999999999</v>
      </c>
      <c r="O403" s="788">
        <f t="shared" si="42"/>
        <v>1627.663</v>
      </c>
      <c r="P403" s="466">
        <f t="shared" si="42"/>
        <v>1782.7329999999999</v>
      </c>
    </row>
    <row r="404" spans="1:24" ht="39" x14ac:dyDescent="0.3">
      <c r="A404" s="32"/>
      <c r="B404" s="100" t="s">
        <v>105</v>
      </c>
      <c r="C404" s="88"/>
      <c r="D404" s="88"/>
      <c r="E404" s="88"/>
      <c r="F404" s="9" t="s">
        <v>104</v>
      </c>
      <c r="G404" s="88">
        <v>120</v>
      </c>
      <c r="H404" s="9" t="s">
        <v>456</v>
      </c>
      <c r="I404" s="33" t="s">
        <v>452</v>
      </c>
      <c r="J404" s="466">
        <f>946.688+236.555</f>
        <v>1183.2429999999999</v>
      </c>
      <c r="K404" s="466"/>
      <c r="L404" s="467">
        <v>1223.8879999999999</v>
      </c>
      <c r="M404" s="467">
        <v>1309.56</v>
      </c>
      <c r="N404" s="819">
        <v>1453.2329999999999</v>
      </c>
      <c r="O404" s="788">
        <v>1627.663</v>
      </c>
      <c r="P404" s="466">
        <v>1782.7329999999999</v>
      </c>
    </row>
    <row r="405" spans="1:24" ht="26" x14ac:dyDescent="0.25">
      <c r="A405" s="91">
        <v>11</v>
      </c>
      <c r="B405" s="52" t="s">
        <v>102</v>
      </c>
      <c r="C405" s="34"/>
      <c r="D405" s="34" t="s">
        <v>69</v>
      </c>
      <c r="E405" s="34" t="s">
        <v>90</v>
      </c>
      <c r="F405" s="34" t="s">
        <v>101</v>
      </c>
      <c r="G405" s="34"/>
      <c r="H405" s="34"/>
      <c r="I405" s="34"/>
      <c r="J405" s="471">
        <f>J407</f>
        <v>213.2</v>
      </c>
      <c r="K405" s="471"/>
      <c r="L405" s="471">
        <f>L408</f>
        <v>108</v>
      </c>
      <c r="M405" s="471">
        <f>M408</f>
        <v>108</v>
      </c>
      <c r="N405" s="814">
        <f t="shared" ref="N405:P406" si="43">N406</f>
        <v>779.24799999999993</v>
      </c>
      <c r="O405" s="746">
        <f t="shared" si="43"/>
        <v>213.5</v>
      </c>
      <c r="P405" s="471">
        <f t="shared" si="43"/>
        <v>213.5</v>
      </c>
    </row>
    <row r="406" spans="1:24" ht="13" x14ac:dyDescent="0.25">
      <c r="A406" s="91"/>
      <c r="B406" s="49" t="s">
        <v>83</v>
      </c>
      <c r="C406" s="34"/>
      <c r="D406" s="34"/>
      <c r="E406" s="34"/>
      <c r="F406" s="9" t="s">
        <v>100</v>
      </c>
      <c r="G406" s="34"/>
      <c r="H406" s="34"/>
      <c r="I406" s="34"/>
      <c r="J406" s="471"/>
      <c r="K406" s="471"/>
      <c r="L406" s="471"/>
      <c r="M406" s="471"/>
      <c r="N406" s="813">
        <f t="shared" si="43"/>
        <v>779.24799999999993</v>
      </c>
      <c r="O406" s="475">
        <f t="shared" si="43"/>
        <v>213.5</v>
      </c>
      <c r="P406" s="469">
        <f t="shared" si="43"/>
        <v>213.5</v>
      </c>
    </row>
    <row r="407" spans="1:24" ht="13" x14ac:dyDescent="0.25">
      <c r="A407" s="91"/>
      <c r="B407" s="49" t="s">
        <v>83</v>
      </c>
      <c r="C407" s="34"/>
      <c r="D407" s="34"/>
      <c r="E407" s="34"/>
      <c r="F407" s="9" t="s">
        <v>99</v>
      </c>
      <c r="G407" s="34"/>
      <c r="H407" s="34"/>
      <c r="I407" s="34"/>
      <c r="J407" s="469">
        <f>J410+J414</f>
        <v>213.2</v>
      </c>
      <c r="K407" s="471"/>
      <c r="L407" s="471"/>
      <c r="M407" s="471"/>
      <c r="N407" s="813">
        <f>N410+N414</f>
        <v>779.24799999999993</v>
      </c>
      <c r="O407" s="475">
        <f>O410+O414</f>
        <v>213.5</v>
      </c>
      <c r="P407" s="469">
        <f>P410+P414</f>
        <v>213.5</v>
      </c>
    </row>
    <row r="408" spans="1:24" ht="13" x14ac:dyDescent="0.25">
      <c r="A408" s="32"/>
      <c r="B408" s="49" t="s">
        <v>98</v>
      </c>
      <c r="C408" s="34"/>
      <c r="D408" s="9" t="s">
        <v>69</v>
      </c>
      <c r="E408" s="9" t="s">
        <v>90</v>
      </c>
      <c r="F408" s="9" t="s">
        <v>92</v>
      </c>
      <c r="G408" s="34"/>
      <c r="H408" s="34"/>
      <c r="I408" s="9"/>
      <c r="J408" s="469">
        <f>J409</f>
        <v>198.2</v>
      </c>
      <c r="K408" s="469"/>
      <c r="L408" s="469">
        <f>L409+L413</f>
        <v>108</v>
      </c>
      <c r="M408" s="469">
        <f>M409+M413</f>
        <v>108</v>
      </c>
      <c r="N408" s="813">
        <f t="shared" ref="N408:P409" si="44">N409</f>
        <v>679.24799999999993</v>
      </c>
      <c r="O408" s="475">
        <f t="shared" si="44"/>
        <v>178.5</v>
      </c>
      <c r="P408" s="469">
        <f t="shared" si="44"/>
        <v>178.5</v>
      </c>
    </row>
    <row r="409" spans="1:24" ht="26" x14ac:dyDescent="0.25">
      <c r="A409" s="32"/>
      <c r="B409" s="15" t="s">
        <v>4</v>
      </c>
      <c r="C409" s="34"/>
      <c r="D409" s="9" t="s">
        <v>69</v>
      </c>
      <c r="E409" s="9" t="s">
        <v>90</v>
      </c>
      <c r="F409" s="9" t="s">
        <v>92</v>
      </c>
      <c r="G409" s="9" t="s">
        <v>1</v>
      </c>
      <c r="H409" s="9"/>
      <c r="I409" s="9"/>
      <c r="J409" s="469">
        <f>J410</f>
        <v>198.2</v>
      </c>
      <c r="K409" s="469"/>
      <c r="L409" s="469">
        <v>105</v>
      </c>
      <c r="M409" s="469">
        <v>105</v>
      </c>
      <c r="N409" s="813">
        <f t="shared" si="44"/>
        <v>679.24799999999993</v>
      </c>
      <c r="O409" s="475">
        <f t="shared" si="44"/>
        <v>178.5</v>
      </c>
      <c r="P409" s="469">
        <f t="shared" si="44"/>
        <v>178.5</v>
      </c>
    </row>
    <row r="410" spans="1:24" ht="13" x14ac:dyDescent="0.25">
      <c r="A410" s="32"/>
      <c r="B410" s="52" t="s">
        <v>93</v>
      </c>
      <c r="C410" s="34"/>
      <c r="D410" s="9"/>
      <c r="E410" s="9"/>
      <c r="F410" s="9" t="s">
        <v>92</v>
      </c>
      <c r="G410" s="9" t="s">
        <v>1</v>
      </c>
      <c r="H410" s="9" t="s">
        <v>456</v>
      </c>
      <c r="I410" s="9" t="s">
        <v>573</v>
      </c>
      <c r="J410" s="469">
        <v>198.2</v>
      </c>
      <c r="K410" s="469"/>
      <c r="L410" s="469">
        <v>105</v>
      </c>
      <c r="M410" s="469">
        <v>105</v>
      </c>
      <c r="N410" s="813">
        <f>679.334-0.086</f>
        <v>679.24799999999993</v>
      </c>
      <c r="O410" s="475">
        <v>178.5</v>
      </c>
      <c r="P410" s="469">
        <v>178.5</v>
      </c>
    </row>
    <row r="411" spans="1:24" ht="13" hidden="1" x14ac:dyDescent="0.25">
      <c r="A411" s="32"/>
      <c r="B411" s="99" t="s">
        <v>97</v>
      </c>
      <c r="C411" s="34"/>
      <c r="D411" s="9" t="s">
        <v>69</v>
      </c>
      <c r="E411" s="9" t="s">
        <v>90</v>
      </c>
      <c r="F411" s="9" t="s">
        <v>96</v>
      </c>
      <c r="G411" s="9" t="s">
        <v>95</v>
      </c>
      <c r="H411" s="9"/>
      <c r="I411" s="469"/>
      <c r="J411" s="469">
        <f>J412</f>
        <v>0</v>
      </c>
      <c r="K411" s="469"/>
      <c r="L411" s="469"/>
      <c r="M411" s="2"/>
      <c r="N411" s="813">
        <f>N412</f>
        <v>0</v>
      </c>
      <c r="O411" s="475">
        <f>O412</f>
        <v>0</v>
      </c>
      <c r="P411" s="469">
        <f>P412</f>
        <v>0</v>
      </c>
      <c r="Q411" s="511"/>
    </row>
    <row r="412" spans="1:24" ht="13" hidden="1" x14ac:dyDescent="0.25">
      <c r="A412" s="32"/>
      <c r="B412" s="52" t="s">
        <v>93</v>
      </c>
      <c r="C412" s="34"/>
      <c r="D412" s="9"/>
      <c r="E412" s="9"/>
      <c r="F412" s="9" t="s">
        <v>96</v>
      </c>
      <c r="G412" s="9" t="s">
        <v>95</v>
      </c>
      <c r="H412" s="9"/>
      <c r="I412" s="9" t="s">
        <v>90</v>
      </c>
      <c r="J412" s="469"/>
      <c r="K412" s="469"/>
      <c r="L412" s="469"/>
      <c r="M412" s="469"/>
      <c r="N412" s="813"/>
      <c r="O412" s="475"/>
      <c r="P412" s="469"/>
    </row>
    <row r="413" spans="1:24" ht="13" x14ac:dyDescent="0.3">
      <c r="A413" s="32"/>
      <c r="B413" s="86" t="s">
        <v>94</v>
      </c>
      <c r="C413" s="34"/>
      <c r="D413" s="9" t="s">
        <v>69</v>
      </c>
      <c r="E413" s="9" t="s">
        <v>90</v>
      </c>
      <c r="F413" s="9" t="s">
        <v>92</v>
      </c>
      <c r="G413" s="9" t="s">
        <v>91</v>
      </c>
      <c r="H413" s="9"/>
      <c r="I413" s="9"/>
      <c r="J413" s="469">
        <f>J414</f>
        <v>15</v>
      </c>
      <c r="K413" s="469"/>
      <c r="L413" s="469">
        <v>3</v>
      </c>
      <c r="M413" s="469">
        <v>3</v>
      </c>
      <c r="N413" s="813">
        <f>N414</f>
        <v>100</v>
      </c>
      <c r="O413" s="475">
        <f>O414</f>
        <v>35</v>
      </c>
      <c r="P413" s="469">
        <f>P414</f>
        <v>35</v>
      </c>
    </row>
    <row r="414" spans="1:24" ht="13" x14ac:dyDescent="0.25">
      <c r="A414" s="32"/>
      <c r="B414" s="52" t="s">
        <v>93</v>
      </c>
      <c r="C414" s="34"/>
      <c r="D414" s="9"/>
      <c r="E414" s="9"/>
      <c r="F414" s="9" t="s">
        <v>92</v>
      </c>
      <c r="G414" s="9" t="s">
        <v>91</v>
      </c>
      <c r="H414" s="9" t="s">
        <v>456</v>
      </c>
      <c r="I414" s="9" t="s">
        <v>573</v>
      </c>
      <c r="J414" s="469">
        <f>13+2</f>
        <v>15</v>
      </c>
      <c r="K414" s="469"/>
      <c r="L414" s="469">
        <v>3</v>
      </c>
      <c r="M414" s="469">
        <v>3</v>
      </c>
      <c r="N414" s="813">
        <v>100</v>
      </c>
      <c r="O414" s="475">
        <v>35</v>
      </c>
      <c r="P414" s="469">
        <v>35</v>
      </c>
    </row>
    <row r="415" spans="1:24" s="83" customFormat="1" ht="39" x14ac:dyDescent="0.3">
      <c r="A415" s="91">
        <v>12</v>
      </c>
      <c r="B415" s="52" t="s">
        <v>25</v>
      </c>
      <c r="C415" s="9"/>
      <c r="D415" s="94" t="s">
        <v>69</v>
      </c>
      <c r="E415" s="34" t="s">
        <v>66</v>
      </c>
      <c r="F415" s="94" t="s">
        <v>89</v>
      </c>
      <c r="G415" s="94"/>
      <c r="H415" s="94"/>
      <c r="I415" s="34"/>
      <c r="J415" s="478">
        <f>J427+J439+J442+J454+J458+J480+J483+J494+J422+J466+J436+J424+J471+J474+J416+J432+J433+J510</f>
        <v>32462.342000000001</v>
      </c>
      <c r="K415" s="467"/>
      <c r="L415" s="470">
        <f>L427+L439+L442+L454+L458+L480+L483+L513+L422+L466</f>
        <v>13168.182999999999</v>
      </c>
      <c r="M415" s="470">
        <f>M427+M439+M442+M454+M458+M480+M483+M513+M422+M466</f>
        <v>13168.182999999999</v>
      </c>
      <c r="N415" s="829">
        <f>N423+N429+N453+N456+N465+N467+N470+N482+N496+N498+N512+N447+N450+N493+N479+N507+N513+N438+N504+N499</f>
        <v>14553.904999999999</v>
      </c>
      <c r="O415" s="798">
        <f>O423+O429+O456+O465+O467+O470+O482+O496+O498+O512</f>
        <v>4416.915</v>
      </c>
      <c r="P415" s="478">
        <f>P423+P429+P456+P465+P467+P470+P482+P496+P498+P512</f>
        <v>4792.1499999999996</v>
      </c>
      <c r="Q415" s="84"/>
      <c r="R415" s="84"/>
      <c r="S415" s="84"/>
      <c r="T415" s="84"/>
      <c r="U415" s="84"/>
      <c r="V415" s="84"/>
      <c r="W415" s="84"/>
      <c r="X415" s="84"/>
    </row>
    <row r="416" spans="1:24" s="83" customFormat="1" ht="26" hidden="1" x14ac:dyDescent="0.3">
      <c r="A416" s="91"/>
      <c r="B416" s="95" t="s">
        <v>88</v>
      </c>
      <c r="C416" s="9"/>
      <c r="D416" s="94"/>
      <c r="E416" s="34"/>
      <c r="F416" s="34" t="s">
        <v>86</v>
      </c>
      <c r="G416" s="94"/>
      <c r="H416" s="94"/>
      <c r="I416" s="34"/>
      <c r="J416" s="466"/>
      <c r="K416" s="467"/>
      <c r="L416" s="470"/>
      <c r="M416" s="470"/>
      <c r="N416" s="819"/>
      <c r="O416" s="788"/>
      <c r="P416" s="466"/>
      <c r="Q416" s="84"/>
      <c r="R416" s="84"/>
      <c r="S416" s="84"/>
      <c r="T416" s="84"/>
      <c r="U416" s="84"/>
      <c r="V416" s="84"/>
      <c r="W416" s="84"/>
      <c r="X416" s="84"/>
    </row>
    <row r="417" spans="1:24" s="83" customFormat="1" ht="26" hidden="1" x14ac:dyDescent="0.3">
      <c r="A417" s="91"/>
      <c r="B417" s="15" t="s">
        <v>4</v>
      </c>
      <c r="C417" s="9"/>
      <c r="D417" s="94"/>
      <c r="E417" s="34"/>
      <c r="F417" s="9" t="s">
        <v>86</v>
      </c>
      <c r="G417" s="9" t="s">
        <v>1</v>
      </c>
      <c r="H417" s="9"/>
      <c r="I417" s="34"/>
      <c r="J417" s="466"/>
      <c r="K417" s="467"/>
      <c r="L417" s="470"/>
      <c r="M417" s="470"/>
      <c r="N417" s="819"/>
      <c r="O417" s="788"/>
      <c r="P417" s="466"/>
      <c r="Q417" s="84"/>
      <c r="R417" s="84"/>
      <c r="S417" s="84"/>
      <c r="T417" s="84"/>
      <c r="U417" s="84"/>
      <c r="V417" s="84"/>
      <c r="W417" s="84"/>
      <c r="X417" s="84"/>
    </row>
    <row r="418" spans="1:24" s="83" customFormat="1" ht="13" hidden="1" x14ac:dyDescent="0.3">
      <c r="A418" s="91"/>
      <c r="B418" s="49" t="s">
        <v>87</v>
      </c>
      <c r="C418" s="9"/>
      <c r="D418" s="94"/>
      <c r="E418" s="34"/>
      <c r="F418" s="9" t="s">
        <v>86</v>
      </c>
      <c r="G418" s="9" t="s">
        <v>1</v>
      </c>
      <c r="H418" s="9"/>
      <c r="I418" s="33" t="s">
        <v>85</v>
      </c>
      <c r="J418" s="466"/>
      <c r="K418" s="467"/>
      <c r="L418" s="470"/>
      <c r="M418" s="470"/>
      <c r="N418" s="819"/>
      <c r="O418" s="788"/>
      <c r="P418" s="466"/>
      <c r="Q418" s="84"/>
      <c r="R418" s="84"/>
      <c r="S418" s="84"/>
      <c r="T418" s="84"/>
      <c r="U418" s="84"/>
      <c r="V418" s="84"/>
      <c r="W418" s="84"/>
      <c r="X418" s="84"/>
    </row>
    <row r="419" spans="1:24" s="83" customFormat="1" ht="13" x14ac:dyDescent="0.3">
      <c r="A419" s="91"/>
      <c r="B419" s="49" t="s">
        <v>83</v>
      </c>
      <c r="C419" s="9"/>
      <c r="D419" s="94"/>
      <c r="E419" s="34"/>
      <c r="F419" s="88" t="s">
        <v>84</v>
      </c>
      <c r="G419" s="9"/>
      <c r="H419" s="9"/>
      <c r="I419" s="33"/>
      <c r="J419" s="466">
        <f>J420</f>
        <v>32462.342000000001</v>
      </c>
      <c r="K419" s="467"/>
      <c r="L419" s="470"/>
      <c r="M419" s="470"/>
      <c r="N419" s="819">
        <f>N420</f>
        <v>14553.904999999999</v>
      </c>
      <c r="O419" s="788">
        <f>O420</f>
        <v>4416.915</v>
      </c>
      <c r="P419" s="466">
        <f>P420</f>
        <v>4792.1499999999996</v>
      </c>
      <c r="Q419" s="84"/>
      <c r="R419" s="84"/>
      <c r="S419" s="84"/>
      <c r="T419" s="84"/>
      <c r="U419" s="84"/>
      <c r="V419" s="84"/>
      <c r="W419" s="84"/>
      <c r="X419" s="84"/>
    </row>
    <row r="420" spans="1:24" s="83" customFormat="1" ht="13" x14ac:dyDescent="0.3">
      <c r="A420" s="91"/>
      <c r="B420" s="49" t="s">
        <v>83</v>
      </c>
      <c r="C420" s="9"/>
      <c r="D420" s="94"/>
      <c r="E420" s="34"/>
      <c r="F420" s="88" t="s">
        <v>82</v>
      </c>
      <c r="G420" s="9"/>
      <c r="H420" s="9"/>
      <c r="I420" s="33"/>
      <c r="J420" s="466">
        <f>J415</f>
        <v>32462.342000000001</v>
      </c>
      <c r="K420" s="467"/>
      <c r="L420" s="470"/>
      <c r="M420" s="470"/>
      <c r="N420" s="819">
        <f>N415</f>
        <v>14553.904999999999</v>
      </c>
      <c r="O420" s="788">
        <f>O415</f>
        <v>4416.915</v>
      </c>
      <c r="P420" s="466">
        <f>P415</f>
        <v>4792.1499999999996</v>
      </c>
      <c r="Q420" s="84"/>
      <c r="R420" s="84"/>
      <c r="S420" s="84"/>
      <c r="T420" s="84"/>
      <c r="U420" s="84"/>
      <c r="V420" s="84"/>
      <c r="W420" s="84"/>
      <c r="X420" s="84"/>
    </row>
    <row r="421" spans="1:24" s="83" customFormat="1" ht="13" x14ac:dyDescent="0.3">
      <c r="A421" s="91"/>
      <c r="B421" s="512" t="s">
        <v>81</v>
      </c>
      <c r="C421" s="9"/>
      <c r="D421" s="94"/>
      <c r="E421" s="34"/>
      <c r="F421" s="79" t="s">
        <v>78</v>
      </c>
      <c r="G421" s="9"/>
      <c r="H421" s="9"/>
      <c r="I421" s="33"/>
      <c r="J421" s="466">
        <f>J422</f>
        <v>48</v>
      </c>
      <c r="K421" s="467"/>
      <c r="L421" s="470"/>
      <c r="M421" s="470"/>
      <c r="N421" s="812">
        <f t="shared" ref="N421:P422" si="45">N422</f>
        <v>799.18499999999995</v>
      </c>
      <c r="O421" s="784">
        <f t="shared" si="45"/>
        <v>531.38</v>
      </c>
      <c r="P421" s="465">
        <f t="shared" si="45"/>
        <v>584.51300000000003</v>
      </c>
      <c r="Q421" s="84"/>
      <c r="R421" s="84"/>
      <c r="S421" s="84"/>
      <c r="T421" s="84"/>
      <c r="U421" s="84"/>
      <c r="V421" s="84"/>
      <c r="W421" s="84"/>
      <c r="X421" s="84"/>
    </row>
    <row r="422" spans="1:24" s="83" customFormat="1" ht="23.5" customHeight="1" x14ac:dyDescent="0.3">
      <c r="A422" s="91"/>
      <c r="B422" s="82" t="s">
        <v>80</v>
      </c>
      <c r="C422" s="89"/>
      <c r="D422" s="9" t="s">
        <v>44</v>
      </c>
      <c r="E422" s="9" t="s">
        <v>76</v>
      </c>
      <c r="F422" s="77" t="s">
        <v>78</v>
      </c>
      <c r="G422" s="33" t="s">
        <v>77</v>
      </c>
      <c r="H422" s="33"/>
      <c r="I422" s="89"/>
      <c r="J422" s="469">
        <f>J423</f>
        <v>48</v>
      </c>
      <c r="K422" s="469">
        <f>K423</f>
        <v>240.5</v>
      </c>
      <c r="L422" s="469">
        <f>L423</f>
        <v>240.5</v>
      </c>
      <c r="M422" s="469">
        <f>M423</f>
        <v>240.5</v>
      </c>
      <c r="N422" s="813">
        <f t="shared" si="45"/>
        <v>799.18499999999995</v>
      </c>
      <c r="O422" s="475">
        <f t="shared" si="45"/>
        <v>531.38</v>
      </c>
      <c r="P422" s="469">
        <f t="shared" si="45"/>
        <v>584.51300000000003</v>
      </c>
      <c r="Q422" s="84"/>
      <c r="R422" s="84"/>
      <c r="S422" s="84"/>
      <c r="T422" s="84"/>
      <c r="U422" s="84"/>
      <c r="V422" s="84"/>
      <c r="W422" s="84"/>
      <c r="X422" s="84"/>
    </row>
    <row r="423" spans="1:24" s="83" customFormat="1" ht="13" x14ac:dyDescent="0.3">
      <c r="A423" s="91"/>
      <c r="B423" s="90" t="s">
        <v>79</v>
      </c>
      <c r="C423" s="89"/>
      <c r="D423" s="9" t="s">
        <v>44</v>
      </c>
      <c r="E423" s="9" t="s">
        <v>76</v>
      </c>
      <c r="F423" s="77" t="s">
        <v>78</v>
      </c>
      <c r="G423" s="33" t="s">
        <v>77</v>
      </c>
      <c r="H423" s="33" t="s">
        <v>496</v>
      </c>
      <c r="I423" s="33" t="s">
        <v>456</v>
      </c>
      <c r="J423" s="469">
        <v>48</v>
      </c>
      <c r="K423" s="469">
        <v>240.5</v>
      </c>
      <c r="L423" s="469">
        <v>240.5</v>
      </c>
      <c r="M423" s="469">
        <v>240.5</v>
      </c>
      <c r="N423" s="818">
        <v>799.18499999999995</v>
      </c>
      <c r="O423" s="475">
        <v>531.38</v>
      </c>
      <c r="P423" s="469">
        <v>584.51300000000003</v>
      </c>
      <c r="Q423" s="84"/>
      <c r="R423" s="84"/>
      <c r="S423" s="84"/>
      <c r="T423" s="84"/>
      <c r="U423" s="84"/>
      <c r="V423" s="84"/>
      <c r="W423" s="84"/>
      <c r="X423" s="84"/>
    </row>
    <row r="424" spans="1:24" s="83" customFormat="1" ht="39" hidden="1" x14ac:dyDescent="0.3">
      <c r="A424" s="91"/>
      <c r="B424" s="49" t="s">
        <v>75</v>
      </c>
      <c r="C424" s="9"/>
      <c r="D424" s="9" t="s">
        <v>15</v>
      </c>
      <c r="E424" s="9" t="s">
        <v>13</v>
      </c>
      <c r="F424" s="34" t="s">
        <v>73</v>
      </c>
      <c r="G424" s="33"/>
      <c r="H424" s="33"/>
      <c r="I424" s="33"/>
      <c r="J424" s="47"/>
      <c r="K424" s="469"/>
      <c r="L424" s="469"/>
      <c r="M424" s="469"/>
      <c r="N424" s="46"/>
      <c r="O424" s="791"/>
      <c r="P424" s="47"/>
      <c r="Q424" s="84"/>
      <c r="R424" s="84"/>
      <c r="S424" s="84"/>
      <c r="T424" s="84"/>
      <c r="U424" s="84"/>
      <c r="V424" s="84"/>
      <c r="W424" s="84"/>
      <c r="X424" s="84"/>
    </row>
    <row r="425" spans="1:24" s="83" customFormat="1" ht="13" hidden="1" x14ac:dyDescent="0.3">
      <c r="A425" s="91"/>
      <c r="B425" s="58" t="s">
        <v>28</v>
      </c>
      <c r="C425" s="9"/>
      <c r="D425" s="9"/>
      <c r="E425" s="9"/>
      <c r="F425" s="9" t="s">
        <v>73</v>
      </c>
      <c r="G425" s="9" t="s">
        <v>74</v>
      </c>
      <c r="H425" s="9"/>
      <c r="I425" s="33"/>
      <c r="J425" s="47"/>
      <c r="K425" s="469"/>
      <c r="L425" s="469"/>
      <c r="M425" s="469"/>
      <c r="N425" s="46"/>
      <c r="O425" s="791"/>
      <c r="P425" s="47"/>
      <c r="Q425" s="84"/>
      <c r="R425" s="84"/>
      <c r="S425" s="84"/>
      <c r="T425" s="84"/>
      <c r="U425" s="84"/>
      <c r="V425" s="84"/>
      <c r="W425" s="84"/>
      <c r="X425" s="84"/>
    </row>
    <row r="426" spans="1:24" s="83" customFormat="1" ht="13" hidden="1" x14ac:dyDescent="0.3">
      <c r="A426" s="91"/>
      <c r="B426" s="49" t="s">
        <v>39</v>
      </c>
      <c r="C426" s="9"/>
      <c r="D426" s="9"/>
      <c r="E426" s="9"/>
      <c r="F426" s="9" t="s">
        <v>73</v>
      </c>
      <c r="G426" s="9" t="s">
        <v>26</v>
      </c>
      <c r="H426" s="9"/>
      <c r="I426" s="9" t="s">
        <v>13</v>
      </c>
      <c r="J426" s="47"/>
      <c r="K426" s="469"/>
      <c r="L426" s="469"/>
      <c r="M426" s="469"/>
      <c r="N426" s="46"/>
      <c r="O426" s="791"/>
      <c r="P426" s="47"/>
      <c r="Q426" s="84"/>
      <c r="R426" s="84"/>
      <c r="S426" s="84"/>
      <c r="T426" s="84"/>
      <c r="U426" s="84"/>
      <c r="V426" s="84"/>
      <c r="W426" s="84"/>
      <c r="X426" s="84"/>
    </row>
    <row r="427" spans="1:24" ht="30" customHeight="1" x14ac:dyDescent="0.25">
      <c r="A427" s="32"/>
      <c r="B427" s="49" t="s">
        <v>72</v>
      </c>
      <c r="C427" s="9"/>
      <c r="D427" s="88" t="s">
        <v>69</v>
      </c>
      <c r="E427" s="9" t="s">
        <v>66</v>
      </c>
      <c r="F427" s="34" t="s">
        <v>67</v>
      </c>
      <c r="G427" s="88" t="s">
        <v>71</v>
      </c>
      <c r="H427" s="88"/>
      <c r="I427" s="9"/>
      <c r="J427" s="467">
        <f>J428</f>
        <v>2173</v>
      </c>
      <c r="K427" s="467"/>
      <c r="L427" s="467">
        <f>L428</f>
        <v>2000</v>
      </c>
      <c r="M427" s="467">
        <f>M428</f>
        <v>2000</v>
      </c>
      <c r="N427" s="824">
        <f>N428</f>
        <v>3078</v>
      </c>
      <c r="O427" s="792">
        <f>O428</f>
        <v>2500.6</v>
      </c>
      <c r="P427" s="470">
        <f>P428</f>
        <v>2701.74</v>
      </c>
    </row>
    <row r="428" spans="1:24" ht="13" x14ac:dyDescent="0.3">
      <c r="A428" s="32"/>
      <c r="B428" s="16" t="s">
        <v>70</v>
      </c>
      <c r="C428" s="9"/>
      <c r="D428" s="88" t="s">
        <v>69</v>
      </c>
      <c r="E428" s="9" t="s">
        <v>66</v>
      </c>
      <c r="F428" s="9" t="s">
        <v>67</v>
      </c>
      <c r="G428" s="88">
        <v>870</v>
      </c>
      <c r="H428" s="88"/>
      <c r="I428" s="9"/>
      <c r="J428" s="467">
        <f>J429</f>
        <v>2173</v>
      </c>
      <c r="K428" s="467"/>
      <c r="L428" s="467">
        <v>2000</v>
      </c>
      <c r="M428" s="467">
        <v>2000</v>
      </c>
      <c r="N428" s="811">
        <f>N429</f>
        <v>3078</v>
      </c>
      <c r="O428" s="783">
        <f>O429</f>
        <v>2500.6</v>
      </c>
      <c r="P428" s="467">
        <f>P429</f>
        <v>2701.74</v>
      </c>
    </row>
    <row r="429" spans="1:24" ht="13" x14ac:dyDescent="0.3">
      <c r="A429" s="32"/>
      <c r="B429" s="86" t="s">
        <v>68</v>
      </c>
      <c r="C429" s="9"/>
      <c r="D429" s="88"/>
      <c r="E429" s="9"/>
      <c r="F429" s="9" t="s">
        <v>67</v>
      </c>
      <c r="G429" s="88">
        <v>870</v>
      </c>
      <c r="H429" s="9" t="s">
        <v>456</v>
      </c>
      <c r="I429" s="9" t="s">
        <v>464</v>
      </c>
      <c r="J429" s="467">
        <f>2175-2</f>
        <v>2173</v>
      </c>
      <c r="K429" s="467"/>
      <c r="L429" s="467">
        <v>2000</v>
      </c>
      <c r="M429" s="467">
        <v>2000</v>
      </c>
      <c r="N429" s="811">
        <v>3078</v>
      </c>
      <c r="O429" s="783">
        <v>2500.6</v>
      </c>
      <c r="P429" s="467">
        <v>2701.74</v>
      </c>
    </row>
    <row r="430" spans="1:24" ht="39" hidden="1" x14ac:dyDescent="0.25">
      <c r="A430" s="32"/>
      <c r="B430" s="15" t="s">
        <v>65</v>
      </c>
      <c r="C430" s="9"/>
      <c r="D430" s="88"/>
      <c r="E430" s="9"/>
      <c r="F430" s="34" t="s">
        <v>63</v>
      </c>
      <c r="G430" s="88"/>
      <c r="H430" s="88"/>
      <c r="I430" s="9"/>
      <c r="J430" s="467"/>
      <c r="K430" s="467"/>
      <c r="L430" s="467"/>
      <c r="M430" s="513"/>
      <c r="N430" s="811"/>
      <c r="O430" s="783"/>
      <c r="P430" s="467"/>
    </row>
    <row r="431" spans="1:24" ht="26" hidden="1" x14ac:dyDescent="0.25">
      <c r="A431" s="32"/>
      <c r="B431" s="15" t="s">
        <v>4</v>
      </c>
      <c r="C431" s="9"/>
      <c r="D431" s="88"/>
      <c r="E431" s="9"/>
      <c r="F431" s="9" t="s">
        <v>63</v>
      </c>
      <c r="G431" s="9" t="s">
        <v>1</v>
      </c>
      <c r="H431" s="9"/>
      <c r="I431" s="9"/>
      <c r="J431" s="467"/>
      <c r="K431" s="467"/>
      <c r="L431" s="467"/>
      <c r="M431" s="513"/>
      <c r="N431" s="811"/>
      <c r="O431" s="783"/>
      <c r="P431" s="467"/>
    </row>
    <row r="432" spans="1:24" ht="13" hidden="1" x14ac:dyDescent="0.25">
      <c r="A432" s="32"/>
      <c r="B432" s="49" t="s">
        <v>64</v>
      </c>
      <c r="C432" s="9"/>
      <c r="D432" s="88"/>
      <c r="E432" s="9"/>
      <c r="F432" s="9" t="s">
        <v>63</v>
      </c>
      <c r="G432" s="9" t="s">
        <v>1</v>
      </c>
      <c r="H432" s="9"/>
      <c r="I432" s="9" t="s">
        <v>62</v>
      </c>
      <c r="J432" s="467"/>
      <c r="K432" s="467"/>
      <c r="L432" s="467"/>
      <c r="M432" s="513"/>
      <c r="N432" s="811"/>
      <c r="O432" s="783"/>
      <c r="P432" s="467"/>
    </row>
    <row r="433" spans="1:24" ht="26" hidden="1" x14ac:dyDescent="0.25">
      <c r="A433" s="32"/>
      <c r="B433" s="58" t="s">
        <v>29</v>
      </c>
      <c r="C433" s="9"/>
      <c r="D433" s="9" t="s">
        <v>15</v>
      </c>
      <c r="E433" s="9" t="s">
        <v>9</v>
      </c>
      <c r="F433" s="34" t="s">
        <v>27</v>
      </c>
      <c r="G433" s="48"/>
      <c r="H433" s="48"/>
      <c r="I433" s="9"/>
      <c r="J433" s="57">
        <f>J435</f>
        <v>0</v>
      </c>
      <c r="K433" s="467"/>
      <c r="L433" s="467"/>
      <c r="M433" s="513"/>
      <c r="N433" s="56">
        <f>N435</f>
        <v>0</v>
      </c>
      <c r="O433" s="57">
        <f>O435</f>
        <v>0</v>
      </c>
      <c r="P433" s="57">
        <f>P435</f>
        <v>0</v>
      </c>
    </row>
    <row r="434" spans="1:24" ht="13" hidden="1" x14ac:dyDescent="0.25">
      <c r="A434" s="32"/>
      <c r="B434" s="55" t="s">
        <v>28</v>
      </c>
      <c r="C434" s="9"/>
      <c r="D434" s="9"/>
      <c r="E434" s="9"/>
      <c r="F434" s="9" t="s">
        <v>27</v>
      </c>
      <c r="G434" s="9" t="s">
        <v>26</v>
      </c>
      <c r="H434" s="9"/>
      <c r="I434" s="9"/>
      <c r="J434" s="467"/>
      <c r="K434" s="467"/>
      <c r="L434" s="467"/>
      <c r="M434" s="513"/>
      <c r="N434" s="811"/>
      <c r="O434" s="783"/>
      <c r="P434" s="467"/>
    </row>
    <row r="435" spans="1:24" ht="13" hidden="1" x14ac:dyDescent="0.3">
      <c r="A435" s="32"/>
      <c r="B435" s="16" t="s">
        <v>11</v>
      </c>
      <c r="C435" s="9"/>
      <c r="D435" s="9" t="s">
        <v>15</v>
      </c>
      <c r="E435" s="9" t="s">
        <v>9</v>
      </c>
      <c r="F435" s="9" t="s">
        <v>27</v>
      </c>
      <c r="G435" s="9" t="s">
        <v>26</v>
      </c>
      <c r="H435" s="9"/>
      <c r="I435" s="9" t="s">
        <v>9</v>
      </c>
      <c r="J435" s="467"/>
      <c r="K435" s="467"/>
      <c r="L435" s="467"/>
      <c r="M435" s="513"/>
      <c r="N435" s="811"/>
      <c r="O435" s="783"/>
      <c r="P435" s="467"/>
    </row>
    <row r="436" spans="1:24" ht="26" hidden="1" x14ac:dyDescent="0.25">
      <c r="A436" s="32"/>
      <c r="B436" s="940" t="s">
        <v>863</v>
      </c>
      <c r="C436" s="9"/>
      <c r="D436" s="88"/>
      <c r="E436" s="9"/>
      <c r="F436" s="34" t="s">
        <v>862</v>
      </c>
      <c r="G436" s="88"/>
      <c r="H436" s="88"/>
      <c r="I436" s="9"/>
      <c r="J436" s="467"/>
      <c r="K436" s="467"/>
      <c r="L436" s="467"/>
      <c r="M436" s="513"/>
      <c r="N436" s="824"/>
      <c r="O436" s="783"/>
      <c r="P436" s="467"/>
    </row>
    <row r="437" spans="1:24" ht="26" hidden="1" x14ac:dyDescent="0.3">
      <c r="A437" s="32"/>
      <c r="B437" s="15" t="s">
        <v>4</v>
      </c>
      <c r="C437" s="89"/>
      <c r="D437" s="9" t="s">
        <v>52</v>
      </c>
      <c r="E437" s="9" t="s">
        <v>58</v>
      </c>
      <c r="F437" s="9" t="s">
        <v>862</v>
      </c>
      <c r="G437" s="88">
        <v>240</v>
      </c>
      <c r="H437" s="88"/>
      <c r="I437" s="469"/>
      <c r="J437" s="467"/>
      <c r="K437" s="469"/>
      <c r="L437" s="469"/>
      <c r="M437" s="84"/>
      <c r="N437" s="811"/>
      <c r="O437" s="783"/>
      <c r="P437" s="467"/>
      <c r="Q437" s="513"/>
    </row>
    <row r="438" spans="1:24" ht="13" hidden="1" x14ac:dyDescent="0.3">
      <c r="A438" s="32"/>
      <c r="B438" s="90" t="s">
        <v>60</v>
      </c>
      <c r="C438" s="89"/>
      <c r="D438" s="9"/>
      <c r="E438" s="9"/>
      <c r="F438" s="9" t="s">
        <v>862</v>
      </c>
      <c r="G438" s="88">
        <v>240</v>
      </c>
      <c r="H438" s="9" t="s">
        <v>452</v>
      </c>
      <c r="I438" s="9" t="s">
        <v>539</v>
      </c>
      <c r="J438" s="467"/>
      <c r="K438" s="469"/>
      <c r="L438" s="469"/>
      <c r="M438" s="84"/>
      <c r="N438" s="811"/>
      <c r="O438" s="783"/>
      <c r="P438" s="467"/>
      <c r="Q438" s="513"/>
    </row>
    <row r="439" spans="1:24" s="83" customFormat="1" ht="13" hidden="1" x14ac:dyDescent="0.3">
      <c r="A439" s="85"/>
      <c r="B439" s="49" t="s">
        <v>57</v>
      </c>
      <c r="C439" s="9"/>
      <c r="D439" s="9" t="s">
        <v>52</v>
      </c>
      <c r="E439" s="9" t="s">
        <v>49</v>
      </c>
      <c r="F439" s="34" t="s">
        <v>56</v>
      </c>
      <c r="G439" s="34"/>
      <c r="H439" s="34"/>
      <c r="I439" s="9"/>
      <c r="J439" s="471">
        <f>J440</f>
        <v>0</v>
      </c>
      <c r="K439" s="471"/>
      <c r="L439" s="471">
        <f>L440</f>
        <v>0</v>
      </c>
      <c r="M439" s="471">
        <f>M440</f>
        <v>0</v>
      </c>
      <c r="N439" s="814">
        <f>N440</f>
        <v>0</v>
      </c>
      <c r="O439" s="746">
        <f>O440</f>
        <v>0</v>
      </c>
      <c r="P439" s="471">
        <f>P440</f>
        <v>0</v>
      </c>
      <c r="Q439" s="84"/>
      <c r="R439" s="84"/>
      <c r="S439" s="84"/>
      <c r="T439" s="84"/>
      <c r="U439" s="84"/>
      <c r="V439" s="84"/>
      <c r="W439" s="84"/>
      <c r="X439" s="84"/>
    </row>
    <row r="440" spans="1:24" s="83" customFormat="1" ht="26" hidden="1" x14ac:dyDescent="0.3">
      <c r="A440" s="85"/>
      <c r="B440" s="15" t="s">
        <v>4</v>
      </c>
      <c r="C440" s="9"/>
      <c r="D440" s="9" t="s">
        <v>52</v>
      </c>
      <c r="E440" s="9" t="s">
        <v>49</v>
      </c>
      <c r="F440" s="9" t="s">
        <v>56</v>
      </c>
      <c r="G440" s="9" t="s">
        <v>1</v>
      </c>
      <c r="H440" s="9"/>
      <c r="I440" s="9"/>
      <c r="J440" s="469">
        <f>J441</f>
        <v>0</v>
      </c>
      <c r="K440" s="469"/>
      <c r="L440" s="469"/>
      <c r="M440" s="469"/>
      <c r="N440" s="813">
        <f>N441</f>
        <v>0</v>
      </c>
      <c r="O440" s="475">
        <f>O441</f>
        <v>0</v>
      </c>
      <c r="P440" s="469">
        <f>P441</f>
        <v>0</v>
      </c>
      <c r="Q440" s="84"/>
      <c r="R440" s="84"/>
      <c r="S440" s="84"/>
      <c r="T440" s="84"/>
      <c r="U440" s="84"/>
      <c r="V440" s="84"/>
      <c r="W440" s="84"/>
      <c r="X440" s="84"/>
    </row>
    <row r="441" spans="1:24" s="83" customFormat="1" ht="13" hidden="1" x14ac:dyDescent="0.3">
      <c r="A441" s="85"/>
      <c r="B441" s="86" t="s">
        <v>51</v>
      </c>
      <c r="C441" s="9"/>
      <c r="D441" s="9"/>
      <c r="E441" s="9"/>
      <c r="F441" s="9" t="s">
        <v>56</v>
      </c>
      <c r="G441" s="9" t="s">
        <v>1</v>
      </c>
      <c r="H441" s="9"/>
      <c r="I441" s="9" t="s">
        <v>49</v>
      </c>
      <c r="J441" s="469"/>
      <c r="K441" s="469"/>
      <c r="L441" s="469"/>
      <c r="M441" s="469"/>
      <c r="N441" s="813"/>
      <c r="O441" s="475"/>
      <c r="P441" s="469"/>
      <c r="Q441" s="84"/>
      <c r="R441" s="84"/>
      <c r="S441" s="84"/>
      <c r="T441" s="84"/>
      <c r="U441" s="84"/>
      <c r="V441" s="84"/>
      <c r="W441" s="84"/>
      <c r="X441" s="84"/>
    </row>
    <row r="442" spans="1:24" s="83" customFormat="1" ht="13" hidden="1" x14ac:dyDescent="0.3">
      <c r="A442" s="85"/>
      <c r="B442" s="49" t="s">
        <v>55</v>
      </c>
      <c r="C442" s="9"/>
      <c r="D442" s="9" t="s">
        <v>52</v>
      </c>
      <c r="E442" s="9" t="s">
        <v>49</v>
      </c>
      <c r="F442" s="34" t="s">
        <v>54</v>
      </c>
      <c r="G442" s="9"/>
      <c r="H442" s="9"/>
      <c r="I442" s="9"/>
      <c r="J442" s="471">
        <f>J443</f>
        <v>94.8</v>
      </c>
      <c r="K442" s="471"/>
      <c r="L442" s="471">
        <f>L443</f>
        <v>64.8</v>
      </c>
      <c r="M442" s="471">
        <f>M443</f>
        <v>64.8</v>
      </c>
      <c r="N442" s="814">
        <f>N443</f>
        <v>0</v>
      </c>
      <c r="O442" s="746">
        <f>O443</f>
        <v>0</v>
      </c>
      <c r="P442" s="471">
        <f>P443</f>
        <v>0</v>
      </c>
      <c r="Q442" s="84"/>
      <c r="R442" s="84"/>
      <c r="S442" s="84"/>
      <c r="T442" s="84"/>
      <c r="U442" s="84"/>
      <c r="V442" s="84"/>
      <c r="W442" s="84"/>
      <c r="X442" s="84"/>
    </row>
    <row r="443" spans="1:24" s="83" customFormat="1" ht="26" hidden="1" x14ac:dyDescent="0.3">
      <c r="A443" s="85"/>
      <c r="B443" s="15" t="s">
        <v>4</v>
      </c>
      <c r="C443" s="9"/>
      <c r="D443" s="9" t="s">
        <v>52</v>
      </c>
      <c r="E443" s="9" t="s">
        <v>49</v>
      </c>
      <c r="F443" s="9" t="s">
        <v>54</v>
      </c>
      <c r="G443" s="9" t="s">
        <v>1</v>
      </c>
      <c r="H443" s="9"/>
      <c r="I443" s="9"/>
      <c r="J443" s="469">
        <f>J444</f>
        <v>94.8</v>
      </c>
      <c r="K443" s="469"/>
      <c r="L443" s="469">
        <v>64.8</v>
      </c>
      <c r="M443" s="469">
        <v>64.8</v>
      </c>
      <c r="N443" s="813">
        <f>N444</f>
        <v>0</v>
      </c>
      <c r="O443" s="475">
        <f>O444</f>
        <v>0</v>
      </c>
      <c r="P443" s="469">
        <f>P444</f>
        <v>0</v>
      </c>
      <c r="Q443" s="84"/>
      <c r="R443" s="84"/>
      <c r="S443" s="84"/>
      <c r="T443" s="84"/>
      <c r="U443" s="84"/>
      <c r="V443" s="84"/>
      <c r="W443" s="84"/>
      <c r="X443" s="84"/>
    </row>
    <row r="444" spans="1:24" s="83" customFormat="1" ht="13" hidden="1" x14ac:dyDescent="0.3">
      <c r="A444" s="85"/>
      <c r="B444" s="86" t="s">
        <v>51</v>
      </c>
      <c r="C444" s="9"/>
      <c r="D444" s="9"/>
      <c r="E444" s="9"/>
      <c r="F444" s="9" t="s">
        <v>54</v>
      </c>
      <c r="G444" s="9" t="s">
        <v>1</v>
      </c>
      <c r="H444" s="9"/>
      <c r="I444" s="9" t="s">
        <v>49</v>
      </c>
      <c r="J444" s="469">
        <v>94.8</v>
      </c>
      <c r="K444" s="469"/>
      <c r="L444" s="469">
        <v>64.8</v>
      </c>
      <c r="M444" s="469">
        <v>64.8</v>
      </c>
      <c r="N444" s="813"/>
      <c r="O444" s="475"/>
      <c r="P444" s="469"/>
      <c r="Q444" s="84"/>
      <c r="R444" s="84"/>
      <c r="S444" s="84"/>
      <c r="T444" s="84"/>
      <c r="U444" s="84"/>
      <c r="V444" s="84"/>
      <c r="W444" s="84"/>
      <c r="X444" s="84"/>
    </row>
    <row r="445" spans="1:24" s="83" customFormat="1" ht="13" x14ac:dyDescent="0.3">
      <c r="A445" s="85"/>
      <c r="B445" s="49" t="s">
        <v>57</v>
      </c>
      <c r="C445" s="9"/>
      <c r="D445" s="9"/>
      <c r="E445" s="9"/>
      <c r="F445" s="89" t="s">
        <v>536</v>
      </c>
      <c r="G445" s="9"/>
      <c r="H445" s="9"/>
      <c r="I445" s="535"/>
      <c r="J445" s="536"/>
      <c r="K445" s="511"/>
      <c r="L445" s="511"/>
      <c r="M445" s="511"/>
      <c r="N445" s="814">
        <f>N446</f>
        <v>2000</v>
      </c>
      <c r="O445" s="511"/>
      <c r="P445" s="511"/>
      <c r="Q445" s="84"/>
      <c r="R445" s="84"/>
      <c r="S445" s="84"/>
      <c r="T445" s="84"/>
      <c r="U445" s="84"/>
      <c r="V445" s="84"/>
      <c r="W445" s="84"/>
      <c r="X445" s="84"/>
    </row>
    <row r="446" spans="1:24" s="83" customFormat="1" ht="13" x14ac:dyDescent="0.3">
      <c r="A446" s="85"/>
      <c r="B446" s="16" t="s">
        <v>16</v>
      </c>
      <c r="C446" s="9"/>
      <c r="D446" s="9"/>
      <c r="E446" s="9"/>
      <c r="F446" s="33" t="s">
        <v>536</v>
      </c>
      <c r="G446" s="9" t="s">
        <v>1</v>
      </c>
      <c r="H446" s="9"/>
      <c r="I446" s="535"/>
      <c r="J446" s="536"/>
      <c r="K446" s="511"/>
      <c r="L446" s="511"/>
      <c r="M446" s="511"/>
      <c r="N446" s="813">
        <f>N447</f>
        <v>2000</v>
      </c>
      <c r="O446" s="511"/>
      <c r="P446" s="511"/>
      <c r="Q446" s="84"/>
      <c r="R446" s="84"/>
      <c r="S446" s="84"/>
      <c r="T446" s="84"/>
      <c r="U446" s="84"/>
      <c r="V446" s="84"/>
      <c r="W446" s="84"/>
      <c r="X446" s="84"/>
    </row>
    <row r="447" spans="1:24" s="83" customFormat="1" ht="13" x14ac:dyDescent="0.3">
      <c r="A447" s="85"/>
      <c r="B447" s="86" t="s">
        <v>51</v>
      </c>
      <c r="C447" s="9"/>
      <c r="D447" s="9"/>
      <c r="E447" s="9"/>
      <c r="F447" s="33" t="s">
        <v>536</v>
      </c>
      <c r="G447" s="9" t="s">
        <v>1</v>
      </c>
      <c r="H447" s="9" t="s">
        <v>452</v>
      </c>
      <c r="I447" s="535" t="s">
        <v>534</v>
      </c>
      <c r="J447" s="536"/>
      <c r="K447" s="511"/>
      <c r="L447" s="511"/>
      <c r="M447" s="511"/>
      <c r="N447" s="813">
        <f>200+500+1000+300</f>
        <v>2000</v>
      </c>
      <c r="O447" s="511"/>
      <c r="P447" s="511"/>
      <c r="Q447" s="1029"/>
      <c r="R447" s="84"/>
      <c r="S447" s="84"/>
      <c r="T447" s="84"/>
      <c r="U447" s="84"/>
      <c r="V447" s="84"/>
      <c r="W447" s="84"/>
      <c r="X447" s="84"/>
    </row>
    <row r="448" spans="1:24" s="83" customFormat="1" ht="13" x14ac:dyDescent="0.3">
      <c r="A448" s="85"/>
      <c r="B448" s="537" t="s">
        <v>535</v>
      </c>
      <c r="C448" s="9"/>
      <c r="D448" s="9"/>
      <c r="E448" s="9"/>
      <c r="F448" s="89" t="s">
        <v>54</v>
      </c>
      <c r="G448" s="9"/>
      <c r="H448" s="9"/>
      <c r="I448" s="535"/>
      <c r="J448" s="536"/>
      <c r="K448" s="511"/>
      <c r="L448" s="511"/>
      <c r="M448" s="511"/>
      <c r="N448" s="814">
        <f>N449</f>
        <v>94.8</v>
      </c>
      <c r="O448" s="511"/>
      <c r="P448" s="511"/>
      <c r="Q448" s="84"/>
      <c r="R448" s="84"/>
      <c r="S448" s="84"/>
      <c r="T448" s="84"/>
      <c r="U448" s="84"/>
      <c r="V448" s="84"/>
      <c r="W448" s="84"/>
      <c r="X448" s="84"/>
    </row>
    <row r="449" spans="1:24" s="83" customFormat="1" ht="13" x14ac:dyDescent="0.3">
      <c r="A449" s="85"/>
      <c r="B449" s="16" t="s">
        <v>16</v>
      </c>
      <c r="C449" s="9"/>
      <c r="D449" s="9"/>
      <c r="E449" s="9"/>
      <c r="F449" s="33" t="s">
        <v>54</v>
      </c>
      <c r="G449" s="9" t="s">
        <v>1</v>
      </c>
      <c r="H449" s="9"/>
      <c r="I449" s="535"/>
      <c r="J449" s="536"/>
      <c r="K449" s="511"/>
      <c r="L449" s="511"/>
      <c r="M449" s="511"/>
      <c r="N449" s="813">
        <f>N450</f>
        <v>94.8</v>
      </c>
      <c r="O449" s="511"/>
      <c r="P449" s="511"/>
      <c r="Q449" s="84"/>
      <c r="R449" s="84"/>
      <c r="S449" s="84"/>
      <c r="T449" s="84"/>
      <c r="U449" s="84"/>
      <c r="V449" s="84"/>
      <c r="W449" s="84"/>
      <c r="X449" s="84"/>
    </row>
    <row r="450" spans="1:24" s="83" customFormat="1" ht="13" x14ac:dyDescent="0.3">
      <c r="A450" s="85"/>
      <c r="B450" s="86" t="s">
        <v>51</v>
      </c>
      <c r="C450" s="9"/>
      <c r="D450" s="9"/>
      <c r="E450" s="9"/>
      <c r="F450" s="33" t="s">
        <v>54</v>
      </c>
      <c r="G450" s="9" t="s">
        <v>1</v>
      </c>
      <c r="H450" s="9" t="s">
        <v>452</v>
      </c>
      <c r="I450" s="535" t="s">
        <v>534</v>
      </c>
      <c r="J450" s="536"/>
      <c r="K450" s="511"/>
      <c r="L450" s="511"/>
      <c r="M450" s="511"/>
      <c r="N450" s="813">
        <v>94.8</v>
      </c>
      <c r="O450" s="511"/>
      <c r="P450" s="511"/>
      <c r="Q450" s="84"/>
      <c r="R450" s="84"/>
      <c r="S450" s="84"/>
      <c r="T450" s="84"/>
      <c r="U450" s="84"/>
      <c r="V450" s="84"/>
      <c r="W450" s="84"/>
      <c r="X450" s="84"/>
    </row>
    <row r="451" spans="1:24" s="83" customFormat="1" ht="39" hidden="1" x14ac:dyDescent="0.3">
      <c r="A451" s="85"/>
      <c r="B451" s="533" t="s">
        <v>788</v>
      </c>
      <c r="C451" s="9"/>
      <c r="D451" s="9"/>
      <c r="E451" s="9"/>
      <c r="F451" s="89" t="s">
        <v>789</v>
      </c>
      <c r="G451" s="9"/>
      <c r="H451" s="9"/>
      <c r="I451" s="535"/>
      <c r="J451" s="536"/>
      <c r="K451" s="511"/>
      <c r="L451" s="511"/>
      <c r="M451" s="511"/>
      <c r="N451" s="814">
        <f>N452</f>
        <v>0</v>
      </c>
      <c r="O451" s="511"/>
      <c r="P451" s="511"/>
      <c r="Q451" s="84"/>
      <c r="R451" s="84"/>
      <c r="S451" s="84"/>
      <c r="T451" s="84"/>
      <c r="U451" s="84"/>
      <c r="V451" s="84"/>
      <c r="W451" s="84"/>
      <c r="X451" s="84"/>
    </row>
    <row r="452" spans="1:24" ht="13" hidden="1" x14ac:dyDescent="0.3">
      <c r="A452" s="842"/>
      <c r="B452" s="16" t="s">
        <v>16</v>
      </c>
      <c r="C452" s="409" t="s">
        <v>430</v>
      </c>
      <c r="D452" s="409" t="s">
        <v>456</v>
      </c>
      <c r="E452" s="409" t="s">
        <v>506</v>
      </c>
      <c r="F452" s="33" t="s">
        <v>789</v>
      </c>
      <c r="G452" s="532" t="s">
        <v>1</v>
      </c>
      <c r="H452" s="531"/>
      <c r="I452" s="529"/>
      <c r="J452" s="269"/>
      <c r="K452" s="830"/>
      <c r="L452" s="2"/>
      <c r="M452" s="2"/>
      <c r="N452" s="831">
        <f>N453</f>
        <v>0</v>
      </c>
      <c r="O452" s="1"/>
      <c r="P452" s="1"/>
      <c r="Q452" s="1"/>
      <c r="R452" s="1"/>
      <c r="S452" s="1"/>
      <c r="T452" s="1"/>
      <c r="U452" s="1"/>
      <c r="V452" s="1"/>
      <c r="W452" s="1"/>
      <c r="X452" s="1"/>
    </row>
    <row r="453" spans="1:24" ht="13" hidden="1" x14ac:dyDescent="0.3">
      <c r="A453" s="843"/>
      <c r="B453" s="534" t="s">
        <v>419</v>
      </c>
      <c r="C453" s="409" t="s">
        <v>430</v>
      </c>
      <c r="D453" s="409" t="s">
        <v>456</v>
      </c>
      <c r="E453" s="409" t="s">
        <v>506</v>
      </c>
      <c r="F453" s="33" t="s">
        <v>789</v>
      </c>
      <c r="G453" s="532" t="s">
        <v>1</v>
      </c>
      <c r="H453" s="9" t="s">
        <v>456</v>
      </c>
      <c r="I453" s="9" t="s">
        <v>506</v>
      </c>
      <c r="J453" s="269"/>
      <c r="K453" s="830"/>
      <c r="L453" s="2"/>
      <c r="M453" s="2"/>
      <c r="N453" s="831">
        <v>0</v>
      </c>
      <c r="O453" s="1"/>
      <c r="P453" s="1"/>
      <c r="Q453" s="1"/>
      <c r="R453" s="1"/>
      <c r="S453" s="1"/>
      <c r="T453" s="1"/>
      <c r="U453" s="1"/>
      <c r="V453" s="1"/>
      <c r="W453" s="1"/>
      <c r="X453" s="1"/>
    </row>
    <row r="454" spans="1:24" s="83" customFormat="1" ht="13" x14ac:dyDescent="0.3">
      <c r="A454" s="85"/>
      <c r="B454" s="49" t="s">
        <v>53</v>
      </c>
      <c r="C454" s="9"/>
      <c r="D454" s="9" t="s">
        <v>52</v>
      </c>
      <c r="E454" s="9" t="s">
        <v>49</v>
      </c>
      <c r="F454" s="34" t="s">
        <v>50</v>
      </c>
      <c r="G454" s="9"/>
      <c r="H454" s="9"/>
      <c r="I454" s="9"/>
      <c r="J454" s="470">
        <f>J455</f>
        <v>3163.5070000000001</v>
      </c>
      <c r="K454" s="471"/>
      <c r="L454" s="471">
        <f>L455</f>
        <v>0</v>
      </c>
      <c r="M454" s="471">
        <f>M455</f>
        <v>0</v>
      </c>
      <c r="N454" s="824">
        <f>N455</f>
        <v>1000</v>
      </c>
      <c r="O454" s="792">
        <f>O455</f>
        <v>0</v>
      </c>
      <c r="P454" s="470">
        <f>P455</f>
        <v>0</v>
      </c>
      <c r="Q454" s="84"/>
      <c r="R454" s="84"/>
      <c r="S454" s="84"/>
      <c r="T454" s="84"/>
      <c r="U454" s="84"/>
      <c r="V454" s="84"/>
      <c r="W454" s="84"/>
      <c r="X454" s="84"/>
    </row>
    <row r="455" spans="1:24" s="83" customFormat="1" ht="13" x14ac:dyDescent="0.3">
      <c r="A455" s="85"/>
      <c r="B455" s="16" t="s">
        <v>16</v>
      </c>
      <c r="C455" s="9"/>
      <c r="D455" s="9" t="s">
        <v>52</v>
      </c>
      <c r="E455" s="9" t="s">
        <v>49</v>
      </c>
      <c r="F455" s="9" t="s">
        <v>50</v>
      </c>
      <c r="G455" s="9" t="s">
        <v>1</v>
      </c>
      <c r="H455" s="9"/>
      <c r="I455" s="9"/>
      <c r="J455" s="467">
        <f>J456</f>
        <v>3163.5070000000001</v>
      </c>
      <c r="K455" s="471"/>
      <c r="L455" s="471"/>
      <c r="M455" s="471"/>
      <c r="N455" s="811">
        <f>N456</f>
        <v>1000</v>
      </c>
      <c r="O455" s="783">
        <f>O456</f>
        <v>0</v>
      </c>
      <c r="P455" s="467">
        <f>P456</f>
        <v>0</v>
      </c>
      <c r="Q455" s="1029"/>
      <c r="R455" s="84"/>
      <c r="S455" s="84"/>
      <c r="T455" s="84"/>
      <c r="U455" s="84"/>
      <c r="V455" s="84"/>
      <c r="W455" s="84"/>
      <c r="X455" s="84"/>
    </row>
    <row r="456" spans="1:24" s="83" customFormat="1" ht="13" x14ac:dyDescent="0.3">
      <c r="A456" s="85"/>
      <c r="B456" s="86" t="s">
        <v>51</v>
      </c>
      <c r="C456" s="9"/>
      <c r="D456" s="9"/>
      <c r="E456" s="9"/>
      <c r="F456" s="9" t="s">
        <v>50</v>
      </c>
      <c r="G456" s="9" t="s">
        <v>1</v>
      </c>
      <c r="H456" s="9" t="s">
        <v>452</v>
      </c>
      <c r="I456" s="9" t="s">
        <v>534</v>
      </c>
      <c r="J456" s="514">
        <v>3163.5070000000001</v>
      </c>
      <c r="K456" s="471"/>
      <c r="L456" s="471"/>
      <c r="M456" s="471"/>
      <c r="N456" s="811">
        <f>3939.333-2939.333</f>
        <v>1000</v>
      </c>
      <c r="O456" s="783"/>
      <c r="P456" s="467"/>
      <c r="Q456" s="84"/>
      <c r="R456" s="84"/>
      <c r="S456" s="84"/>
      <c r="T456" s="84"/>
      <c r="U456" s="84"/>
      <c r="V456" s="84"/>
      <c r="W456" s="84"/>
      <c r="X456" s="84"/>
    </row>
    <row r="457" spans="1:24" s="83" customFormat="1" ht="39" hidden="1" x14ac:dyDescent="0.3">
      <c r="A457" s="85"/>
      <c r="B457" s="52" t="s">
        <v>25</v>
      </c>
      <c r="C457" s="9"/>
      <c r="D457" s="34" t="s">
        <v>15</v>
      </c>
      <c r="E457" s="34" t="s">
        <v>13</v>
      </c>
      <c r="F457" s="34" t="s">
        <v>24</v>
      </c>
      <c r="G457" s="48"/>
      <c r="H457" s="48"/>
      <c r="I457" s="34"/>
      <c r="J457" s="131">
        <f>J458</f>
        <v>182.53199999999998</v>
      </c>
      <c r="K457" s="51"/>
      <c r="L457" s="51">
        <f>L458</f>
        <v>85</v>
      </c>
      <c r="M457" s="51">
        <f>M458</f>
        <v>85</v>
      </c>
      <c r="N457" s="50">
        <f>N458</f>
        <v>0</v>
      </c>
      <c r="O457" s="205">
        <f>O458</f>
        <v>0</v>
      </c>
      <c r="P457" s="51">
        <f>P458</f>
        <v>0</v>
      </c>
      <c r="Q457" s="84"/>
      <c r="R457" s="84"/>
      <c r="S457" s="84"/>
      <c r="T457" s="84"/>
      <c r="U457" s="84"/>
      <c r="V457" s="84"/>
      <c r="W457" s="84"/>
      <c r="X457" s="84"/>
    </row>
    <row r="458" spans="1:24" s="83" customFormat="1" ht="39" hidden="1" x14ac:dyDescent="0.3">
      <c r="A458" s="85"/>
      <c r="B458" s="49" t="s">
        <v>23</v>
      </c>
      <c r="C458" s="9"/>
      <c r="D458" s="9" t="s">
        <v>15</v>
      </c>
      <c r="E458" s="9" t="s">
        <v>13</v>
      </c>
      <c r="F458" s="34" t="s">
        <v>48</v>
      </c>
      <c r="G458" s="48"/>
      <c r="H458" s="48"/>
      <c r="I458" s="9"/>
      <c r="J458" s="131">
        <f>J461</f>
        <v>182.53199999999998</v>
      </c>
      <c r="K458" s="51"/>
      <c r="L458" s="51">
        <f>L461</f>
        <v>85</v>
      </c>
      <c r="M458" s="51">
        <f>M461</f>
        <v>85</v>
      </c>
      <c r="N458" s="50">
        <f>N461</f>
        <v>0</v>
      </c>
      <c r="O458" s="205">
        <f>O461</f>
        <v>0</v>
      </c>
      <c r="P458" s="51">
        <f>P461</f>
        <v>0</v>
      </c>
      <c r="Q458" s="84"/>
      <c r="R458" s="84"/>
      <c r="S458" s="84"/>
      <c r="T458" s="84"/>
      <c r="U458" s="84"/>
      <c r="V458" s="84"/>
      <c r="W458" s="84"/>
      <c r="X458" s="84"/>
    </row>
    <row r="459" spans="1:24" s="83" customFormat="1" ht="26.5" hidden="1" customHeight="1" x14ac:dyDescent="0.3">
      <c r="A459" s="85"/>
      <c r="B459" s="42" t="s">
        <v>22</v>
      </c>
      <c r="C459" s="31"/>
      <c r="D459" s="31" t="s">
        <v>15</v>
      </c>
      <c r="E459" s="31" t="s">
        <v>13</v>
      </c>
      <c r="F459" s="31" t="s">
        <v>21</v>
      </c>
      <c r="G459" s="3373" t="s">
        <v>20</v>
      </c>
      <c r="H459" s="3374"/>
      <c r="I459" s="3374"/>
      <c r="J459" s="3375"/>
      <c r="K459" s="45"/>
      <c r="L459" s="44"/>
      <c r="M459" s="43"/>
      <c r="N459" s="832"/>
      <c r="Q459" s="84"/>
      <c r="R459" s="84"/>
      <c r="S459" s="84"/>
      <c r="T459" s="84"/>
      <c r="U459" s="84"/>
      <c r="V459" s="84"/>
      <c r="W459" s="84"/>
      <c r="X459" s="84"/>
    </row>
    <row r="460" spans="1:24" ht="39.65" hidden="1" customHeight="1" x14ac:dyDescent="0.25">
      <c r="A460" s="32"/>
      <c r="B460" s="42" t="s">
        <v>19</v>
      </c>
      <c r="C460" s="31"/>
      <c r="D460" s="31" t="s">
        <v>15</v>
      </c>
      <c r="E460" s="31" t="s">
        <v>13</v>
      </c>
      <c r="F460" s="31" t="s">
        <v>18</v>
      </c>
      <c r="G460" s="3373" t="s">
        <v>17</v>
      </c>
      <c r="H460" s="3374"/>
      <c r="I460" s="3374"/>
      <c r="J460" s="3375"/>
      <c r="K460" s="41"/>
      <c r="L460" s="2"/>
      <c r="M460" s="40"/>
      <c r="N460" s="833"/>
      <c r="O460" s="1"/>
      <c r="P460" s="1"/>
    </row>
    <row r="461" spans="1:24" ht="26" hidden="1" x14ac:dyDescent="0.3">
      <c r="A461" s="32"/>
      <c r="B461" s="15" t="s">
        <v>4</v>
      </c>
      <c r="C461" s="31"/>
      <c r="D461" s="9" t="s">
        <v>15</v>
      </c>
      <c r="E461" s="9" t="s">
        <v>13</v>
      </c>
      <c r="F461" s="9" t="s">
        <v>48</v>
      </c>
      <c r="G461" s="33" t="s">
        <v>1</v>
      </c>
      <c r="H461" s="33"/>
      <c r="I461" s="9"/>
      <c r="J461" s="515">
        <f>J462</f>
        <v>182.53199999999998</v>
      </c>
      <c r="K461" s="30"/>
      <c r="L461" s="29">
        <v>85</v>
      </c>
      <c r="M461" s="28">
        <v>85</v>
      </c>
      <c r="N461" s="27">
        <f>N462</f>
        <v>0</v>
      </c>
      <c r="O461" s="28">
        <f>O462</f>
        <v>0</v>
      </c>
      <c r="P461" s="28">
        <f>P462</f>
        <v>0</v>
      </c>
    </row>
    <row r="462" spans="1:24" ht="13" hidden="1" x14ac:dyDescent="0.3">
      <c r="A462" s="32"/>
      <c r="B462" s="16" t="s">
        <v>39</v>
      </c>
      <c r="C462" s="31"/>
      <c r="D462" s="9"/>
      <c r="E462" s="9"/>
      <c r="F462" s="9" t="s">
        <v>48</v>
      </c>
      <c r="G462" s="33" t="s">
        <v>1</v>
      </c>
      <c r="H462" s="33"/>
      <c r="I462" s="9" t="s">
        <v>13</v>
      </c>
      <c r="J462" s="515">
        <f>85+97.532</f>
        <v>182.53199999999998</v>
      </c>
      <c r="K462" s="30"/>
      <c r="L462" s="29">
        <v>85</v>
      </c>
      <c r="M462" s="28">
        <v>85</v>
      </c>
      <c r="N462" s="27"/>
      <c r="O462" s="28"/>
      <c r="P462" s="28"/>
    </row>
    <row r="463" spans="1:24" ht="13" hidden="1" x14ac:dyDescent="0.3">
      <c r="A463" s="32"/>
      <c r="B463" s="82" t="s">
        <v>47</v>
      </c>
      <c r="C463" s="892"/>
      <c r="D463" s="9"/>
      <c r="E463" s="9"/>
      <c r="F463" s="79" t="s">
        <v>43</v>
      </c>
      <c r="G463" s="33"/>
      <c r="H463" s="33"/>
      <c r="I463" s="9"/>
      <c r="J463" s="515">
        <f>J466</f>
        <v>153.32</v>
      </c>
      <c r="K463" s="30"/>
      <c r="L463" s="29"/>
      <c r="M463" s="28"/>
      <c r="N463" s="80">
        <f>N466+N464</f>
        <v>0</v>
      </c>
      <c r="O463" s="81">
        <f>O466+O464</f>
        <v>585.81999999999994</v>
      </c>
      <c r="P463" s="81">
        <f>P466+P464</f>
        <v>610.88699999999994</v>
      </c>
    </row>
    <row r="464" spans="1:24" ht="13" hidden="1" x14ac:dyDescent="0.3">
      <c r="A464" s="925"/>
      <c r="B464" s="926" t="s">
        <v>16</v>
      </c>
      <c r="C464" s="927"/>
      <c r="D464" s="916"/>
      <c r="E464" s="916"/>
      <c r="F464" s="914" t="s">
        <v>43</v>
      </c>
      <c r="G464" s="915" t="s">
        <v>1</v>
      </c>
      <c r="H464" s="915"/>
      <c r="I464" s="916"/>
      <c r="J464" s="919"/>
      <c r="K464" s="920"/>
      <c r="L464" s="921"/>
      <c r="M464" s="922"/>
      <c r="N464" s="27">
        <f>N465</f>
        <v>0</v>
      </c>
      <c r="O464" s="28">
        <f>O465</f>
        <v>31.3</v>
      </c>
      <c r="P464" s="28">
        <f>P465</f>
        <v>34.43</v>
      </c>
    </row>
    <row r="465" spans="1:29" ht="13" hidden="1" x14ac:dyDescent="0.3">
      <c r="A465" s="925"/>
      <c r="B465" s="928" t="s">
        <v>45</v>
      </c>
      <c r="C465" s="927"/>
      <c r="D465" s="916"/>
      <c r="E465" s="916"/>
      <c r="F465" s="914" t="s">
        <v>43</v>
      </c>
      <c r="G465" s="915" t="s">
        <v>1</v>
      </c>
      <c r="H465" s="915" t="s">
        <v>496</v>
      </c>
      <c r="I465" s="916" t="s">
        <v>495</v>
      </c>
      <c r="J465" s="919"/>
      <c r="K465" s="920"/>
      <c r="L465" s="921"/>
      <c r="M465" s="922"/>
      <c r="N465" s="27">
        <v>0</v>
      </c>
      <c r="O465" s="28">
        <v>31.3</v>
      </c>
      <c r="P465" s="28">
        <v>34.43</v>
      </c>
    </row>
    <row r="466" spans="1:29" ht="13" hidden="1" x14ac:dyDescent="0.3">
      <c r="A466" s="925"/>
      <c r="B466" s="926" t="s">
        <v>46</v>
      </c>
      <c r="C466" s="929"/>
      <c r="D466" s="916" t="s">
        <v>44</v>
      </c>
      <c r="E466" s="916" t="s">
        <v>41</v>
      </c>
      <c r="F466" s="914" t="s">
        <v>43</v>
      </c>
      <c r="G466" s="915" t="s">
        <v>42</v>
      </c>
      <c r="H466" s="915"/>
      <c r="I466" s="916"/>
      <c r="J466" s="917">
        <f t="shared" ref="J466:P466" si="46">J467</f>
        <v>153.32</v>
      </c>
      <c r="K466" s="918">
        <f t="shared" si="46"/>
        <v>172</v>
      </c>
      <c r="L466" s="918">
        <f t="shared" si="46"/>
        <v>172</v>
      </c>
      <c r="M466" s="918">
        <f t="shared" si="46"/>
        <v>172</v>
      </c>
      <c r="N466" s="813">
        <f t="shared" si="46"/>
        <v>0</v>
      </c>
      <c r="O466" s="475">
        <f t="shared" si="46"/>
        <v>554.52</v>
      </c>
      <c r="P466" s="469">
        <f t="shared" si="46"/>
        <v>576.45699999999999</v>
      </c>
    </row>
    <row r="467" spans="1:29" ht="13" hidden="1" x14ac:dyDescent="0.25">
      <c r="A467" s="925"/>
      <c r="B467" s="928" t="s">
        <v>45</v>
      </c>
      <c r="C467" s="929"/>
      <c r="D467" s="916" t="s">
        <v>44</v>
      </c>
      <c r="E467" s="916" t="s">
        <v>41</v>
      </c>
      <c r="F467" s="914" t="s">
        <v>43</v>
      </c>
      <c r="G467" s="915" t="s">
        <v>42</v>
      </c>
      <c r="H467" s="915" t="s">
        <v>496</v>
      </c>
      <c r="I467" s="916" t="s">
        <v>495</v>
      </c>
      <c r="J467" s="917">
        <v>153.32</v>
      </c>
      <c r="K467" s="918">
        <v>172</v>
      </c>
      <c r="L467" s="918">
        <v>172</v>
      </c>
      <c r="M467" s="918">
        <v>172</v>
      </c>
      <c r="N467" s="813"/>
      <c r="O467" s="475">
        <v>554.52</v>
      </c>
      <c r="P467" s="469">
        <v>576.45699999999999</v>
      </c>
    </row>
    <row r="468" spans="1:29" ht="26" hidden="1" x14ac:dyDescent="0.25">
      <c r="A468" s="32"/>
      <c r="B468" s="501" t="s">
        <v>40</v>
      </c>
      <c r="C468" s="70"/>
      <c r="D468" s="9"/>
      <c r="E468" s="9"/>
      <c r="F468" s="79" t="s">
        <v>38</v>
      </c>
      <c r="G468" s="33"/>
      <c r="H468" s="33"/>
      <c r="I468" s="9"/>
      <c r="J468" s="514">
        <f>J469</f>
        <v>0</v>
      </c>
      <c r="K468" s="516"/>
      <c r="L468" s="517"/>
      <c r="M468" s="517"/>
      <c r="N468" s="814">
        <f t="shared" ref="N468:P469" si="47">N469</f>
        <v>0</v>
      </c>
      <c r="O468" s="746">
        <f t="shared" si="47"/>
        <v>0</v>
      </c>
      <c r="P468" s="471">
        <f t="shared" si="47"/>
        <v>0</v>
      </c>
    </row>
    <row r="469" spans="1:29" ht="13" hidden="1" x14ac:dyDescent="0.25">
      <c r="A469" s="32"/>
      <c r="B469" s="58" t="s">
        <v>28</v>
      </c>
      <c r="C469" s="70"/>
      <c r="D469" s="9"/>
      <c r="E469" s="9"/>
      <c r="F469" s="77" t="s">
        <v>38</v>
      </c>
      <c r="G469" s="33" t="s">
        <v>26</v>
      </c>
      <c r="H469" s="33"/>
      <c r="I469" s="9"/>
      <c r="J469" s="514">
        <f>J470</f>
        <v>0</v>
      </c>
      <c r="K469" s="516"/>
      <c r="L469" s="517"/>
      <c r="M469" s="517"/>
      <c r="N469" s="813">
        <f t="shared" si="47"/>
        <v>0</v>
      </c>
      <c r="O469" s="475">
        <f t="shared" si="47"/>
        <v>0</v>
      </c>
      <c r="P469" s="469">
        <f t="shared" si="47"/>
        <v>0</v>
      </c>
    </row>
    <row r="470" spans="1:29" ht="13" hidden="1" x14ac:dyDescent="0.3">
      <c r="A470" s="32"/>
      <c r="B470" s="16" t="s">
        <v>39</v>
      </c>
      <c r="C470" s="70"/>
      <c r="D470" s="9"/>
      <c r="E470" s="9"/>
      <c r="F470" s="77" t="s">
        <v>38</v>
      </c>
      <c r="G470" s="33" t="s">
        <v>26</v>
      </c>
      <c r="H470" s="33" t="s">
        <v>463</v>
      </c>
      <c r="I470" s="9" t="s">
        <v>488</v>
      </c>
      <c r="J470" s="514"/>
      <c r="K470" s="516"/>
      <c r="L470" s="517"/>
      <c r="M470" s="517"/>
      <c r="N470" s="813"/>
      <c r="O470" s="475"/>
      <c r="P470" s="469"/>
    </row>
    <row r="471" spans="1:29" ht="26" hidden="1" x14ac:dyDescent="0.25">
      <c r="A471" s="32"/>
      <c r="B471" s="76" t="s">
        <v>37</v>
      </c>
      <c r="C471" s="70"/>
      <c r="D471" s="9"/>
      <c r="E471" s="9"/>
      <c r="F471" s="34" t="s">
        <v>36</v>
      </c>
      <c r="G471" s="33"/>
      <c r="H471" s="33"/>
      <c r="I471" s="9"/>
      <c r="J471" s="518">
        <f>J472</f>
        <v>17908.526000000002</v>
      </c>
      <c r="K471" s="516"/>
      <c r="L471" s="517"/>
      <c r="M471" s="517"/>
      <c r="N471" s="834">
        <f t="shared" ref="N471:P472" si="48">N472</f>
        <v>0</v>
      </c>
      <c r="O471" s="486">
        <f t="shared" si="48"/>
        <v>0</v>
      </c>
      <c r="P471" s="519">
        <f t="shared" si="48"/>
        <v>0</v>
      </c>
    </row>
    <row r="472" spans="1:29" ht="26" hidden="1" x14ac:dyDescent="0.25">
      <c r="A472" s="32"/>
      <c r="B472" s="15" t="s">
        <v>4</v>
      </c>
      <c r="C472" s="70"/>
      <c r="D472" s="9"/>
      <c r="E472" s="9"/>
      <c r="F472" s="9" t="s">
        <v>36</v>
      </c>
      <c r="G472" s="33" t="s">
        <v>1</v>
      </c>
      <c r="H472" s="33"/>
      <c r="I472" s="9"/>
      <c r="J472" s="518">
        <f>J473</f>
        <v>17908.526000000002</v>
      </c>
      <c r="K472" s="516"/>
      <c r="L472" s="517"/>
      <c r="M472" s="517"/>
      <c r="N472" s="834">
        <f t="shared" si="48"/>
        <v>0</v>
      </c>
      <c r="O472" s="486">
        <f t="shared" si="48"/>
        <v>0</v>
      </c>
      <c r="P472" s="519">
        <f t="shared" si="48"/>
        <v>0</v>
      </c>
      <c r="Q472" s="75"/>
      <c r="R472" s="75"/>
      <c r="S472" s="75"/>
      <c r="T472" s="75"/>
      <c r="U472" s="513"/>
      <c r="V472" s="73"/>
      <c r="W472" s="72"/>
      <c r="X472" s="72"/>
      <c r="AC472" s="480">
        <f>AC473</f>
        <v>672.10500000000002</v>
      </c>
    </row>
    <row r="473" spans="1:29" ht="13" hidden="1" x14ac:dyDescent="0.25">
      <c r="A473" s="32"/>
      <c r="B473" s="49" t="s">
        <v>34</v>
      </c>
      <c r="C473" s="70"/>
      <c r="D473" s="9"/>
      <c r="E473" s="9"/>
      <c r="F473" s="9" t="s">
        <v>36</v>
      </c>
      <c r="G473" s="33" t="s">
        <v>1</v>
      </c>
      <c r="H473" s="33"/>
      <c r="I473" s="9" t="s">
        <v>32</v>
      </c>
      <c r="J473" s="518">
        <v>17908.526000000002</v>
      </c>
      <c r="K473" s="516"/>
      <c r="L473" s="517"/>
      <c r="M473" s="517"/>
      <c r="N473" s="834"/>
      <c r="O473" s="486"/>
      <c r="P473" s="519"/>
      <c r="Q473" s="75"/>
      <c r="R473" s="75"/>
      <c r="S473" s="75"/>
      <c r="T473" s="75"/>
      <c r="U473" s="513"/>
      <c r="V473" s="73"/>
      <c r="W473" s="72"/>
      <c r="X473" s="72"/>
      <c r="AC473" s="480">
        <v>672.10500000000002</v>
      </c>
    </row>
    <row r="474" spans="1:29" ht="39" hidden="1" x14ac:dyDescent="0.25">
      <c r="A474" s="32"/>
      <c r="B474" s="15" t="s">
        <v>35</v>
      </c>
      <c r="C474" s="70"/>
      <c r="D474" s="9"/>
      <c r="E474" s="9"/>
      <c r="F474" s="34" t="s">
        <v>33</v>
      </c>
      <c r="G474" s="33"/>
      <c r="H474" s="33"/>
      <c r="I474" s="9"/>
      <c r="J474" s="518">
        <f>J475</f>
        <v>7028.6390000000001</v>
      </c>
      <c r="K474" s="516"/>
      <c r="L474" s="517"/>
      <c r="M474" s="517"/>
      <c r="N474" s="834">
        <f t="shared" ref="N474:P475" si="49">N475</f>
        <v>0</v>
      </c>
      <c r="O474" s="486">
        <f t="shared" si="49"/>
        <v>0</v>
      </c>
      <c r="P474" s="519">
        <f t="shared" si="49"/>
        <v>0</v>
      </c>
    </row>
    <row r="475" spans="1:29" ht="26" hidden="1" x14ac:dyDescent="0.25">
      <c r="A475" s="32"/>
      <c r="B475" s="15" t="s">
        <v>4</v>
      </c>
      <c r="C475" s="70"/>
      <c r="D475" s="9"/>
      <c r="E475" s="9"/>
      <c r="F475" s="9" t="s">
        <v>33</v>
      </c>
      <c r="G475" s="33" t="s">
        <v>1</v>
      </c>
      <c r="H475" s="33"/>
      <c r="I475" s="9"/>
      <c r="J475" s="518">
        <f>J476</f>
        <v>7028.6390000000001</v>
      </c>
      <c r="K475" s="516"/>
      <c r="L475" s="517"/>
      <c r="M475" s="517"/>
      <c r="N475" s="834">
        <f t="shared" si="49"/>
        <v>0</v>
      </c>
      <c r="O475" s="486">
        <f t="shared" si="49"/>
        <v>0</v>
      </c>
      <c r="P475" s="519">
        <f t="shared" si="49"/>
        <v>0</v>
      </c>
    </row>
    <row r="476" spans="1:29" ht="13" hidden="1" x14ac:dyDescent="0.25">
      <c r="A476" s="32"/>
      <c r="B476" s="49" t="s">
        <v>34</v>
      </c>
      <c r="C476" s="70"/>
      <c r="D476" s="9"/>
      <c r="E476" s="9"/>
      <c r="F476" s="9" t="s">
        <v>33</v>
      </c>
      <c r="G476" s="33" t="s">
        <v>1</v>
      </c>
      <c r="H476" s="33"/>
      <c r="I476" s="9" t="s">
        <v>32</v>
      </c>
      <c r="J476" s="518">
        <f>838.062+6190.577</f>
        <v>7028.6390000000001</v>
      </c>
      <c r="K476" s="516"/>
      <c r="L476" s="517"/>
      <c r="M476" s="517"/>
      <c r="N476" s="834"/>
      <c r="O476" s="486"/>
      <c r="P476" s="519"/>
    </row>
    <row r="477" spans="1:29" ht="26" hidden="1" x14ac:dyDescent="0.25">
      <c r="A477" s="32"/>
      <c r="B477" s="90" t="s">
        <v>296</v>
      </c>
      <c r="C477" s="70"/>
      <c r="D477" s="9"/>
      <c r="E477" s="9"/>
      <c r="F477" s="34" t="s">
        <v>624</v>
      </c>
      <c r="G477" s="33"/>
      <c r="H477" s="33"/>
      <c r="I477" s="9"/>
      <c r="J477" s="539"/>
      <c r="K477" s="516"/>
      <c r="L477" s="517"/>
      <c r="M477" s="517"/>
      <c r="N477" s="835">
        <f>N478</f>
        <v>0</v>
      </c>
      <c r="O477" s="540"/>
      <c r="P477" s="540"/>
    </row>
    <row r="478" spans="1:29" ht="13" hidden="1" x14ac:dyDescent="0.3">
      <c r="A478" s="32"/>
      <c r="B478" s="16" t="s">
        <v>16</v>
      </c>
      <c r="C478" s="70"/>
      <c r="D478" s="9"/>
      <c r="E478" s="9"/>
      <c r="F478" s="9" t="s">
        <v>624</v>
      </c>
      <c r="G478" s="9" t="s">
        <v>1</v>
      </c>
      <c r="H478" s="33"/>
      <c r="I478" s="9"/>
      <c r="J478" s="539"/>
      <c r="K478" s="516"/>
      <c r="L478" s="517"/>
      <c r="M478" s="517"/>
      <c r="N478" s="836">
        <f>N479</f>
        <v>0</v>
      </c>
      <c r="O478" s="540"/>
      <c r="P478" s="540"/>
    </row>
    <row r="479" spans="1:29" ht="13" hidden="1" x14ac:dyDescent="0.25">
      <c r="A479" s="32"/>
      <c r="B479" s="49" t="s">
        <v>64</v>
      </c>
      <c r="C479" s="70"/>
      <c r="D479" s="9"/>
      <c r="E479" s="9"/>
      <c r="F479" s="9" t="s">
        <v>624</v>
      </c>
      <c r="G479" s="9" t="s">
        <v>1</v>
      </c>
      <c r="H479" s="33" t="s">
        <v>464</v>
      </c>
      <c r="I479" s="9" t="s">
        <v>463</v>
      </c>
      <c r="J479" s="539"/>
      <c r="K479" s="516"/>
      <c r="L479" s="517"/>
      <c r="M479" s="517"/>
      <c r="N479" s="836">
        <v>0</v>
      </c>
      <c r="O479" s="540"/>
      <c r="P479" s="540"/>
    </row>
    <row r="480" spans="1:29" ht="26" hidden="1" x14ac:dyDescent="0.25">
      <c r="A480" s="32"/>
      <c r="B480" s="501" t="s">
        <v>31</v>
      </c>
      <c r="C480" s="31"/>
      <c r="D480" s="9"/>
      <c r="E480" s="9"/>
      <c r="F480" s="34" t="s">
        <v>30</v>
      </c>
      <c r="G480" s="33"/>
      <c r="H480" s="33"/>
      <c r="I480" s="9"/>
      <c r="J480" s="520"/>
      <c r="K480" s="65"/>
      <c r="L480" s="64">
        <f>L481</f>
        <v>0</v>
      </c>
      <c r="M480" s="64">
        <f>M481</f>
        <v>0</v>
      </c>
      <c r="N480" s="62">
        <f>N481</f>
        <v>0</v>
      </c>
      <c r="O480" s="63">
        <f>O481</f>
        <v>0</v>
      </c>
      <c r="P480" s="63">
        <f>P481</f>
        <v>0</v>
      </c>
    </row>
    <row r="481" spans="1:16" ht="26" hidden="1" x14ac:dyDescent="0.25">
      <c r="A481" s="32"/>
      <c r="B481" s="15" t="s">
        <v>4</v>
      </c>
      <c r="C481" s="9"/>
      <c r="D481" s="9" t="s">
        <v>15</v>
      </c>
      <c r="E481" s="9" t="s">
        <v>9</v>
      </c>
      <c r="F481" s="9" t="s">
        <v>30</v>
      </c>
      <c r="G481" s="9" t="s">
        <v>1</v>
      </c>
      <c r="H481" s="9"/>
      <c r="I481" s="9"/>
      <c r="J481" s="521"/>
      <c r="K481" s="61"/>
      <c r="L481" s="60"/>
      <c r="M481" s="59"/>
      <c r="N481" s="56">
        <f>N482</f>
        <v>0</v>
      </c>
      <c r="O481" s="57">
        <f>O482</f>
        <v>0</v>
      </c>
      <c r="P481" s="57">
        <f>P482</f>
        <v>0</v>
      </c>
    </row>
    <row r="482" spans="1:16" ht="13" hidden="1" x14ac:dyDescent="0.3">
      <c r="A482" s="32"/>
      <c r="B482" s="16" t="s">
        <v>11</v>
      </c>
      <c r="C482" s="9"/>
      <c r="D482" s="9"/>
      <c r="E482" s="9"/>
      <c r="F482" s="9" t="s">
        <v>30</v>
      </c>
      <c r="G482" s="9" t="s">
        <v>1</v>
      </c>
      <c r="H482" s="9" t="s">
        <v>463</v>
      </c>
      <c r="I482" s="9" t="s">
        <v>456</v>
      </c>
      <c r="J482" s="521"/>
      <c r="K482" s="61"/>
      <c r="L482" s="60"/>
      <c r="M482" s="59"/>
      <c r="N482" s="56">
        <v>0</v>
      </c>
      <c r="O482" s="57"/>
      <c r="P482" s="57"/>
    </row>
    <row r="483" spans="1:16" ht="27" hidden="1" customHeight="1" x14ac:dyDescent="0.25">
      <c r="A483" s="32"/>
      <c r="B483" s="58" t="s">
        <v>29</v>
      </c>
      <c r="C483" s="9"/>
      <c r="D483" s="9" t="s">
        <v>15</v>
      </c>
      <c r="E483" s="9" t="s">
        <v>9</v>
      </c>
      <c r="F483" s="34" t="s">
        <v>27</v>
      </c>
      <c r="G483" s="48"/>
      <c r="H483" s="48"/>
      <c r="I483" s="9"/>
      <c r="J483" s="521"/>
      <c r="K483" s="47"/>
      <c r="L483" s="57">
        <f>L485</f>
        <v>10000</v>
      </c>
      <c r="M483" s="57">
        <f>M485</f>
        <v>10000</v>
      </c>
      <c r="N483" s="56"/>
      <c r="O483" s="57"/>
      <c r="P483" s="57"/>
    </row>
    <row r="484" spans="1:16" ht="25.15" hidden="1" customHeight="1" x14ac:dyDescent="0.25">
      <c r="A484" s="32"/>
      <c r="B484" s="55" t="s">
        <v>28</v>
      </c>
      <c r="C484" s="9"/>
      <c r="D484" s="9"/>
      <c r="E484" s="9"/>
      <c r="F484" s="9" t="s">
        <v>27</v>
      </c>
      <c r="G484" s="9" t="s">
        <v>26</v>
      </c>
      <c r="H484" s="9"/>
      <c r="I484" s="9"/>
      <c r="J484" s="514"/>
      <c r="K484" s="48"/>
      <c r="L484" s="54">
        <v>10000</v>
      </c>
      <c r="M484" s="54">
        <v>10000</v>
      </c>
      <c r="N484" s="811"/>
      <c r="O484" s="783"/>
      <c r="P484" s="467"/>
    </row>
    <row r="485" spans="1:16" ht="17.5" hidden="1" customHeight="1" x14ac:dyDescent="0.3">
      <c r="A485" s="32"/>
      <c r="B485" s="16" t="s">
        <v>11</v>
      </c>
      <c r="C485" s="9"/>
      <c r="D485" s="9" t="s">
        <v>15</v>
      </c>
      <c r="E485" s="9" t="s">
        <v>9</v>
      </c>
      <c r="F485" s="9" t="s">
        <v>27</v>
      </c>
      <c r="G485" s="9" t="s">
        <v>26</v>
      </c>
      <c r="H485" s="9"/>
      <c r="I485" s="9" t="s">
        <v>9</v>
      </c>
      <c r="J485" s="514"/>
      <c r="K485" s="48"/>
      <c r="L485" s="54">
        <v>10000</v>
      </c>
      <c r="M485" s="54">
        <v>10000</v>
      </c>
      <c r="N485" s="811"/>
      <c r="O485" s="783"/>
      <c r="P485" s="467"/>
    </row>
    <row r="486" spans="1:16" ht="39.65" hidden="1" customHeight="1" x14ac:dyDescent="0.25">
      <c r="A486" s="32"/>
      <c r="B486" s="52" t="s">
        <v>25</v>
      </c>
      <c r="C486" s="9"/>
      <c r="D486" s="34" t="s">
        <v>15</v>
      </c>
      <c r="E486" s="34" t="s">
        <v>13</v>
      </c>
      <c r="F486" s="34" t="s">
        <v>24</v>
      </c>
      <c r="G486" s="48"/>
      <c r="H486" s="48"/>
      <c r="I486" s="34"/>
      <c r="J486" s="131">
        <f>J487</f>
        <v>0</v>
      </c>
      <c r="K486" s="51"/>
      <c r="L486" s="51">
        <f>L487</f>
        <v>85</v>
      </c>
      <c r="M486" s="51">
        <f>M487</f>
        <v>85</v>
      </c>
      <c r="N486" s="50">
        <f>N487</f>
        <v>0</v>
      </c>
      <c r="O486" s="205">
        <f>O487</f>
        <v>0</v>
      </c>
      <c r="P486" s="51">
        <f>P487</f>
        <v>0</v>
      </c>
    </row>
    <row r="487" spans="1:16" ht="43.5" hidden="1" customHeight="1" x14ac:dyDescent="0.25">
      <c r="A487" s="32"/>
      <c r="B487" s="49" t="s">
        <v>23</v>
      </c>
      <c r="C487" s="9"/>
      <c r="D487" s="9" t="s">
        <v>15</v>
      </c>
      <c r="E487" s="9" t="s">
        <v>13</v>
      </c>
      <c r="F487" s="9" t="s">
        <v>14</v>
      </c>
      <c r="G487" s="48"/>
      <c r="H487" s="48"/>
      <c r="I487" s="9"/>
      <c r="J487" s="48">
        <f>J490</f>
        <v>0</v>
      </c>
      <c r="K487" s="47"/>
      <c r="L487" s="47">
        <f>L490</f>
        <v>85</v>
      </c>
      <c r="M487" s="47">
        <f>M490</f>
        <v>85</v>
      </c>
      <c r="N487" s="46">
        <f>N490</f>
        <v>0</v>
      </c>
      <c r="O487" s="791">
        <f>O490</f>
        <v>0</v>
      </c>
      <c r="P487" s="47">
        <f>P490</f>
        <v>0</v>
      </c>
    </row>
    <row r="488" spans="1:16" ht="60.75" hidden="1" customHeight="1" x14ac:dyDescent="0.25">
      <c r="A488" s="32"/>
      <c r="B488" s="42" t="s">
        <v>22</v>
      </c>
      <c r="C488" s="31"/>
      <c r="D488" s="31" t="s">
        <v>15</v>
      </c>
      <c r="E488" s="31" t="s">
        <v>13</v>
      </c>
      <c r="F488" s="31" t="s">
        <v>21</v>
      </c>
      <c r="G488" s="3373" t="s">
        <v>20</v>
      </c>
      <c r="H488" s="3374"/>
      <c r="I488" s="3374"/>
      <c r="J488" s="3375"/>
      <c r="K488" s="45"/>
      <c r="L488" s="44"/>
      <c r="M488" s="43"/>
      <c r="N488" s="833"/>
      <c r="O488" s="1"/>
      <c r="P488" s="1"/>
    </row>
    <row r="489" spans="1:16" ht="48" hidden="1" customHeight="1" x14ac:dyDescent="0.25">
      <c r="A489" s="32"/>
      <c r="B489" s="42" t="s">
        <v>19</v>
      </c>
      <c r="C489" s="31"/>
      <c r="D489" s="31" t="s">
        <v>15</v>
      </c>
      <c r="E489" s="31" t="s">
        <v>13</v>
      </c>
      <c r="F489" s="31" t="s">
        <v>18</v>
      </c>
      <c r="G489" s="3373" t="s">
        <v>17</v>
      </c>
      <c r="H489" s="3374"/>
      <c r="I489" s="3374"/>
      <c r="J489" s="3375"/>
      <c r="K489" s="41"/>
      <c r="L489" s="2"/>
      <c r="M489" s="40"/>
      <c r="N489" s="833"/>
      <c r="O489" s="1"/>
      <c r="P489" s="1"/>
    </row>
    <row r="490" spans="1:16" ht="16.899999999999999" hidden="1" customHeight="1" x14ac:dyDescent="0.3">
      <c r="A490" s="32"/>
      <c r="B490" s="39" t="s">
        <v>16</v>
      </c>
      <c r="C490" s="31"/>
      <c r="D490" s="9" t="s">
        <v>15</v>
      </c>
      <c r="E490" s="9" t="s">
        <v>13</v>
      </c>
      <c r="F490" s="9" t="s">
        <v>14</v>
      </c>
      <c r="G490" s="33" t="s">
        <v>1</v>
      </c>
      <c r="H490" s="33"/>
      <c r="I490" s="9" t="s">
        <v>13</v>
      </c>
      <c r="J490" s="515"/>
      <c r="K490" s="30"/>
      <c r="L490" s="29">
        <v>85</v>
      </c>
      <c r="M490" s="28">
        <v>85</v>
      </c>
      <c r="N490" s="27"/>
      <c r="O490" s="28"/>
      <c r="P490" s="28"/>
    </row>
    <row r="491" spans="1:16" ht="26.5" customHeight="1" x14ac:dyDescent="0.3">
      <c r="A491" s="32"/>
      <c r="B491" s="538" t="s">
        <v>525</v>
      </c>
      <c r="C491" s="31"/>
      <c r="D491" s="9"/>
      <c r="E491" s="9"/>
      <c r="F491" s="37" t="s">
        <v>524</v>
      </c>
      <c r="G491" s="33"/>
      <c r="H491" s="33"/>
      <c r="I491" s="9"/>
      <c r="J491" s="515"/>
      <c r="K491" s="30"/>
      <c r="L491" s="29"/>
      <c r="M491" s="28"/>
      <c r="N491" s="80">
        <f>N492</f>
        <v>4900</v>
      </c>
      <c r="O491" s="28"/>
      <c r="P491" s="28"/>
    </row>
    <row r="492" spans="1:16" ht="16.899999999999999" customHeight="1" x14ac:dyDescent="0.3">
      <c r="A492" s="32"/>
      <c r="B492" s="58" t="s">
        <v>28</v>
      </c>
      <c r="C492" s="31"/>
      <c r="D492" s="9"/>
      <c r="E492" s="9"/>
      <c r="F492" s="10" t="s">
        <v>524</v>
      </c>
      <c r="G492" s="33" t="s">
        <v>26</v>
      </c>
      <c r="H492" s="33"/>
      <c r="I492" s="9"/>
      <c r="J492" s="515"/>
      <c r="K492" s="30"/>
      <c r="L492" s="29"/>
      <c r="M492" s="28"/>
      <c r="N492" s="27">
        <f>N493</f>
        <v>4900</v>
      </c>
      <c r="O492" s="28"/>
      <c r="P492" s="28"/>
    </row>
    <row r="493" spans="1:16" ht="16.899999999999999" customHeight="1" x14ac:dyDescent="0.3">
      <c r="A493" s="32"/>
      <c r="B493" s="16" t="s">
        <v>39</v>
      </c>
      <c r="C493" s="31"/>
      <c r="D493" s="9"/>
      <c r="E493" s="9"/>
      <c r="F493" s="10" t="s">
        <v>524</v>
      </c>
      <c r="G493" s="33" t="s">
        <v>26</v>
      </c>
      <c r="H493" s="33" t="s">
        <v>463</v>
      </c>
      <c r="I493" s="9" t="s">
        <v>488</v>
      </c>
      <c r="J493" s="515"/>
      <c r="K493" s="30"/>
      <c r="L493" s="29"/>
      <c r="M493" s="28"/>
      <c r="N493" s="27">
        <v>4900</v>
      </c>
      <c r="O493" s="28"/>
      <c r="P493" s="28"/>
    </row>
    <row r="494" spans="1:16" ht="26" hidden="1" x14ac:dyDescent="0.3">
      <c r="A494" s="32"/>
      <c r="B494" s="38" t="s">
        <v>8</v>
      </c>
      <c r="C494" s="893"/>
      <c r="D494" s="11"/>
      <c r="E494" s="11"/>
      <c r="F494" s="37" t="s">
        <v>2</v>
      </c>
      <c r="G494" s="522"/>
      <c r="H494" s="522"/>
      <c r="I494" s="522"/>
      <c r="J494" s="523">
        <f>J495+J497</f>
        <v>600.79999999999995</v>
      </c>
      <c r="K494" s="30"/>
      <c r="L494" s="29"/>
      <c r="M494" s="28"/>
      <c r="N494" s="837">
        <f>N495+N497</f>
        <v>0</v>
      </c>
      <c r="O494" s="799">
        <f>O495+O497</f>
        <v>0</v>
      </c>
      <c r="P494" s="524">
        <f>P495+P497</f>
        <v>0</v>
      </c>
    </row>
    <row r="495" spans="1:16" ht="16.899999999999999" hidden="1" customHeight="1" x14ac:dyDescent="0.3">
      <c r="A495" s="32"/>
      <c r="B495" s="16" t="s">
        <v>7</v>
      </c>
      <c r="C495" s="893"/>
      <c r="D495" s="11"/>
      <c r="E495" s="11"/>
      <c r="F495" s="10" t="s">
        <v>2</v>
      </c>
      <c r="G495" s="9" t="s">
        <v>5</v>
      </c>
      <c r="H495" s="9"/>
      <c r="I495" s="522"/>
      <c r="J495" s="514">
        <f>J496</f>
        <v>493.39</v>
      </c>
      <c r="K495" s="30"/>
      <c r="L495" s="29"/>
      <c r="M495" s="28"/>
      <c r="N495" s="813">
        <f>N496</f>
        <v>0</v>
      </c>
      <c r="O495" s="475">
        <f>O496</f>
        <v>0</v>
      </c>
      <c r="P495" s="469">
        <f>P496</f>
        <v>0</v>
      </c>
    </row>
    <row r="496" spans="1:16" ht="16.899999999999999" hidden="1" customHeight="1" x14ac:dyDescent="0.3">
      <c r="A496" s="32"/>
      <c r="B496" s="16" t="s">
        <v>6</v>
      </c>
      <c r="C496" s="893"/>
      <c r="D496" s="11"/>
      <c r="E496" s="11"/>
      <c r="F496" s="10" t="s">
        <v>2</v>
      </c>
      <c r="G496" s="9" t="s">
        <v>5</v>
      </c>
      <c r="H496" s="9" t="s">
        <v>488</v>
      </c>
      <c r="I496" s="9" t="s">
        <v>495</v>
      </c>
      <c r="J496" s="514">
        <f>378.948+114.442</f>
        <v>493.39</v>
      </c>
      <c r="K496" s="30"/>
      <c r="L496" s="29"/>
      <c r="M496" s="28"/>
      <c r="N496" s="813"/>
      <c r="O496" s="475"/>
      <c r="P496" s="469"/>
    </row>
    <row r="497" spans="1:24" ht="16.899999999999999" hidden="1" customHeight="1" x14ac:dyDescent="0.3">
      <c r="A497" s="32"/>
      <c r="B497" s="15" t="s">
        <v>4</v>
      </c>
      <c r="C497" s="893"/>
      <c r="D497" s="11"/>
      <c r="E497" s="11"/>
      <c r="F497" s="10" t="s">
        <v>2</v>
      </c>
      <c r="G497" s="9" t="s">
        <v>1</v>
      </c>
      <c r="H497" s="9"/>
      <c r="I497" s="9"/>
      <c r="J497" s="525">
        <f>J498</f>
        <v>107.41</v>
      </c>
      <c r="K497" s="30"/>
      <c r="L497" s="29"/>
      <c r="M497" s="28"/>
      <c r="N497" s="838">
        <f>N498</f>
        <v>0</v>
      </c>
      <c r="O497" s="800">
        <f>O498</f>
        <v>0</v>
      </c>
      <c r="P497" s="526">
        <f>P498</f>
        <v>0</v>
      </c>
    </row>
    <row r="498" spans="1:24" ht="16.899999999999999" hidden="1" customHeight="1" x14ac:dyDescent="0.3">
      <c r="A498" s="32"/>
      <c r="B498" s="12" t="s">
        <v>3</v>
      </c>
      <c r="C498" s="893"/>
      <c r="D498" s="11"/>
      <c r="E498" s="11"/>
      <c r="F498" s="10" t="s">
        <v>2</v>
      </c>
      <c r="G498" s="9" t="s">
        <v>1</v>
      </c>
      <c r="H498" s="9" t="s">
        <v>488</v>
      </c>
      <c r="I498" s="9" t="s">
        <v>495</v>
      </c>
      <c r="J498" s="514">
        <f>86.41+21</f>
        <v>107.41</v>
      </c>
      <c r="K498" s="30"/>
      <c r="L498" s="29"/>
      <c r="M498" s="28"/>
      <c r="N498" s="813"/>
      <c r="O498" s="475"/>
      <c r="P498" s="469"/>
      <c r="X498" s="1"/>
    </row>
    <row r="499" spans="1:24" ht="26.15" customHeight="1" x14ac:dyDescent="0.3">
      <c r="A499" s="32"/>
      <c r="B499" s="23" t="s">
        <v>8</v>
      </c>
      <c r="C499" s="22"/>
      <c r="D499" s="20"/>
      <c r="E499" s="20"/>
      <c r="F499" s="21" t="s">
        <v>2</v>
      </c>
      <c r="G499" s="20"/>
      <c r="H499" s="20"/>
      <c r="I499" s="20"/>
      <c r="J499" s="801">
        <f>J500+J502</f>
        <v>600.79999999999995</v>
      </c>
      <c r="K499" s="802"/>
      <c r="L499" s="803">
        <f>L500+L502</f>
        <v>605.88300000000004</v>
      </c>
      <c r="M499" s="803">
        <f>M500+M502</f>
        <v>605.88300000000004</v>
      </c>
      <c r="N499" s="894">
        <f>N500+N502</f>
        <v>662.9</v>
      </c>
      <c r="O499" s="475"/>
      <c r="P499" s="475"/>
      <c r="X499" s="1"/>
    </row>
    <row r="500" spans="1:24" ht="16.899999999999999" customHeight="1" x14ac:dyDescent="0.3">
      <c r="A500" s="32"/>
      <c r="B500" s="16" t="s">
        <v>7</v>
      </c>
      <c r="C500" s="911"/>
      <c r="D500" s="11"/>
      <c r="E500" s="11"/>
      <c r="F500" s="10" t="s">
        <v>2</v>
      </c>
      <c r="G500" s="9" t="s">
        <v>5</v>
      </c>
      <c r="H500" s="9"/>
      <c r="I500" s="11"/>
      <c r="J500" s="469">
        <f>J501</f>
        <v>493.39</v>
      </c>
      <c r="K500" s="528"/>
      <c r="L500" s="469">
        <v>555.32000000000005</v>
      </c>
      <c r="M500" s="469">
        <v>555.32000000000005</v>
      </c>
      <c r="N500" s="813">
        <f>N501</f>
        <v>638.4</v>
      </c>
      <c r="O500" s="475"/>
      <c r="P500" s="475"/>
      <c r="X500" s="1"/>
    </row>
    <row r="501" spans="1:24" ht="16.899999999999999" customHeight="1" x14ac:dyDescent="0.3">
      <c r="A501" s="32"/>
      <c r="B501" s="16" t="s">
        <v>6</v>
      </c>
      <c r="C501" s="911"/>
      <c r="D501" s="11"/>
      <c r="E501" s="11"/>
      <c r="F501" s="10" t="s">
        <v>2</v>
      </c>
      <c r="G501" s="9" t="s">
        <v>5</v>
      </c>
      <c r="H501" s="9" t="s">
        <v>488</v>
      </c>
      <c r="I501" s="9" t="s">
        <v>495</v>
      </c>
      <c r="J501" s="469">
        <f>378.948+114.442</f>
        <v>493.39</v>
      </c>
      <c r="K501" s="528"/>
      <c r="L501" s="469">
        <v>555.32000000000005</v>
      </c>
      <c r="M501" s="469">
        <v>555.32000000000005</v>
      </c>
      <c r="N501" s="813">
        <f>490.323+148.077</f>
        <v>638.4</v>
      </c>
      <c r="O501" s="475"/>
      <c r="P501" s="475"/>
      <c r="X501" s="1"/>
    </row>
    <row r="502" spans="1:24" ht="16.899999999999999" customHeight="1" x14ac:dyDescent="0.3">
      <c r="A502" s="32"/>
      <c r="B502" s="15" t="s">
        <v>4</v>
      </c>
      <c r="C502" s="911"/>
      <c r="D502" s="11"/>
      <c r="E502" s="11"/>
      <c r="F502" s="10" t="s">
        <v>2</v>
      </c>
      <c r="G502" s="9" t="s">
        <v>1</v>
      </c>
      <c r="H502" s="9"/>
      <c r="I502" s="9"/>
      <c r="J502" s="526">
        <f>J503</f>
        <v>107.41</v>
      </c>
      <c r="K502" s="528"/>
      <c r="L502" s="528">
        <v>50.563000000000002</v>
      </c>
      <c r="M502" s="528">
        <v>50.563000000000002</v>
      </c>
      <c r="N502" s="838">
        <f>N503</f>
        <v>24.5</v>
      </c>
      <c r="O502" s="475"/>
      <c r="P502" s="475"/>
      <c r="X502" s="1"/>
    </row>
    <row r="503" spans="1:24" ht="16.899999999999999" customHeight="1" x14ac:dyDescent="0.25">
      <c r="A503" s="32"/>
      <c r="B503" s="754" t="s">
        <v>3</v>
      </c>
      <c r="C503" s="911"/>
      <c r="D503" s="11"/>
      <c r="E503" s="11"/>
      <c r="F503" s="10" t="s">
        <v>2</v>
      </c>
      <c r="G503" s="9" t="s">
        <v>1</v>
      </c>
      <c r="H503" s="9" t="s">
        <v>488</v>
      </c>
      <c r="I503" s="9" t="s">
        <v>495</v>
      </c>
      <c r="J503" s="469">
        <f>86.41+21</f>
        <v>107.41</v>
      </c>
      <c r="K503" s="528"/>
      <c r="L503" s="528">
        <v>50.563000000000002</v>
      </c>
      <c r="M503" s="528">
        <v>50.563000000000002</v>
      </c>
      <c r="N503" s="813">
        <v>24.5</v>
      </c>
      <c r="O503" s="475"/>
      <c r="P503" s="475"/>
      <c r="X503" s="1"/>
    </row>
    <row r="504" spans="1:24" ht="25" customHeight="1" x14ac:dyDescent="0.25">
      <c r="A504" s="32"/>
      <c r="B504" s="945" t="s">
        <v>863</v>
      </c>
      <c r="C504" s="142"/>
      <c r="D504" s="143"/>
      <c r="E504" s="142"/>
      <c r="F504" s="946" t="s">
        <v>862</v>
      </c>
      <c r="G504" s="143"/>
      <c r="H504" s="143"/>
      <c r="I504" s="142"/>
      <c r="J504" s="498"/>
      <c r="K504" s="498"/>
      <c r="L504" s="498"/>
      <c r="M504" s="513"/>
      <c r="N504" s="947">
        <f>N505</f>
        <v>392.1</v>
      </c>
      <c r="O504" s="475"/>
      <c r="P504" s="475"/>
      <c r="X504" s="1"/>
    </row>
    <row r="505" spans="1:24" ht="16.899999999999999" customHeight="1" x14ac:dyDescent="0.3">
      <c r="A505" s="32"/>
      <c r="B505" s="15" t="s">
        <v>4</v>
      </c>
      <c r="C505" s="89"/>
      <c r="D505" s="9" t="s">
        <v>52</v>
      </c>
      <c r="E505" s="9" t="s">
        <v>58</v>
      </c>
      <c r="F505" s="9" t="s">
        <v>862</v>
      </c>
      <c r="G505" s="88">
        <v>240</v>
      </c>
      <c r="H505" s="88"/>
      <c r="I505" s="469"/>
      <c r="J505" s="467"/>
      <c r="K505" s="469"/>
      <c r="L505" s="469"/>
      <c r="M505" s="84"/>
      <c r="N505" s="811">
        <f>N506</f>
        <v>392.1</v>
      </c>
      <c r="O505" s="475"/>
      <c r="P505" s="475"/>
      <c r="X505" s="1"/>
    </row>
    <row r="506" spans="1:24" ht="16.899999999999999" customHeight="1" x14ac:dyDescent="0.3">
      <c r="A506" s="32"/>
      <c r="B506" s="90" t="s">
        <v>60</v>
      </c>
      <c r="C506" s="89"/>
      <c r="D506" s="9"/>
      <c r="E506" s="9"/>
      <c r="F506" s="9" t="s">
        <v>862</v>
      </c>
      <c r="G506" s="88">
        <v>240</v>
      </c>
      <c r="H506" s="9" t="s">
        <v>452</v>
      </c>
      <c r="I506" s="9" t="s">
        <v>539</v>
      </c>
      <c r="J506" s="467"/>
      <c r="K506" s="469"/>
      <c r="L506" s="469"/>
      <c r="M506" s="84"/>
      <c r="N506" s="811">
        <v>392.1</v>
      </c>
      <c r="O506" s="475"/>
      <c r="P506" s="475"/>
      <c r="X506" s="1"/>
    </row>
    <row r="507" spans="1:24" ht="16.899999999999999" customHeight="1" x14ac:dyDescent="0.3">
      <c r="A507" s="844"/>
      <c r="B507" s="734" t="s">
        <v>830</v>
      </c>
      <c r="C507" s="735"/>
      <c r="D507" s="77"/>
      <c r="E507" s="77"/>
      <c r="F507" s="34" t="s">
        <v>831</v>
      </c>
      <c r="G507" s="9"/>
      <c r="H507" s="9"/>
      <c r="I507" s="656"/>
      <c r="J507" s="30"/>
      <c r="K507" s="29"/>
      <c r="L507" s="527"/>
      <c r="M507" s="736">
        <f>M508</f>
        <v>139.6</v>
      </c>
      <c r="N507" s="840">
        <f>N508</f>
        <v>851</v>
      </c>
      <c r="O507" s="475"/>
      <c r="P507" s="475"/>
      <c r="X507" s="1"/>
    </row>
    <row r="508" spans="1:24" ht="16.899999999999999" customHeight="1" x14ac:dyDescent="0.3">
      <c r="A508" s="845"/>
      <c r="B508" s="737" t="s">
        <v>256</v>
      </c>
      <c r="C508" s="738"/>
      <c r="D508" s="739"/>
      <c r="E508" s="739"/>
      <c r="F508" s="142" t="s">
        <v>831</v>
      </c>
      <c r="G508" s="142" t="s">
        <v>255</v>
      </c>
      <c r="H508" s="142"/>
      <c r="I508" s="740"/>
      <c r="J508" s="741"/>
      <c r="K508" s="742"/>
      <c r="L508" s="64"/>
      <c r="M508" s="743">
        <f>M509</f>
        <v>139.6</v>
      </c>
      <c r="N508" s="820">
        <f>N509</f>
        <v>851</v>
      </c>
      <c r="O508" s="475"/>
      <c r="P508" s="475"/>
      <c r="X508" s="1"/>
    </row>
    <row r="509" spans="1:24" ht="16.899999999999999" customHeight="1" x14ac:dyDescent="0.3">
      <c r="A509" s="844"/>
      <c r="B509" s="744" t="s">
        <v>87</v>
      </c>
      <c r="C509" s="735"/>
      <c r="D509" s="77"/>
      <c r="E509" s="77"/>
      <c r="F509" s="9" t="s">
        <v>831</v>
      </c>
      <c r="G509" s="9" t="s">
        <v>255</v>
      </c>
      <c r="H509" s="9" t="s">
        <v>453</v>
      </c>
      <c r="I509" s="9" t="s">
        <v>456</v>
      </c>
      <c r="J509" s="30"/>
      <c r="K509" s="29"/>
      <c r="L509" s="28"/>
      <c r="M509" s="745">
        <v>139.6</v>
      </c>
      <c r="N509" s="820">
        <v>851</v>
      </c>
      <c r="O509" s="475"/>
      <c r="P509" s="475"/>
      <c r="X509" s="1"/>
    </row>
    <row r="510" spans="1:24" ht="23" x14ac:dyDescent="0.3">
      <c r="A510" s="32"/>
      <c r="B510" s="35" t="s">
        <v>12</v>
      </c>
      <c r="C510" s="31"/>
      <c r="D510" s="9"/>
      <c r="E510" s="9"/>
      <c r="F510" s="34" t="s">
        <v>10</v>
      </c>
      <c r="G510" s="33"/>
      <c r="H510" s="33"/>
      <c r="I510" s="9"/>
      <c r="J510" s="28">
        <f>J511</f>
        <v>1109.2180000000001</v>
      </c>
      <c r="K510" s="30"/>
      <c r="L510" s="29"/>
      <c r="M510" s="28"/>
      <c r="N510" s="80">
        <f t="shared" ref="N510:P511" si="50">N511</f>
        <v>775.92</v>
      </c>
      <c r="O510" s="28">
        <f t="shared" si="50"/>
        <v>799.11500000000001</v>
      </c>
      <c r="P510" s="28">
        <f t="shared" si="50"/>
        <v>895.01</v>
      </c>
      <c r="X510" s="1"/>
    </row>
    <row r="511" spans="1:24" ht="16.899999999999999" customHeight="1" x14ac:dyDescent="0.3">
      <c r="A511" s="32"/>
      <c r="B511" s="15" t="s">
        <v>4</v>
      </c>
      <c r="C511" s="31"/>
      <c r="D511" s="9"/>
      <c r="E511" s="9"/>
      <c r="F511" s="9" t="s">
        <v>10</v>
      </c>
      <c r="G511" s="9" t="s">
        <v>1</v>
      </c>
      <c r="H511" s="9"/>
      <c r="I511" s="9"/>
      <c r="J511" s="28">
        <f>J512</f>
        <v>1109.2180000000001</v>
      </c>
      <c r="K511" s="30"/>
      <c r="L511" s="29"/>
      <c r="M511" s="28"/>
      <c r="N511" s="27">
        <f t="shared" si="50"/>
        <v>775.92</v>
      </c>
      <c r="O511" s="28">
        <f t="shared" si="50"/>
        <v>799.11500000000001</v>
      </c>
      <c r="P511" s="28">
        <f t="shared" si="50"/>
        <v>895.01</v>
      </c>
      <c r="X511" s="1"/>
    </row>
    <row r="512" spans="1:24" ht="16.899999999999999" customHeight="1" x14ac:dyDescent="0.3">
      <c r="A512" s="32"/>
      <c r="B512" s="16" t="s">
        <v>11</v>
      </c>
      <c r="C512" s="31"/>
      <c r="D512" s="9"/>
      <c r="E512" s="9"/>
      <c r="F512" s="9" t="s">
        <v>10</v>
      </c>
      <c r="G512" s="9" t="s">
        <v>1</v>
      </c>
      <c r="H512" s="9" t="s">
        <v>463</v>
      </c>
      <c r="I512" s="9" t="s">
        <v>456</v>
      </c>
      <c r="J512" s="467">
        <v>1109.2180000000001</v>
      </c>
      <c r="K512" s="30"/>
      <c r="L512" s="29"/>
      <c r="M512" s="527"/>
      <c r="N512" s="811">
        <v>775.92</v>
      </c>
      <c r="O512" s="783">
        <v>799.11500000000001</v>
      </c>
      <c r="P512" s="467">
        <v>895.01</v>
      </c>
      <c r="X512" s="1"/>
    </row>
    <row r="513" spans="1:24" ht="26" hidden="1" x14ac:dyDescent="0.3">
      <c r="A513" s="145"/>
      <c r="B513" s="23" t="s">
        <v>8</v>
      </c>
      <c r="C513" s="22"/>
      <c r="D513" s="20"/>
      <c r="E513" s="20"/>
      <c r="F513" s="21" t="s">
        <v>2</v>
      </c>
      <c r="G513" s="20"/>
      <c r="H513" s="20"/>
      <c r="I513" s="20"/>
      <c r="J513" s="801">
        <f>J514+J516</f>
        <v>600.79999999999995</v>
      </c>
      <c r="K513" s="802"/>
      <c r="L513" s="803">
        <f>L514+L516</f>
        <v>605.88300000000004</v>
      </c>
      <c r="M513" s="803">
        <f>M514+M516</f>
        <v>605.88300000000004</v>
      </c>
      <c r="N513" s="894">
        <f>N514+N516</f>
        <v>0</v>
      </c>
      <c r="O513" s="799">
        <f>O514+O516</f>
        <v>600.79999999999995</v>
      </c>
      <c r="P513" s="524">
        <f>P514+P516</f>
        <v>600.79999999999995</v>
      </c>
      <c r="X513" s="1"/>
    </row>
    <row r="514" spans="1:24" ht="13" hidden="1" x14ac:dyDescent="0.3">
      <c r="A514" s="32"/>
      <c r="B514" s="16" t="s">
        <v>7</v>
      </c>
      <c r="C514" s="893"/>
      <c r="D514" s="11"/>
      <c r="E514" s="11"/>
      <c r="F514" s="10" t="s">
        <v>2</v>
      </c>
      <c r="G514" s="9" t="s">
        <v>5</v>
      </c>
      <c r="H514" s="9"/>
      <c r="I514" s="11"/>
      <c r="J514" s="469">
        <f>J515</f>
        <v>493.39</v>
      </c>
      <c r="K514" s="528"/>
      <c r="L514" s="469">
        <v>555.32000000000005</v>
      </c>
      <c r="M514" s="469">
        <v>555.32000000000005</v>
      </c>
      <c r="N514" s="813">
        <f>N515</f>
        <v>0</v>
      </c>
      <c r="O514" s="475">
        <f>O515</f>
        <v>493.39</v>
      </c>
      <c r="P514" s="469">
        <f>P515</f>
        <v>493.39</v>
      </c>
      <c r="X514" s="1"/>
    </row>
    <row r="515" spans="1:24" ht="13" hidden="1" x14ac:dyDescent="0.3">
      <c r="A515" s="32"/>
      <c r="B515" s="16" t="s">
        <v>6</v>
      </c>
      <c r="C515" s="893"/>
      <c r="D515" s="11"/>
      <c r="E515" s="11"/>
      <c r="F515" s="10" t="s">
        <v>2</v>
      </c>
      <c r="G515" s="9" t="s">
        <v>5</v>
      </c>
      <c r="H515" s="9" t="s">
        <v>488</v>
      </c>
      <c r="I515" s="9" t="s">
        <v>495</v>
      </c>
      <c r="J515" s="469">
        <f>378.948+114.442</f>
        <v>493.39</v>
      </c>
      <c r="K515" s="528"/>
      <c r="L515" s="469">
        <v>555.32000000000005</v>
      </c>
      <c r="M515" s="469">
        <v>555.32000000000005</v>
      </c>
      <c r="N515" s="813"/>
      <c r="O515" s="475">
        <f>378.948+114.442</f>
        <v>493.39</v>
      </c>
      <c r="P515" s="469">
        <f>378.948+114.442</f>
        <v>493.39</v>
      </c>
      <c r="X515" s="1"/>
    </row>
    <row r="516" spans="1:24" ht="26" hidden="1" x14ac:dyDescent="0.3">
      <c r="A516" s="32"/>
      <c r="B516" s="15" t="s">
        <v>4</v>
      </c>
      <c r="C516" s="893"/>
      <c r="D516" s="11"/>
      <c r="E516" s="11"/>
      <c r="F516" s="10" t="s">
        <v>2</v>
      </c>
      <c r="G516" s="9" t="s">
        <v>1</v>
      </c>
      <c r="H516" s="9"/>
      <c r="I516" s="9"/>
      <c r="J516" s="526">
        <f>J517</f>
        <v>107.41</v>
      </c>
      <c r="K516" s="528"/>
      <c r="L516" s="528">
        <v>50.563000000000002</v>
      </c>
      <c r="M516" s="528">
        <v>50.563000000000002</v>
      </c>
      <c r="N516" s="838">
        <f>N517</f>
        <v>0</v>
      </c>
      <c r="O516" s="800">
        <f>O517</f>
        <v>107.41</v>
      </c>
      <c r="P516" s="526">
        <f>P517</f>
        <v>107.41</v>
      </c>
      <c r="X516" s="1"/>
    </row>
    <row r="517" spans="1:24" ht="13.5" hidden="1" thickBot="1" x14ac:dyDescent="0.3">
      <c r="A517" s="26"/>
      <c r="B517" s="943" t="s">
        <v>3</v>
      </c>
      <c r="C517" s="896"/>
      <c r="D517" s="897"/>
      <c r="E517" s="897"/>
      <c r="F517" s="898" t="s">
        <v>2</v>
      </c>
      <c r="G517" s="25" t="s">
        <v>1</v>
      </c>
      <c r="H517" s="25" t="s">
        <v>488</v>
      </c>
      <c r="I517" s="25" t="s">
        <v>495</v>
      </c>
      <c r="J517" s="899">
        <f>86.41+21</f>
        <v>107.41</v>
      </c>
      <c r="K517" s="900"/>
      <c r="L517" s="900">
        <v>50.563000000000002</v>
      </c>
      <c r="M517" s="900">
        <v>50.563000000000002</v>
      </c>
      <c r="N517" s="901"/>
      <c r="O517" s="475">
        <f>86.41+21</f>
        <v>107.41</v>
      </c>
      <c r="P517" s="469">
        <f>86.41+21</f>
        <v>107.41</v>
      </c>
      <c r="X517" s="1"/>
    </row>
    <row r="518" spans="1:24" x14ac:dyDescent="0.25">
      <c r="X518" s="1"/>
    </row>
  </sheetData>
  <mergeCells count="16">
    <mergeCell ref="G5:N5"/>
    <mergeCell ref="P1:U1"/>
    <mergeCell ref="I2:N2"/>
    <mergeCell ref="P2:U2"/>
    <mergeCell ref="F3:N3"/>
    <mergeCell ref="P4:U4"/>
    <mergeCell ref="G459:J459"/>
    <mergeCell ref="G460:J460"/>
    <mergeCell ref="G488:J488"/>
    <mergeCell ref="G489:J489"/>
    <mergeCell ref="B12:J12"/>
    <mergeCell ref="A14:J14"/>
    <mergeCell ref="A15:J15"/>
    <mergeCell ref="A17:J17"/>
    <mergeCell ref="G127:J127"/>
    <mergeCell ref="G128:J128"/>
  </mergeCells>
  <pageMargins left="0.59055118110236227" right="0.59055118110236227" top="0.31496062992125984" bottom="0.31496062992125984" header="0.31496062992125984" footer="0.31496062992125984"/>
  <pageSetup scale="62" firstPageNumber="55" fitToHeight="4" orientation="portrait" useFirstPageNumber="1" r:id="rId1"/>
  <headerFooter alignWithMargins="0"/>
  <rowBreaks count="1" manualBreakCount="1">
    <brk id="207" max="14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W498"/>
  <sheetViews>
    <sheetView view="pageBreakPreview" topLeftCell="A440" zoomScale="50" zoomScaleNormal="95" zoomScaleSheetLayoutView="50" workbookViewId="0">
      <selection activeCell="Y491" sqref="Y491"/>
    </sheetView>
  </sheetViews>
  <sheetFormatPr defaultColWidth="9.1796875" defaultRowHeight="12.5" x14ac:dyDescent="0.25"/>
  <cols>
    <col min="1" max="1" width="8.81640625" style="1" customWidth="1"/>
    <col min="2" max="2" width="60.26953125" style="6" customWidth="1"/>
    <col min="3" max="3" width="10" style="5" hidden="1" customWidth="1"/>
    <col min="4" max="4" width="9.26953125" style="4" hidden="1" customWidth="1"/>
    <col min="5" max="5" width="10.453125" style="4" hidden="1" customWidth="1"/>
    <col min="6" max="6" width="13.26953125" style="4" customWidth="1"/>
    <col min="7" max="8" width="10.26953125" style="4" customWidth="1"/>
    <col min="9" max="9" width="10.453125" style="4" customWidth="1"/>
    <col min="10" max="10" width="22.1796875" style="263" hidden="1" customWidth="1"/>
    <col min="11" max="11" width="14.7265625" style="263" hidden="1" customWidth="1"/>
    <col min="12" max="12" width="15.81640625" style="263" hidden="1" customWidth="1"/>
    <col min="13" max="13" width="18.7265625" style="263" hidden="1" customWidth="1"/>
    <col min="14" max="14" width="22.1796875" style="263" hidden="1" customWidth="1"/>
    <col min="15" max="15" width="22.1796875" style="263" customWidth="1"/>
    <col min="16" max="16" width="22.1796875" style="1297" customWidth="1"/>
    <col min="17" max="17" width="12" style="2" customWidth="1"/>
    <col min="18" max="18" width="11.54296875" style="2" customWidth="1"/>
    <col min="19" max="24" width="9.1796875" style="2" customWidth="1"/>
    <col min="25" max="16384" width="9.1796875" style="1"/>
  </cols>
  <sheetData>
    <row r="1" spans="1:257" s="2" customFormat="1" ht="15.5" x14ac:dyDescent="0.35">
      <c r="A1" s="1"/>
      <c r="B1" s="6"/>
      <c r="C1" s="5"/>
      <c r="D1" s="4"/>
      <c r="E1" s="4"/>
      <c r="F1" s="4"/>
      <c r="G1" s="4"/>
      <c r="H1" s="4"/>
      <c r="I1" s="4"/>
      <c r="J1" s="263"/>
      <c r="K1" s="263"/>
      <c r="L1" s="263"/>
      <c r="M1" s="263"/>
      <c r="N1" s="263"/>
      <c r="O1" s="4"/>
      <c r="P1" s="410" t="s">
        <v>946</v>
      </c>
      <c r="Q1" s="4"/>
      <c r="R1" s="1464"/>
      <c r="S1" s="1464"/>
      <c r="T1" s="1464"/>
      <c r="U1" s="1464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2" customFormat="1" ht="15.5" x14ac:dyDescent="0.35">
      <c r="A2" s="1"/>
      <c r="B2" s="6"/>
      <c r="C2" s="5"/>
      <c r="D2" s="4"/>
      <c r="E2" s="4"/>
      <c r="F2" s="4"/>
      <c r="G2" s="4"/>
      <c r="H2" s="4"/>
      <c r="I2" s="4"/>
      <c r="J2" s="263"/>
      <c r="K2" s="263"/>
      <c r="L2" s="3162" t="s">
        <v>450</v>
      </c>
      <c r="M2" s="3162"/>
      <c r="N2" s="3162"/>
      <c r="O2" s="3162"/>
      <c r="P2" s="3162"/>
      <c r="Q2" s="4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</row>
    <row r="3" spans="1:257" s="2" customFormat="1" ht="15.5" x14ac:dyDescent="0.35">
      <c r="A3" s="1"/>
      <c r="B3" s="6"/>
      <c r="C3" s="261"/>
      <c r="D3" s="261"/>
      <c r="E3" s="261"/>
      <c r="F3" s="4"/>
      <c r="G3" s="4"/>
      <c r="H3" s="4"/>
      <c r="I3" s="4"/>
      <c r="J3" s="263"/>
      <c r="K3" s="263"/>
      <c r="L3" s="263"/>
      <c r="M3" s="263"/>
      <c r="N3" s="263"/>
      <c r="O3" s="263"/>
      <c r="P3" s="410" t="s">
        <v>449</v>
      </c>
      <c r="Q3" s="261"/>
      <c r="R3" s="261"/>
      <c r="S3" s="261"/>
      <c r="T3" s="261"/>
      <c r="U3" s="261"/>
      <c r="V3" s="26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2" customFormat="1" ht="15.5" x14ac:dyDescent="0.35">
      <c r="A4" s="1"/>
      <c r="B4" s="6"/>
      <c r="C4" s="5"/>
      <c r="D4" s="1464"/>
      <c r="E4" s="1464"/>
      <c r="F4" s="4"/>
      <c r="G4" s="4"/>
      <c r="H4" s="4"/>
      <c r="I4" s="4"/>
      <c r="J4" s="263"/>
      <c r="K4" s="263"/>
      <c r="L4" s="263"/>
      <c r="M4" s="263"/>
      <c r="N4" s="263"/>
      <c r="O4" s="1464"/>
      <c r="P4" s="411" t="s">
        <v>448</v>
      </c>
      <c r="Q4" s="1464"/>
      <c r="R4" s="1464"/>
      <c r="S4" s="263"/>
      <c r="T4" s="263"/>
      <c r="U4" s="1464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</row>
    <row r="5" spans="1:257" s="2" customFormat="1" ht="15.5" x14ac:dyDescent="0.25">
      <c r="A5" s="1"/>
      <c r="B5" s="6"/>
      <c r="C5" s="5"/>
      <c r="D5" s="1273" t="s">
        <v>447</v>
      </c>
      <c r="E5" s="1273"/>
      <c r="F5" s="4"/>
      <c r="G5" s="4"/>
      <c r="H5" s="4"/>
      <c r="I5" s="4"/>
      <c r="J5" s="263"/>
      <c r="K5" s="263"/>
      <c r="L5" s="263"/>
      <c r="M5" s="263"/>
      <c r="N5" s="263"/>
      <c r="O5" s="1273"/>
      <c r="P5" s="411" t="s">
        <v>944</v>
      </c>
      <c r="Q5" s="1273"/>
      <c r="R5" s="1273"/>
      <c r="S5" s="263"/>
      <c r="T5" s="263"/>
      <c r="U5" s="1274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s="2" customFormat="1" ht="13.15" customHeight="1" x14ac:dyDescent="0.25">
      <c r="A6" s="1"/>
      <c r="B6" s="6"/>
      <c r="C6" s="5"/>
      <c r="D6" s="4"/>
      <c r="E6" s="4"/>
      <c r="F6" s="4"/>
      <c r="G6" s="4"/>
      <c r="H6" s="4"/>
      <c r="I6" s="4"/>
      <c r="J6" s="263"/>
      <c r="K6" s="263"/>
      <c r="L6" s="263"/>
      <c r="M6" s="263"/>
      <c r="N6" s="263"/>
      <c r="O6" s="4"/>
      <c r="P6" s="413"/>
      <c r="Q6" s="4"/>
      <c r="R6" s="263"/>
      <c r="S6" s="263"/>
      <c r="T6" s="263"/>
      <c r="U6" s="4"/>
      <c r="V6" s="6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s="2" customFormat="1" ht="15.5" hidden="1" x14ac:dyDescent="0.35">
      <c r="A7" s="1"/>
      <c r="B7" s="1275"/>
      <c r="C7" s="5"/>
      <c r="D7" s="4"/>
      <c r="E7" s="254"/>
      <c r="F7" s="4"/>
      <c r="G7" s="4"/>
      <c r="H7" s="4"/>
      <c r="I7" s="4"/>
      <c r="J7" s="263"/>
      <c r="K7" s="263"/>
      <c r="L7" s="263"/>
      <c r="M7" s="263"/>
      <c r="N7" s="263"/>
      <c r="O7" s="254"/>
      <c r="P7" s="1276" t="s">
        <v>446</v>
      </c>
      <c r="Q7" s="254"/>
      <c r="R7" s="263"/>
      <c r="S7" s="263"/>
      <c r="T7" s="263"/>
      <c r="U7" s="4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s="2" customFormat="1" ht="15.5" hidden="1" x14ac:dyDescent="0.35">
      <c r="A8" s="1"/>
      <c r="B8" s="6"/>
      <c r="C8" s="5"/>
      <c r="D8" s="4"/>
      <c r="E8" s="254"/>
      <c r="F8" s="4"/>
      <c r="G8" s="4"/>
      <c r="H8" s="4"/>
      <c r="I8" s="4"/>
      <c r="J8" s="263"/>
      <c r="K8" s="263"/>
      <c r="L8" s="263"/>
      <c r="M8" s="263"/>
      <c r="N8" s="263"/>
      <c r="O8" s="254"/>
      <c r="P8" s="415"/>
      <c r="Q8" s="254"/>
      <c r="R8" s="1277"/>
      <c r="S8" s="263"/>
      <c r="T8" s="263"/>
      <c r="U8" s="4"/>
      <c r="V8" s="6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s="2" customFormat="1" ht="15.5" hidden="1" x14ac:dyDescent="0.35">
      <c r="A9" s="1"/>
      <c r="B9" s="1275"/>
      <c r="C9" s="5"/>
      <c r="D9" s="4"/>
      <c r="E9" s="254"/>
      <c r="F9" s="4"/>
      <c r="G9" s="4"/>
      <c r="H9" s="4"/>
      <c r="I9" s="4"/>
      <c r="J9" s="263"/>
      <c r="K9" s="263"/>
      <c r="L9" s="263"/>
      <c r="M9" s="263"/>
      <c r="N9" s="263"/>
      <c r="O9" s="254"/>
      <c r="P9" s="1276" t="s">
        <v>848</v>
      </c>
      <c r="Q9" s="254"/>
      <c r="R9" s="263"/>
      <c r="S9" s="263"/>
      <c r="T9" s="263"/>
      <c r="U9" s="4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</row>
    <row r="10" spans="1:257" s="2" customFormat="1" ht="15.5" hidden="1" x14ac:dyDescent="0.35">
      <c r="A10" s="1"/>
      <c r="B10" s="250"/>
      <c r="C10" s="249"/>
      <c r="D10" s="247"/>
      <c r="E10" s="247"/>
      <c r="F10" s="247"/>
      <c r="G10" s="247"/>
      <c r="H10" s="247"/>
      <c r="I10" s="247"/>
      <c r="J10" s="382">
        <v>69983.100000000006</v>
      </c>
      <c r="K10" s="379" t="s">
        <v>444</v>
      </c>
      <c r="L10" s="378">
        <v>72195.899999999994</v>
      </c>
      <c r="M10" s="381">
        <v>73707.5</v>
      </c>
      <c r="N10" s="382">
        <v>69983.100000000006</v>
      </c>
      <c r="O10" s="382">
        <v>69983.100000000006</v>
      </c>
      <c r="P10" s="380">
        <v>69983.100000000006</v>
      </c>
      <c r="Q10" s="25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</row>
    <row r="11" spans="1:257" s="2" customFormat="1" ht="13" x14ac:dyDescent="0.3">
      <c r="A11" s="1"/>
      <c r="B11" s="250"/>
      <c r="C11" s="249"/>
      <c r="D11" s="247"/>
      <c r="E11" s="247"/>
      <c r="F11" s="247"/>
      <c r="G11" s="248" t="s">
        <v>442</v>
      </c>
      <c r="H11" s="248"/>
      <c r="I11" s="247"/>
      <c r="J11" s="380">
        <f>J10-J20</f>
        <v>0</v>
      </c>
      <c r="K11" s="379" t="s">
        <v>443</v>
      </c>
      <c r="L11" s="378">
        <v>1804.9</v>
      </c>
      <c r="M11" s="377">
        <v>3685.4</v>
      </c>
      <c r="N11" s="380">
        <f>N10-N20</f>
        <v>0</v>
      </c>
      <c r="O11" s="380">
        <f>O10-O20</f>
        <v>0</v>
      </c>
      <c r="P11" s="380">
        <f>P10-P20</f>
        <v>0</v>
      </c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</row>
    <row r="12" spans="1:257" s="2" customFormat="1" ht="15.5" x14ac:dyDescent="0.3">
      <c r="A12" s="1"/>
      <c r="B12" s="3376"/>
      <c r="C12" s="3376"/>
      <c r="D12" s="3376"/>
      <c r="E12" s="3376"/>
      <c r="F12" s="3376"/>
      <c r="G12" s="3376"/>
      <c r="H12" s="3376"/>
      <c r="I12" s="3376"/>
      <c r="J12" s="3376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N12" s="1"/>
      <c r="O12" s="237"/>
      <c r="P12" s="237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</row>
    <row r="13" spans="1:257" s="2" customFormat="1" ht="15.65" customHeight="1" x14ac:dyDescent="0.3">
      <c r="A13" s="3377" t="s">
        <v>441</v>
      </c>
      <c r="B13" s="3377"/>
      <c r="C13" s="3377"/>
      <c r="D13" s="3377"/>
      <c r="E13" s="3377"/>
      <c r="F13" s="3377"/>
      <c r="G13" s="3377"/>
      <c r="H13" s="3377"/>
      <c r="I13" s="3377"/>
      <c r="J13" s="3377"/>
      <c r="K13" s="3377"/>
      <c r="L13" s="3377"/>
      <c r="M13" s="3377"/>
      <c r="N13" s="3377"/>
      <c r="O13" s="3377"/>
      <c r="P13" s="3377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</row>
    <row r="14" spans="1:257" s="2" customFormat="1" ht="17.5" customHeight="1" x14ac:dyDescent="0.3">
      <c r="A14" s="3377" t="s">
        <v>440</v>
      </c>
      <c r="B14" s="3377"/>
      <c r="C14" s="3377"/>
      <c r="D14" s="3377"/>
      <c r="E14" s="3377"/>
      <c r="F14" s="3377"/>
      <c r="G14" s="3377"/>
      <c r="H14" s="3377"/>
      <c r="I14" s="3377"/>
      <c r="J14" s="3377"/>
      <c r="K14" s="3377"/>
      <c r="L14" s="3377"/>
      <c r="M14" s="3377"/>
      <c r="N14" s="3377"/>
      <c r="O14" s="3377"/>
      <c r="P14" s="3377"/>
      <c r="Q14" s="890">
        <v>2408.288</v>
      </c>
      <c r="R14" s="890">
        <v>4974.3450000000003</v>
      </c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</row>
    <row r="15" spans="1:257" s="2" customFormat="1" ht="15" customHeight="1" x14ac:dyDescent="0.3">
      <c r="A15" s="3377" t="s">
        <v>439</v>
      </c>
      <c r="B15" s="3377"/>
      <c r="C15" s="3377"/>
      <c r="D15" s="3377"/>
      <c r="E15" s="3377"/>
      <c r="F15" s="3377"/>
      <c r="G15" s="3377"/>
      <c r="H15" s="3377"/>
      <c r="I15" s="3377"/>
      <c r="J15" s="3377"/>
      <c r="K15" s="3377"/>
      <c r="L15" s="3377"/>
      <c r="M15" s="3377"/>
      <c r="N15" s="3377"/>
      <c r="O15" s="3377"/>
      <c r="P15" s="3377"/>
      <c r="Q15" s="891">
        <f>O189+Q14</f>
        <v>96984.474999999991</v>
      </c>
      <c r="R15" s="891">
        <f>R14+P189</f>
        <v>99695.904999999999</v>
      </c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</row>
    <row r="16" spans="1:257" s="2" customFormat="1" ht="13.5" customHeight="1" x14ac:dyDescent="0.3">
      <c r="A16" s="3377" t="s">
        <v>438</v>
      </c>
      <c r="B16" s="3377"/>
      <c r="C16" s="3377"/>
      <c r="D16" s="3377"/>
      <c r="E16" s="3377"/>
      <c r="F16" s="3377"/>
      <c r="G16" s="3377"/>
      <c r="H16" s="3377"/>
      <c r="I16" s="3377"/>
      <c r="J16" s="3377"/>
      <c r="K16" s="3377"/>
      <c r="L16" s="3377"/>
      <c r="M16" s="3377"/>
      <c r="N16" s="3377"/>
      <c r="O16" s="3377"/>
      <c r="P16" s="3377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</row>
    <row r="17" spans="1:24" ht="16.149999999999999" customHeight="1" x14ac:dyDescent="0.3">
      <c r="A17" s="3377" t="s">
        <v>898</v>
      </c>
      <c r="B17" s="3377"/>
      <c r="C17" s="3377"/>
      <c r="D17" s="3377"/>
      <c r="E17" s="3377"/>
      <c r="F17" s="3377"/>
      <c r="G17" s="3377"/>
      <c r="H17" s="3377"/>
      <c r="I17" s="3377"/>
      <c r="J17" s="3377"/>
      <c r="K17" s="3377"/>
      <c r="L17" s="3377"/>
      <c r="M17" s="3377"/>
      <c r="N17" s="3377"/>
      <c r="O17" s="3377"/>
      <c r="P17" s="3377"/>
    </row>
    <row r="18" spans="1:24" ht="16" thickBot="1" x14ac:dyDescent="0.4">
      <c r="B18" s="236"/>
      <c r="C18" s="235"/>
      <c r="D18" s="234"/>
      <c r="E18" s="234"/>
      <c r="F18" s="234"/>
      <c r="G18" s="234"/>
      <c r="H18" s="234"/>
      <c r="I18" s="234"/>
      <c r="J18" s="374" t="s">
        <v>437</v>
      </c>
      <c r="K18" s="374"/>
      <c r="L18" s="374"/>
      <c r="M18" s="374"/>
      <c r="N18" s="374" t="s">
        <v>437</v>
      </c>
      <c r="O18" s="374"/>
      <c r="P18" s="396" t="s">
        <v>829</v>
      </c>
    </row>
    <row r="19" spans="1:24" ht="65.5" hidden="1" thickBot="1" x14ac:dyDescent="0.3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630" t="s">
        <v>319</v>
      </c>
      <c r="K19" s="630"/>
      <c r="L19" s="1278" t="s">
        <v>318</v>
      </c>
      <c r="M19" s="1278" t="s">
        <v>317</v>
      </c>
      <c r="N19" s="630" t="s">
        <v>319</v>
      </c>
      <c r="O19" s="630" t="s">
        <v>319</v>
      </c>
      <c r="P19" s="1279" t="s">
        <v>319</v>
      </c>
    </row>
    <row r="20" spans="1:24" s="83" customFormat="1" ht="15.5" hidden="1" thickBot="1" x14ac:dyDescent="0.35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633">
        <f>J21+J64+J69+J83+J105+J144+J152+J166+J173</f>
        <v>69983.100000000006</v>
      </c>
      <c r="K20" s="1280"/>
      <c r="L20" s="633">
        <f>L21+L64+L69+L83+L105+L144+L152+L166+L173</f>
        <v>70391.000180000003</v>
      </c>
      <c r="M20" s="633">
        <f>M21+M64+M69+M83+M105+M144+M152+M166+M173</f>
        <v>70022.0995826</v>
      </c>
      <c r="N20" s="633">
        <f>N21+N64+N69+N83+N105+N144+N152+N166+N173</f>
        <v>69983.100000000006</v>
      </c>
      <c r="O20" s="633">
        <f>O21+O64+O69+O83+O105+O144+O152+O166+O173</f>
        <v>69983.100000000006</v>
      </c>
      <c r="P20" s="1281">
        <f>P21+P64+P69+P83+P105+P144+P152+P166+P173</f>
        <v>69983.100000000006</v>
      </c>
      <c r="Q20" s="84"/>
      <c r="R20" s="84"/>
      <c r="S20" s="84"/>
      <c r="T20" s="84"/>
      <c r="U20" s="84"/>
      <c r="V20" s="84"/>
      <c r="W20" s="84"/>
      <c r="X20" s="84"/>
    </row>
    <row r="21" spans="1:24" s="83" customFormat="1" ht="14.5" hidden="1" thickBot="1" x14ac:dyDescent="0.35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637">
        <f>J25+J30+J48+J55+J60</f>
        <v>16206.808000000001</v>
      </c>
      <c r="K21" s="698"/>
      <c r="L21" s="637">
        <f>L25+L30+L48+L55+L60</f>
        <v>16980.082180000001</v>
      </c>
      <c r="M21" s="637">
        <f>M25+M30+M48+M55+M60</f>
        <v>17936.364582600003</v>
      </c>
      <c r="N21" s="637">
        <f>N25+N30+N48+N55+N60</f>
        <v>16206.808000000001</v>
      </c>
      <c r="O21" s="637">
        <f>O25+O30+O48+O55+O60</f>
        <v>16206.808000000001</v>
      </c>
      <c r="P21" s="1282">
        <f>P25+P30+P48+P55+P60</f>
        <v>16206.808000000001</v>
      </c>
      <c r="Q21" s="84"/>
      <c r="R21" s="84"/>
      <c r="S21" s="84"/>
      <c r="T21" s="84"/>
      <c r="U21" s="84"/>
      <c r="V21" s="84"/>
      <c r="W21" s="84"/>
      <c r="X21" s="84"/>
    </row>
    <row r="22" spans="1:24" s="83" customFormat="1" ht="26.5" hidden="1" thickBot="1" x14ac:dyDescent="0.35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640"/>
      <c r="K22" s="640"/>
      <c r="L22" s="640"/>
      <c r="M22" s="640"/>
      <c r="N22" s="640"/>
      <c r="O22" s="640"/>
      <c r="P22" s="1283"/>
      <c r="Q22" s="84"/>
      <c r="R22" s="84"/>
      <c r="S22" s="84"/>
      <c r="T22" s="84"/>
      <c r="U22" s="84"/>
      <c r="V22" s="84"/>
      <c r="W22" s="84"/>
      <c r="X22" s="84"/>
    </row>
    <row r="23" spans="1:24" s="83" customFormat="1" ht="39.5" hidden="1" thickBot="1" x14ac:dyDescent="0.35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640"/>
      <c r="K23" s="640"/>
      <c r="L23" s="640"/>
      <c r="M23" s="640"/>
      <c r="N23" s="640"/>
      <c r="O23" s="640"/>
      <c r="P23" s="1283"/>
      <c r="Q23" s="84"/>
      <c r="R23" s="84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3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640"/>
      <c r="K24" s="640"/>
      <c r="L24" s="640"/>
      <c r="M24" s="640"/>
      <c r="N24" s="640"/>
      <c r="O24" s="640"/>
      <c r="P24" s="1283"/>
      <c r="Q24" s="84"/>
      <c r="R24" s="84"/>
      <c r="S24" s="84"/>
      <c r="T24" s="84"/>
      <c r="U24" s="84"/>
      <c r="V24" s="84"/>
      <c r="W24" s="84"/>
      <c r="X24" s="84"/>
    </row>
    <row r="25" spans="1:24" s="83" customFormat="1" ht="39.5" hidden="1" thickBot="1" x14ac:dyDescent="0.35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644">
        <f>J26</f>
        <v>2155.7860000000001</v>
      </c>
      <c r="K25" s="640"/>
      <c r="L25" s="644">
        <f t="shared" ref="L25:P26" si="0">L26</f>
        <v>2285.1331600000003</v>
      </c>
      <c r="M25" s="644">
        <f t="shared" si="0"/>
        <v>2445.0924812000003</v>
      </c>
      <c r="N25" s="644">
        <f t="shared" si="0"/>
        <v>2155.7860000000001</v>
      </c>
      <c r="O25" s="644">
        <f t="shared" si="0"/>
        <v>2155.7860000000001</v>
      </c>
      <c r="P25" s="1283">
        <f t="shared" si="0"/>
        <v>2155.7860000000001</v>
      </c>
      <c r="Q25" s="84"/>
      <c r="R25" s="84"/>
      <c r="S25" s="84"/>
      <c r="T25" s="84"/>
      <c r="U25" s="84"/>
      <c r="V25" s="84"/>
      <c r="W25" s="84"/>
      <c r="X25" s="84"/>
    </row>
    <row r="26" spans="1:24" s="83" customFormat="1" ht="39.5" hidden="1" thickBot="1" x14ac:dyDescent="0.35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644">
        <f>J27</f>
        <v>2155.7860000000001</v>
      </c>
      <c r="K26" s="644"/>
      <c r="L26" s="644">
        <f t="shared" si="0"/>
        <v>2285.1331600000003</v>
      </c>
      <c r="M26" s="644">
        <f t="shared" si="0"/>
        <v>2445.0924812000003</v>
      </c>
      <c r="N26" s="644">
        <f t="shared" si="0"/>
        <v>2155.7860000000001</v>
      </c>
      <c r="O26" s="644">
        <f t="shared" si="0"/>
        <v>2155.7860000000001</v>
      </c>
      <c r="P26" s="1283">
        <f t="shared" si="0"/>
        <v>2155.7860000000001</v>
      </c>
      <c r="Q26" s="84"/>
      <c r="R26" s="84"/>
      <c r="S26" s="84"/>
      <c r="T26" s="84"/>
      <c r="U26" s="84"/>
      <c r="V26" s="84"/>
      <c r="W26" s="84"/>
      <c r="X26" s="84"/>
    </row>
    <row r="27" spans="1:24" s="83" customFormat="1" ht="22.15" hidden="1" customHeight="1" x14ac:dyDescent="0.3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644">
        <f>J28+J29</f>
        <v>2155.7860000000001</v>
      </c>
      <c r="K27" s="640"/>
      <c r="L27" s="644">
        <f>L28+L29</f>
        <v>2285.1331600000003</v>
      </c>
      <c r="M27" s="644">
        <f>M28+M29</f>
        <v>2445.0924812000003</v>
      </c>
      <c r="N27" s="644">
        <f>N28+N29</f>
        <v>2155.7860000000001</v>
      </c>
      <c r="O27" s="644">
        <f>O28+O29</f>
        <v>2155.7860000000001</v>
      </c>
      <c r="P27" s="1283">
        <f>P28+P29</f>
        <v>2155.7860000000001</v>
      </c>
      <c r="Q27" s="84"/>
      <c r="R27" s="84"/>
      <c r="S27" s="84"/>
      <c r="T27" s="84"/>
      <c r="U27" s="84"/>
      <c r="V27" s="84"/>
      <c r="W27" s="84"/>
      <c r="X27" s="84"/>
    </row>
    <row r="28" spans="1:24" s="83" customFormat="1" ht="16.149999999999999" hidden="1" customHeight="1" x14ac:dyDescent="0.3">
      <c r="B28" s="1284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646">
        <v>1300.211</v>
      </c>
      <c r="K28" s="644"/>
      <c r="L28" s="653">
        <f>J28*106%</f>
        <v>1378.2236600000001</v>
      </c>
      <c r="M28" s="653">
        <f>L28*107%</f>
        <v>1474.6993162000001</v>
      </c>
      <c r="N28" s="646">
        <v>1300.211</v>
      </c>
      <c r="O28" s="646">
        <v>1300.211</v>
      </c>
      <c r="P28" s="1285">
        <v>1300.211</v>
      </c>
      <c r="Q28" s="84"/>
      <c r="R28" s="84"/>
      <c r="S28" s="84"/>
      <c r="T28" s="84"/>
      <c r="U28" s="84"/>
      <c r="V28" s="84"/>
      <c r="W28" s="84"/>
      <c r="X28" s="84"/>
    </row>
    <row r="29" spans="1:24" s="83" customFormat="1" ht="18.649999999999999" hidden="1" customHeight="1" x14ac:dyDescent="0.3">
      <c r="B29" s="1284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647">
        <v>855.57500000000005</v>
      </c>
      <c r="K29" s="640"/>
      <c r="L29" s="656">
        <f>J29*106%</f>
        <v>906.90950000000009</v>
      </c>
      <c r="M29" s="656">
        <f>L29*107%</f>
        <v>970.39316500000018</v>
      </c>
      <c r="N29" s="647">
        <v>855.57500000000005</v>
      </c>
      <c r="O29" s="647">
        <v>855.57500000000005</v>
      </c>
      <c r="P29" s="1285">
        <v>855.57500000000005</v>
      </c>
      <c r="Q29" s="84"/>
      <c r="R29" s="84"/>
      <c r="S29" s="84"/>
      <c r="T29" s="84"/>
      <c r="U29" s="84"/>
      <c r="V29" s="84"/>
      <c r="W29" s="84"/>
      <c r="X29" s="84"/>
    </row>
    <row r="30" spans="1:24" ht="39.5" hidden="1" thickBot="1" x14ac:dyDescent="0.3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650">
        <f>J31</f>
        <v>11843.717000000001</v>
      </c>
      <c r="K30" s="655"/>
      <c r="L30" s="650">
        <f>L31</f>
        <v>12487.644020000002</v>
      </c>
      <c r="M30" s="650">
        <f>M31</f>
        <v>13283.967101400003</v>
      </c>
      <c r="N30" s="650">
        <f>N31</f>
        <v>11843.717000000001</v>
      </c>
      <c r="O30" s="650">
        <f>O31</f>
        <v>11843.717000000001</v>
      </c>
      <c r="P30" s="680">
        <f>P31</f>
        <v>11843.717000000001</v>
      </c>
    </row>
    <row r="31" spans="1:24" ht="42.75" hidden="1" customHeight="1" x14ac:dyDescent="0.25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650">
        <f>J32+J35+J37+J39+J42+J45</f>
        <v>11843.717000000001</v>
      </c>
      <c r="K31" s="655"/>
      <c r="L31" s="650">
        <f>L32+L35+L37+L39+L42+L45</f>
        <v>12487.644020000002</v>
      </c>
      <c r="M31" s="650">
        <f>M32+M35+M37+M39+M42+M45</f>
        <v>13283.967101400003</v>
      </c>
      <c r="N31" s="650">
        <f>N32+N35+N37+N39+N42+N45</f>
        <v>11843.717000000001</v>
      </c>
      <c r="O31" s="650">
        <f>O32+O35+O37+O39+O42+O45</f>
        <v>11843.717000000001</v>
      </c>
      <c r="P31" s="680">
        <f>P32+P35+P37+P39+P42+P45</f>
        <v>11843.717000000001</v>
      </c>
    </row>
    <row r="32" spans="1:24" ht="21" hidden="1" customHeight="1" x14ac:dyDescent="0.25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652">
        <f>J33+J34</f>
        <v>9577.5059999999994</v>
      </c>
      <c r="K32" s="656"/>
      <c r="L32" s="652">
        <f>L33+L34</f>
        <v>10152.156360000001</v>
      </c>
      <c r="M32" s="652">
        <f>M33+M34</f>
        <v>10862.807305200002</v>
      </c>
      <c r="N32" s="652">
        <f>N33+N34</f>
        <v>9577.5059999999994</v>
      </c>
      <c r="O32" s="652">
        <f>O33+O34</f>
        <v>9577.5059999999994</v>
      </c>
      <c r="P32" s="1286">
        <f>P33+P34</f>
        <v>9577.5059999999994</v>
      </c>
    </row>
    <row r="33" spans="1:257" s="2" customFormat="1" ht="21" hidden="1" customHeight="1" x14ac:dyDescent="0.3">
      <c r="A33" s="1"/>
      <c r="B33" s="1284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653">
        <v>7361.933</v>
      </c>
      <c r="K33" s="653"/>
      <c r="L33" s="653">
        <f>J33*106%</f>
        <v>7803.6489799999999</v>
      </c>
      <c r="M33" s="653">
        <f>L33*107%</f>
        <v>8349.9044086000013</v>
      </c>
      <c r="N33" s="653">
        <v>7361.933</v>
      </c>
      <c r="O33" s="653">
        <v>7361.933</v>
      </c>
      <c r="P33" s="1286">
        <v>7361.933</v>
      </c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 s="2" customFormat="1" ht="21" hidden="1" customHeight="1" x14ac:dyDescent="0.3">
      <c r="A34" s="1"/>
      <c r="B34" s="1284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653">
        <v>2215.5729999999999</v>
      </c>
      <c r="K34" s="653"/>
      <c r="L34" s="653">
        <f>J34*106%</f>
        <v>2348.50738</v>
      </c>
      <c r="M34" s="653">
        <f>L34*107%</f>
        <v>2512.9028966000001</v>
      </c>
      <c r="N34" s="653">
        <v>2215.5729999999999</v>
      </c>
      <c r="O34" s="653">
        <v>2215.5729999999999</v>
      </c>
      <c r="P34" s="1286">
        <v>2215.5729999999999</v>
      </c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 s="2" customFormat="1" ht="26.5" hidden="1" thickBot="1" x14ac:dyDescent="0.3">
      <c r="A35" s="1"/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646">
        <f>J36</f>
        <v>1154.6110000000001</v>
      </c>
      <c r="K35" s="646"/>
      <c r="L35" s="646">
        <f>L36</f>
        <v>1223.8876600000001</v>
      </c>
      <c r="M35" s="646">
        <f>M36</f>
        <v>1309.5597962000002</v>
      </c>
      <c r="N35" s="646">
        <f>N36</f>
        <v>1154.6110000000001</v>
      </c>
      <c r="O35" s="646">
        <f>O36</f>
        <v>1154.6110000000001</v>
      </c>
      <c r="P35" s="1285">
        <f>P36</f>
        <v>1154.6110000000001</v>
      </c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 s="2" customFormat="1" ht="13.5" hidden="1" thickBot="1" x14ac:dyDescent="0.35">
      <c r="A36" s="1"/>
      <c r="B36" s="1284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646">
        <v>1154.6110000000001</v>
      </c>
      <c r="K36" s="646"/>
      <c r="L36" s="653">
        <f>J36*106%</f>
        <v>1223.8876600000001</v>
      </c>
      <c r="M36" s="653">
        <f>L36*107%</f>
        <v>1309.5597962000002</v>
      </c>
      <c r="N36" s="646">
        <v>1154.6110000000001</v>
      </c>
      <c r="O36" s="646">
        <v>1154.6110000000001</v>
      </c>
      <c r="P36" s="1285">
        <v>1154.6110000000001</v>
      </c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 s="2" customFormat="1" ht="26.5" hidden="1" thickBot="1" x14ac:dyDescent="0.3">
      <c r="A37" s="1"/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655">
        <f>J38</f>
        <v>171.8</v>
      </c>
      <c r="K37" s="655"/>
      <c r="L37" s="655">
        <f>L38</f>
        <v>171.8</v>
      </c>
      <c r="M37" s="655">
        <f>M38</f>
        <v>171.8</v>
      </c>
      <c r="N37" s="655">
        <f>N38</f>
        <v>171.8</v>
      </c>
      <c r="O37" s="655">
        <f>O38</f>
        <v>171.8</v>
      </c>
      <c r="P37" s="680">
        <f>P38</f>
        <v>171.8</v>
      </c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 s="2" customFormat="1" ht="13.5" hidden="1" thickBot="1" x14ac:dyDescent="0.35">
      <c r="A38" s="1"/>
      <c r="B38" s="1284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656">
        <v>171.8</v>
      </c>
      <c r="K38" s="656"/>
      <c r="L38" s="656">
        <v>171.8</v>
      </c>
      <c r="M38" s="656">
        <v>171.8</v>
      </c>
      <c r="N38" s="656">
        <v>171.8</v>
      </c>
      <c r="O38" s="656">
        <v>171.8</v>
      </c>
      <c r="P38" s="1286">
        <v>171.8</v>
      </c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 s="2" customFormat="1" ht="45.75" hidden="1" customHeight="1" x14ac:dyDescent="0.25">
      <c r="A39" s="1"/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655">
        <f>J41</f>
        <v>263</v>
      </c>
      <c r="K39" s="655"/>
      <c r="L39" s="655">
        <f>L41</f>
        <v>263</v>
      </c>
      <c r="M39" s="655">
        <f>M41</f>
        <v>263</v>
      </c>
      <c r="N39" s="655">
        <f>N41</f>
        <v>263</v>
      </c>
      <c r="O39" s="655">
        <f>O41</f>
        <v>263</v>
      </c>
      <c r="P39" s="680">
        <f>P41</f>
        <v>263</v>
      </c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 s="2" customFormat="1" ht="46.5" hidden="1" customHeight="1" x14ac:dyDescent="0.25">
      <c r="A40" s="1"/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647"/>
      <c r="K40" s="647"/>
      <c r="L40" s="647"/>
      <c r="M40" s="647"/>
      <c r="N40" s="647"/>
      <c r="O40" s="647"/>
      <c r="P40" s="1285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 s="2" customFormat="1" ht="15" hidden="1" customHeight="1" x14ac:dyDescent="0.3">
      <c r="A41" s="1"/>
      <c r="B41" s="1284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647">
        <v>263</v>
      </c>
      <c r="K41" s="647"/>
      <c r="L41" s="647">
        <v>263</v>
      </c>
      <c r="M41" s="647">
        <v>263</v>
      </c>
      <c r="N41" s="647">
        <v>263</v>
      </c>
      <c r="O41" s="647">
        <v>263</v>
      </c>
      <c r="P41" s="1285">
        <v>263</v>
      </c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 s="2" customFormat="1" ht="67.5" hidden="1" customHeight="1" x14ac:dyDescent="0.25">
      <c r="A42" s="1"/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640">
        <f>J43</f>
        <v>130.1</v>
      </c>
      <c r="K42" s="640"/>
      <c r="L42" s="640">
        <f>L43</f>
        <v>130.1</v>
      </c>
      <c r="M42" s="640">
        <f>M43</f>
        <v>130.1</v>
      </c>
      <c r="N42" s="640">
        <f>N43</f>
        <v>130.1</v>
      </c>
      <c r="O42" s="640">
        <f>O43</f>
        <v>130.1</v>
      </c>
      <c r="P42" s="1283">
        <f>P43</f>
        <v>130.1</v>
      </c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 s="2" customFormat="1" ht="15" hidden="1" customHeight="1" x14ac:dyDescent="0.3">
      <c r="A43" s="1"/>
      <c r="B43" s="1284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647">
        <v>130.1</v>
      </c>
      <c r="K43" s="647"/>
      <c r="L43" s="647">
        <v>130.1</v>
      </c>
      <c r="M43" s="647">
        <v>130.1</v>
      </c>
      <c r="N43" s="647">
        <v>130.1</v>
      </c>
      <c r="O43" s="647">
        <v>130.1</v>
      </c>
      <c r="P43" s="1285">
        <v>130.1</v>
      </c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 s="2" customFormat="1" ht="60.65" hidden="1" customHeight="1" x14ac:dyDescent="0.25">
      <c r="A44" s="1"/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647"/>
      <c r="K44" s="647"/>
      <c r="L44" s="647"/>
      <c r="M44" s="647"/>
      <c r="N44" s="647"/>
      <c r="O44" s="647"/>
      <c r="P44" s="1285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 s="2" customFormat="1" ht="52.5" hidden="1" thickBot="1" x14ac:dyDescent="0.3">
      <c r="A45" s="1"/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640">
        <f>J46+J47</f>
        <v>546.70000000000005</v>
      </c>
      <c r="K45" s="640"/>
      <c r="L45" s="640">
        <f>L46+L47</f>
        <v>546.70000000000005</v>
      </c>
      <c r="M45" s="640">
        <f>M46+M47</f>
        <v>546.70000000000005</v>
      </c>
      <c r="N45" s="640">
        <f>N46+N47</f>
        <v>546.70000000000005</v>
      </c>
      <c r="O45" s="640">
        <f>O46+O47</f>
        <v>546.70000000000005</v>
      </c>
      <c r="P45" s="1283">
        <f>P46+P47</f>
        <v>546.70000000000005</v>
      </c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 s="2" customFormat="1" ht="13.5" hidden="1" thickBot="1" x14ac:dyDescent="0.35">
      <c r="A46" s="1"/>
      <c r="B46" s="1287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647">
        <f>546.7-45.2</f>
        <v>501.50000000000006</v>
      </c>
      <c r="K46" s="647"/>
      <c r="L46" s="647">
        <f>546.7-45.2</f>
        <v>501.50000000000006</v>
      </c>
      <c r="M46" s="647">
        <f>546.7-45.2</f>
        <v>501.50000000000006</v>
      </c>
      <c r="N46" s="647">
        <f>546.7-45.2</f>
        <v>501.50000000000006</v>
      </c>
      <c r="O46" s="647">
        <f>546.7-45.2</f>
        <v>501.50000000000006</v>
      </c>
      <c r="P46" s="1285">
        <f>546.7-45.2</f>
        <v>501.50000000000006</v>
      </c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 s="2" customFormat="1" ht="13.5" hidden="1" thickBot="1" x14ac:dyDescent="0.35">
      <c r="A47" s="1"/>
      <c r="B47" s="1284" t="s">
        <v>16</v>
      </c>
      <c r="C47" s="88"/>
      <c r="D47" s="88"/>
      <c r="E47" s="88"/>
      <c r="F47" s="9"/>
      <c r="G47" s="9" t="s">
        <v>1</v>
      </c>
      <c r="H47" s="9"/>
      <c r="I47" s="88"/>
      <c r="J47" s="647">
        <v>45.2</v>
      </c>
      <c r="K47" s="647"/>
      <c r="L47" s="647">
        <v>45.2</v>
      </c>
      <c r="M47" s="647">
        <v>45.2</v>
      </c>
      <c r="N47" s="647">
        <v>45.2</v>
      </c>
      <c r="O47" s="647">
        <v>45.2</v>
      </c>
      <c r="P47" s="1285">
        <v>45.2</v>
      </c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 s="2" customFormat="1" ht="42" hidden="1" customHeight="1" x14ac:dyDescent="0.25">
      <c r="A48" s="1"/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655">
        <f>J49</f>
        <v>99.305000000000007</v>
      </c>
      <c r="K48" s="655"/>
      <c r="L48" s="655">
        <f t="shared" ref="L48:P50" si="1">L49</f>
        <v>99.305000000000007</v>
      </c>
      <c r="M48" s="655">
        <f t="shared" si="1"/>
        <v>99.305000000000007</v>
      </c>
      <c r="N48" s="655">
        <f t="shared" si="1"/>
        <v>99.305000000000007</v>
      </c>
      <c r="O48" s="655">
        <f t="shared" si="1"/>
        <v>99.305000000000007</v>
      </c>
      <c r="P48" s="680">
        <f t="shared" si="1"/>
        <v>99.305000000000007</v>
      </c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2:24" ht="39.5" hidden="1" thickBot="1" x14ac:dyDescent="0.3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655">
        <f>J50</f>
        <v>99.305000000000007</v>
      </c>
      <c r="K49" s="655"/>
      <c r="L49" s="655">
        <f t="shared" si="1"/>
        <v>99.305000000000007</v>
      </c>
      <c r="M49" s="655">
        <f t="shared" si="1"/>
        <v>99.305000000000007</v>
      </c>
      <c r="N49" s="655">
        <f t="shared" si="1"/>
        <v>99.305000000000007</v>
      </c>
      <c r="O49" s="655">
        <f t="shared" si="1"/>
        <v>99.305000000000007</v>
      </c>
      <c r="P49" s="680">
        <f t="shared" si="1"/>
        <v>99.305000000000007</v>
      </c>
    </row>
    <row r="50" spans="2:24" ht="45.75" hidden="1" customHeight="1" x14ac:dyDescent="0.25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647">
        <f>J51</f>
        <v>99.305000000000007</v>
      </c>
      <c r="K50" s="647"/>
      <c r="L50" s="647">
        <f t="shared" si="1"/>
        <v>99.305000000000007</v>
      </c>
      <c r="M50" s="647">
        <f t="shared" si="1"/>
        <v>99.305000000000007</v>
      </c>
      <c r="N50" s="647">
        <f t="shared" si="1"/>
        <v>99.305000000000007</v>
      </c>
      <c r="O50" s="647">
        <f t="shared" si="1"/>
        <v>99.305000000000007</v>
      </c>
      <c r="P50" s="1285">
        <f t="shared" si="1"/>
        <v>99.305000000000007</v>
      </c>
    </row>
    <row r="51" spans="2:24" ht="13.9" hidden="1" customHeight="1" x14ac:dyDescent="0.3">
      <c r="B51" s="1284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647">
        <v>99.305000000000007</v>
      </c>
      <c r="K51" s="647"/>
      <c r="L51" s="647">
        <v>99.305000000000007</v>
      </c>
      <c r="M51" s="647">
        <v>99.305000000000007</v>
      </c>
      <c r="N51" s="647">
        <v>99.305000000000007</v>
      </c>
      <c r="O51" s="647">
        <v>99.305000000000007</v>
      </c>
      <c r="P51" s="1285">
        <v>99.305000000000007</v>
      </c>
    </row>
    <row r="52" spans="2:24" ht="14.5" hidden="1" thickBot="1" x14ac:dyDescent="0.3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647"/>
      <c r="K52" s="647"/>
      <c r="L52" s="647"/>
      <c r="M52" s="647"/>
      <c r="N52" s="647"/>
      <c r="O52" s="647"/>
      <c r="P52" s="1285"/>
    </row>
    <row r="53" spans="2:24" ht="39.5" hidden="1" thickBot="1" x14ac:dyDescent="0.3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647"/>
      <c r="K53" s="647"/>
      <c r="L53" s="647"/>
      <c r="M53" s="647"/>
      <c r="N53" s="647"/>
      <c r="O53" s="647"/>
      <c r="P53" s="1285"/>
    </row>
    <row r="54" spans="2:24" ht="26.5" hidden="1" thickBot="1" x14ac:dyDescent="0.3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647"/>
      <c r="K54" s="647"/>
      <c r="L54" s="647"/>
      <c r="M54" s="647"/>
      <c r="N54" s="647"/>
      <c r="O54" s="647"/>
      <c r="P54" s="1285"/>
    </row>
    <row r="55" spans="2:24" ht="13.5" hidden="1" thickBot="1" x14ac:dyDescent="0.3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650">
        <f>J56</f>
        <v>2000</v>
      </c>
      <c r="K55" s="650"/>
      <c r="L55" s="650">
        <f t="shared" ref="L55:P57" si="2">L56</f>
        <v>2000</v>
      </c>
      <c r="M55" s="650">
        <f t="shared" si="2"/>
        <v>2000</v>
      </c>
      <c r="N55" s="650">
        <f t="shared" si="2"/>
        <v>2000</v>
      </c>
      <c r="O55" s="650">
        <f t="shared" si="2"/>
        <v>2000</v>
      </c>
      <c r="P55" s="680">
        <f t="shared" si="2"/>
        <v>2000</v>
      </c>
    </row>
    <row r="56" spans="2:24" s="83" customFormat="1" ht="39.5" hidden="1" thickBot="1" x14ac:dyDescent="0.35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653">
        <f>J57</f>
        <v>2000</v>
      </c>
      <c r="K56" s="653"/>
      <c r="L56" s="653">
        <f t="shared" si="2"/>
        <v>2000</v>
      </c>
      <c r="M56" s="653">
        <f t="shared" si="2"/>
        <v>2000</v>
      </c>
      <c r="N56" s="653">
        <f t="shared" si="2"/>
        <v>2000</v>
      </c>
      <c r="O56" s="653">
        <f t="shared" si="2"/>
        <v>2000</v>
      </c>
      <c r="P56" s="1286">
        <f t="shared" si="2"/>
        <v>2000</v>
      </c>
      <c r="Q56" s="84"/>
      <c r="R56" s="84"/>
      <c r="S56" s="84"/>
      <c r="T56" s="84"/>
      <c r="U56" s="84"/>
      <c r="V56" s="84"/>
      <c r="W56" s="84"/>
      <c r="X56" s="84"/>
    </row>
    <row r="57" spans="2:24" ht="26.5" hidden="1" thickBot="1" x14ac:dyDescent="0.3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653">
        <f>J58</f>
        <v>2000</v>
      </c>
      <c r="K57" s="653"/>
      <c r="L57" s="653">
        <f t="shared" si="2"/>
        <v>2000</v>
      </c>
      <c r="M57" s="653">
        <f t="shared" si="2"/>
        <v>2000</v>
      </c>
      <c r="N57" s="653">
        <f t="shared" si="2"/>
        <v>2000</v>
      </c>
      <c r="O57" s="653">
        <f t="shared" si="2"/>
        <v>2000</v>
      </c>
      <c r="P57" s="1286">
        <f t="shared" si="2"/>
        <v>2000</v>
      </c>
    </row>
    <row r="58" spans="2:24" ht="13.5" hidden="1" thickBot="1" x14ac:dyDescent="0.35">
      <c r="B58" s="1284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653">
        <v>2000</v>
      </c>
      <c r="K58" s="653"/>
      <c r="L58" s="653">
        <v>2000</v>
      </c>
      <c r="M58" s="653">
        <v>2000</v>
      </c>
      <c r="N58" s="653">
        <v>2000</v>
      </c>
      <c r="O58" s="653">
        <v>2000</v>
      </c>
      <c r="P58" s="1286">
        <v>2000</v>
      </c>
    </row>
    <row r="59" spans="2:24" ht="13.5" hidden="1" thickBot="1" x14ac:dyDescent="0.3"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640">
        <f>J60</f>
        <v>108</v>
      </c>
      <c r="K59" s="640"/>
      <c r="L59" s="640">
        <f t="shared" ref="L59:P60" si="3">L60</f>
        <v>108</v>
      </c>
      <c r="M59" s="640">
        <f t="shared" si="3"/>
        <v>108</v>
      </c>
      <c r="N59" s="640">
        <f t="shared" si="3"/>
        <v>108</v>
      </c>
      <c r="O59" s="640">
        <f t="shared" si="3"/>
        <v>108</v>
      </c>
      <c r="P59" s="1283">
        <f t="shared" si="3"/>
        <v>108</v>
      </c>
    </row>
    <row r="60" spans="2:24" ht="26.5" hidden="1" thickBot="1" x14ac:dyDescent="0.3"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655">
        <f>J61</f>
        <v>108</v>
      </c>
      <c r="K60" s="655"/>
      <c r="L60" s="655">
        <f t="shared" si="3"/>
        <v>108</v>
      </c>
      <c r="M60" s="655">
        <f t="shared" si="3"/>
        <v>108</v>
      </c>
      <c r="N60" s="655">
        <f t="shared" si="3"/>
        <v>108</v>
      </c>
      <c r="O60" s="655">
        <f t="shared" si="3"/>
        <v>108</v>
      </c>
      <c r="P60" s="680">
        <f t="shared" si="3"/>
        <v>108</v>
      </c>
    </row>
    <row r="61" spans="2:24" ht="13.5" hidden="1" thickBot="1" x14ac:dyDescent="0.3"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656">
        <f>J62+J63</f>
        <v>108</v>
      </c>
      <c r="K61" s="656"/>
      <c r="L61" s="656">
        <f>L62+L63</f>
        <v>108</v>
      </c>
      <c r="M61" s="656">
        <f>M62+M63</f>
        <v>108</v>
      </c>
      <c r="N61" s="656">
        <f>N62+N63</f>
        <v>108</v>
      </c>
      <c r="O61" s="656">
        <f>O62+O63</f>
        <v>108</v>
      </c>
      <c r="P61" s="1286">
        <f>P62+P63</f>
        <v>108</v>
      </c>
    </row>
    <row r="62" spans="2:24" ht="13.5" hidden="1" thickBot="1" x14ac:dyDescent="0.35">
      <c r="B62" s="1284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656">
        <v>105</v>
      </c>
      <c r="K62" s="656"/>
      <c r="L62" s="656">
        <v>105</v>
      </c>
      <c r="M62" s="656">
        <v>105</v>
      </c>
      <c r="N62" s="656">
        <v>105</v>
      </c>
      <c r="O62" s="656">
        <v>105</v>
      </c>
      <c r="P62" s="1286">
        <v>105</v>
      </c>
    </row>
    <row r="63" spans="2:24" ht="13.5" hidden="1" thickBot="1" x14ac:dyDescent="0.35">
      <c r="B63" s="1284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656">
        <v>3</v>
      </c>
      <c r="K63" s="656"/>
      <c r="L63" s="656">
        <v>3</v>
      </c>
      <c r="M63" s="656">
        <v>3</v>
      </c>
      <c r="N63" s="656">
        <v>3</v>
      </c>
      <c r="O63" s="656">
        <v>3</v>
      </c>
      <c r="P63" s="1286">
        <v>3</v>
      </c>
    </row>
    <row r="64" spans="2:24" ht="14.5" hidden="1" thickBot="1" x14ac:dyDescent="0.3"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672">
        <f>J65</f>
        <v>605.88300000000004</v>
      </c>
      <c r="K64" s="672"/>
      <c r="L64" s="672">
        <f t="shared" ref="L64:P65" si="4">L65</f>
        <v>605.88300000000004</v>
      </c>
      <c r="M64" s="672">
        <f t="shared" si="4"/>
        <v>605.88300000000004</v>
      </c>
      <c r="N64" s="672">
        <f t="shared" si="4"/>
        <v>605.88300000000004</v>
      </c>
      <c r="O64" s="672">
        <f t="shared" si="4"/>
        <v>605.88300000000004</v>
      </c>
      <c r="P64" s="1288">
        <f t="shared" si="4"/>
        <v>605.88300000000004</v>
      </c>
    </row>
    <row r="65" spans="1:257" s="2" customFormat="1" ht="13.5" hidden="1" thickBot="1" x14ac:dyDescent="0.3">
      <c r="A65" s="1"/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656">
        <f>J66</f>
        <v>605.88300000000004</v>
      </c>
      <c r="K65" s="656"/>
      <c r="L65" s="656">
        <f t="shared" si="4"/>
        <v>605.88300000000004</v>
      </c>
      <c r="M65" s="656">
        <f t="shared" si="4"/>
        <v>605.88300000000004</v>
      </c>
      <c r="N65" s="656">
        <f t="shared" si="4"/>
        <v>605.88300000000004</v>
      </c>
      <c r="O65" s="656">
        <f t="shared" si="4"/>
        <v>605.88300000000004</v>
      </c>
      <c r="P65" s="1286">
        <f t="shared" si="4"/>
        <v>605.88300000000004</v>
      </c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 s="2" customFormat="1" ht="26.5" hidden="1" thickBot="1" x14ac:dyDescent="0.3">
      <c r="A66" s="1"/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656">
        <f>J67+J68</f>
        <v>605.88300000000004</v>
      </c>
      <c r="K66" s="656"/>
      <c r="L66" s="656">
        <f>L67+L68</f>
        <v>605.88300000000004</v>
      </c>
      <c r="M66" s="656">
        <f>M67+M68</f>
        <v>605.88300000000004</v>
      </c>
      <c r="N66" s="656">
        <f>N67+N68</f>
        <v>605.88300000000004</v>
      </c>
      <c r="O66" s="656">
        <f>O67+O68</f>
        <v>605.88300000000004</v>
      </c>
      <c r="P66" s="1286">
        <f>P67+P68</f>
        <v>605.88300000000004</v>
      </c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 s="2" customFormat="1" ht="13.5" hidden="1" thickBot="1" x14ac:dyDescent="0.35">
      <c r="A67" s="1"/>
      <c r="B67" s="1287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656">
        <v>555.32000000000005</v>
      </c>
      <c r="K67" s="656"/>
      <c r="L67" s="656">
        <v>555.32000000000005</v>
      </c>
      <c r="M67" s="656">
        <v>555.32000000000005</v>
      </c>
      <c r="N67" s="656">
        <v>555.32000000000005</v>
      </c>
      <c r="O67" s="656">
        <v>555.32000000000005</v>
      </c>
      <c r="P67" s="1286">
        <v>555.32000000000005</v>
      </c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 s="2" customFormat="1" ht="13.5" hidden="1" thickBot="1" x14ac:dyDescent="0.35">
      <c r="A68" s="1"/>
      <c r="B68" s="1284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656">
        <v>50.563000000000002</v>
      </c>
      <c r="K68" s="656"/>
      <c r="L68" s="656">
        <v>50.563000000000002</v>
      </c>
      <c r="M68" s="656">
        <v>50.563000000000002</v>
      </c>
      <c r="N68" s="656">
        <v>50.563000000000002</v>
      </c>
      <c r="O68" s="656">
        <v>50.563000000000002</v>
      </c>
      <c r="P68" s="1286">
        <v>50.563000000000002</v>
      </c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 s="2" customFormat="1" ht="32.25" hidden="1" customHeight="1" x14ac:dyDescent="0.25">
      <c r="A69" s="1"/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673">
        <f>J70</f>
        <v>1397</v>
      </c>
      <c r="K69" s="673"/>
      <c r="L69" s="673">
        <f t="shared" ref="L69:P70" si="5">L70</f>
        <v>1182</v>
      </c>
      <c r="M69" s="673">
        <f t="shared" si="5"/>
        <v>1022</v>
      </c>
      <c r="N69" s="673">
        <f t="shared" si="5"/>
        <v>1397</v>
      </c>
      <c r="O69" s="673">
        <f t="shared" si="5"/>
        <v>1397</v>
      </c>
      <c r="P69" s="1288">
        <f t="shared" si="5"/>
        <v>1397</v>
      </c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 s="2" customFormat="1" ht="26.5" hidden="1" thickBot="1" x14ac:dyDescent="0.3">
      <c r="A70" s="1"/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653">
        <f>J71</f>
        <v>1397</v>
      </c>
      <c r="K70" s="653"/>
      <c r="L70" s="653">
        <f t="shared" si="5"/>
        <v>1182</v>
      </c>
      <c r="M70" s="653">
        <f t="shared" si="5"/>
        <v>1022</v>
      </c>
      <c r="N70" s="653">
        <f t="shared" si="5"/>
        <v>1397</v>
      </c>
      <c r="O70" s="653">
        <f t="shared" si="5"/>
        <v>1397</v>
      </c>
      <c r="P70" s="1286">
        <f t="shared" si="5"/>
        <v>1397</v>
      </c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 s="2" customFormat="1" ht="39.65" hidden="1" customHeight="1" x14ac:dyDescent="0.25">
      <c r="A71" s="1"/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>L72+L77</f>
        <v>1182</v>
      </c>
      <c r="M71" s="51">
        <f>M72+M77</f>
        <v>1022</v>
      </c>
      <c r="N71" s="51">
        <f>N72+N77</f>
        <v>1397</v>
      </c>
      <c r="O71" s="51">
        <f>O72+O77</f>
        <v>1397</v>
      </c>
      <c r="P71" s="51">
        <f>P72+P77</f>
        <v>1397</v>
      </c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 s="2" customFormat="1" ht="65.5" hidden="1" thickBot="1" x14ac:dyDescent="0.3">
      <c r="A72" s="1"/>
      <c r="B72" s="157" t="s">
        <v>239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656">
        <f>J73+J75</f>
        <v>711</v>
      </c>
      <c r="K72" s="656"/>
      <c r="L72" s="656">
        <f>L73+L75</f>
        <v>496</v>
      </c>
      <c r="M72" s="656">
        <f>M73+M75</f>
        <v>336</v>
      </c>
      <c r="N72" s="656">
        <f>N73+N75</f>
        <v>711</v>
      </c>
      <c r="O72" s="656">
        <f>O73+O75</f>
        <v>711</v>
      </c>
      <c r="P72" s="1286">
        <f>P73+P75</f>
        <v>711</v>
      </c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 s="2" customFormat="1" ht="65.5" hidden="1" thickBot="1" x14ac:dyDescent="0.3">
      <c r="A73" s="1"/>
      <c r="B73" s="49" t="s">
        <v>403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656">
        <f>J74</f>
        <v>426</v>
      </c>
      <c r="K73" s="656"/>
      <c r="L73" s="656">
        <f>L74</f>
        <v>296</v>
      </c>
      <c r="M73" s="656">
        <f>M74</f>
        <v>136</v>
      </c>
      <c r="N73" s="656">
        <f>N74</f>
        <v>426</v>
      </c>
      <c r="O73" s="656">
        <f>O74</f>
        <v>426</v>
      </c>
      <c r="P73" s="1286">
        <f>P74</f>
        <v>426</v>
      </c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 s="2" customFormat="1" ht="13.5" hidden="1" thickBot="1" x14ac:dyDescent="0.35">
      <c r="A74" s="1"/>
      <c r="B74" s="1284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656">
        <v>426</v>
      </c>
      <c r="K74" s="656"/>
      <c r="L74" s="656">
        <v>296</v>
      </c>
      <c r="M74" s="656">
        <v>136</v>
      </c>
      <c r="N74" s="656">
        <v>426</v>
      </c>
      <c r="O74" s="656">
        <v>426</v>
      </c>
      <c r="P74" s="1286">
        <v>426</v>
      </c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 s="2" customFormat="1" ht="52.5" hidden="1" thickBot="1" x14ac:dyDescent="0.3">
      <c r="A75" s="1"/>
      <c r="B75" s="49" t="s">
        <v>402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656">
        <f>J76</f>
        <v>285</v>
      </c>
      <c r="K75" s="656"/>
      <c r="L75" s="656">
        <f>L76</f>
        <v>200</v>
      </c>
      <c r="M75" s="656">
        <f>M76</f>
        <v>200</v>
      </c>
      <c r="N75" s="656">
        <f>N76</f>
        <v>285</v>
      </c>
      <c r="O75" s="656">
        <f>O76</f>
        <v>285</v>
      </c>
      <c r="P75" s="1286">
        <f>P76</f>
        <v>285</v>
      </c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 s="2" customFormat="1" ht="13.5" hidden="1" thickBot="1" x14ac:dyDescent="0.35">
      <c r="A76" s="1"/>
      <c r="B76" s="1284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656">
        <v>285</v>
      </c>
      <c r="K76" s="656"/>
      <c r="L76" s="656">
        <v>200</v>
      </c>
      <c r="M76" s="656">
        <v>200</v>
      </c>
      <c r="N76" s="656">
        <v>285</v>
      </c>
      <c r="O76" s="656">
        <v>285</v>
      </c>
      <c r="P76" s="1286">
        <v>285</v>
      </c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 s="2" customFormat="1" ht="65.5" hidden="1" thickBot="1" x14ac:dyDescent="0.3">
      <c r="A77" s="1"/>
      <c r="B77" s="157" t="s">
        <v>228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655">
        <f>J78</f>
        <v>686</v>
      </c>
      <c r="K77" s="655"/>
      <c r="L77" s="655">
        <f>L78</f>
        <v>686</v>
      </c>
      <c r="M77" s="655">
        <f>M78</f>
        <v>686</v>
      </c>
      <c r="N77" s="655">
        <f>N78</f>
        <v>686</v>
      </c>
      <c r="O77" s="655">
        <f>O78</f>
        <v>686</v>
      </c>
      <c r="P77" s="680">
        <f>P78</f>
        <v>686</v>
      </c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 s="2" customFormat="1" ht="65.5" hidden="1" thickBot="1" x14ac:dyDescent="0.3">
      <c r="A78" s="1"/>
      <c r="B78" s="49" t="s">
        <v>398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656">
        <f>J80</f>
        <v>686</v>
      </c>
      <c r="K78" s="656"/>
      <c r="L78" s="656">
        <f>L80</f>
        <v>686</v>
      </c>
      <c r="M78" s="656">
        <f>M80</f>
        <v>686</v>
      </c>
      <c r="N78" s="656">
        <f>N80</f>
        <v>686</v>
      </c>
      <c r="O78" s="656">
        <f>O80</f>
        <v>686</v>
      </c>
      <c r="P78" s="1286">
        <f>P80</f>
        <v>686</v>
      </c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 s="2" customFormat="1" ht="40.5" hidden="1" customHeight="1" x14ac:dyDescent="0.25">
      <c r="A79" s="1"/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677"/>
      <c r="K79" s="677"/>
      <c r="L79" s="677"/>
      <c r="M79" s="677"/>
      <c r="N79" s="677"/>
      <c r="O79" s="677"/>
      <c r="P79" s="1289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 s="2" customFormat="1" ht="17.5" hidden="1" customHeight="1" x14ac:dyDescent="0.3">
      <c r="A80" s="1"/>
      <c r="B80" s="1284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656">
        <v>686</v>
      </c>
      <c r="K80" s="677"/>
      <c r="L80" s="656">
        <v>686</v>
      </c>
      <c r="M80" s="656">
        <v>686</v>
      </c>
      <c r="N80" s="656">
        <v>686</v>
      </c>
      <c r="O80" s="656">
        <v>686</v>
      </c>
      <c r="P80" s="1286">
        <v>686</v>
      </c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2:24" ht="44.25" hidden="1" customHeight="1" x14ac:dyDescent="0.25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31"/>
      <c r="O81" s="131"/>
      <c r="P81" s="51"/>
    </row>
    <row r="82" spans="2:24" ht="39.5" hidden="1" thickBot="1" x14ac:dyDescent="0.3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656"/>
      <c r="K82" s="656"/>
      <c r="L82" s="656"/>
      <c r="M82" s="656"/>
      <c r="N82" s="656"/>
      <c r="O82" s="656"/>
      <c r="P82" s="1286"/>
    </row>
    <row r="83" spans="2:24" s="83" customFormat="1" ht="14.5" hidden="1" thickBot="1" x14ac:dyDescent="0.35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678">
        <f>J84+J93</f>
        <v>18097.09</v>
      </c>
      <c r="K83" s="1290"/>
      <c r="L83" s="678">
        <f>L84+L93</f>
        <v>11814.485000000001</v>
      </c>
      <c r="M83" s="678">
        <f>M84+M93</f>
        <v>14413.347</v>
      </c>
      <c r="N83" s="678">
        <f>N84+N93</f>
        <v>18097.09</v>
      </c>
      <c r="O83" s="678">
        <f>O84+O93</f>
        <v>18097.09</v>
      </c>
      <c r="P83" s="1291">
        <f>P84+P93</f>
        <v>18097.09</v>
      </c>
      <c r="Q83" s="84"/>
      <c r="R83" s="84"/>
      <c r="S83" s="84"/>
      <c r="T83" s="84"/>
      <c r="U83" s="84"/>
      <c r="V83" s="84"/>
      <c r="W83" s="84"/>
      <c r="X83" s="84"/>
    </row>
    <row r="84" spans="2:24" s="83" customFormat="1" ht="13.5" hidden="1" thickBot="1" x14ac:dyDescent="0.35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650">
        <f>J85</f>
        <v>17447.29</v>
      </c>
      <c r="K84" s="656"/>
      <c r="L84" s="650">
        <f>L85</f>
        <v>11444.685000000001</v>
      </c>
      <c r="M84" s="650">
        <f>M85</f>
        <v>14038.547</v>
      </c>
      <c r="N84" s="650">
        <f>N85</f>
        <v>17447.29</v>
      </c>
      <c r="O84" s="650">
        <f>O85</f>
        <v>17447.29</v>
      </c>
      <c r="P84" s="680">
        <f>P85</f>
        <v>17447.29</v>
      </c>
      <c r="Q84" s="84"/>
      <c r="R84" s="84"/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3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>L86+L90</f>
        <v>11444.685000000001</v>
      </c>
      <c r="M85" s="51">
        <f>M86+M90</f>
        <v>14038.547</v>
      </c>
      <c r="N85" s="51">
        <f>N86+N90</f>
        <v>17447.29</v>
      </c>
      <c r="O85" s="51">
        <f>O86+O90</f>
        <v>17447.29</v>
      </c>
      <c r="P85" s="51">
        <f>P86+P90</f>
        <v>17447.29</v>
      </c>
      <c r="Q85" s="84"/>
      <c r="R85" s="84"/>
      <c r="S85" s="84"/>
      <c r="T85" s="84"/>
      <c r="U85" s="84"/>
      <c r="V85" s="84"/>
      <c r="W85" s="84"/>
      <c r="X85" s="84"/>
    </row>
    <row r="86" spans="2:24" s="83" customFormat="1" ht="65.5" hidden="1" thickBot="1" x14ac:dyDescent="0.35">
      <c r="B86" s="157" t="s">
        <v>393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650">
        <f>J87</f>
        <v>16806.29</v>
      </c>
      <c r="K86" s="655"/>
      <c r="L86" s="655">
        <f t="shared" ref="L86:P87" si="6">L87</f>
        <v>10777.685000000001</v>
      </c>
      <c r="M86" s="650">
        <f t="shared" si="6"/>
        <v>13305.547</v>
      </c>
      <c r="N86" s="650">
        <f t="shared" si="6"/>
        <v>16806.29</v>
      </c>
      <c r="O86" s="650">
        <f t="shared" si="6"/>
        <v>16806.29</v>
      </c>
      <c r="P86" s="680">
        <f t="shared" si="6"/>
        <v>16806.29</v>
      </c>
      <c r="Q86" s="84"/>
      <c r="R86" s="84"/>
      <c r="S86" s="84"/>
      <c r="T86" s="84"/>
      <c r="U86" s="84"/>
      <c r="V86" s="84"/>
      <c r="W86" s="84"/>
      <c r="X86" s="84"/>
    </row>
    <row r="87" spans="2:24" s="83" customFormat="1" ht="65.5" hidden="1" thickBot="1" x14ac:dyDescent="0.35">
      <c r="B87" s="90" t="s">
        <v>391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653">
        <f>J88</f>
        <v>16806.29</v>
      </c>
      <c r="K87" s="656"/>
      <c r="L87" s="653">
        <f t="shared" si="6"/>
        <v>10777.685000000001</v>
      </c>
      <c r="M87" s="653">
        <f t="shared" si="6"/>
        <v>13305.547</v>
      </c>
      <c r="N87" s="653">
        <f t="shared" si="6"/>
        <v>16806.29</v>
      </c>
      <c r="O87" s="653">
        <f t="shared" si="6"/>
        <v>16806.29</v>
      </c>
      <c r="P87" s="1286">
        <f t="shared" si="6"/>
        <v>16806.29</v>
      </c>
      <c r="Q87" s="84"/>
      <c r="R87" s="84"/>
      <c r="S87" s="84"/>
      <c r="T87" s="84"/>
      <c r="U87" s="84"/>
      <c r="V87" s="84"/>
      <c r="W87" s="84"/>
      <c r="X87" s="84"/>
    </row>
    <row r="88" spans="2:24" s="83" customFormat="1" ht="13.5" hidden="1" thickBot="1" x14ac:dyDescent="0.35">
      <c r="B88" s="1284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653">
        <f>7156.753+13430-3780.463</f>
        <v>16806.29</v>
      </c>
      <c r="K88" s="656"/>
      <c r="L88" s="653">
        <f>22480.2-11702.515</f>
        <v>10777.685000000001</v>
      </c>
      <c r="M88" s="653">
        <v>13305.547</v>
      </c>
      <c r="N88" s="653">
        <f>7156.753+13430-3780.463</f>
        <v>16806.29</v>
      </c>
      <c r="O88" s="653">
        <f>7156.753+13430-3780.463</f>
        <v>16806.29</v>
      </c>
      <c r="P88" s="1286">
        <f>7156.753+13430-3780.463</f>
        <v>16806.29</v>
      </c>
      <c r="Q88" s="84"/>
      <c r="R88" s="84"/>
      <c r="S88" s="84"/>
      <c r="T88" s="84"/>
      <c r="U88" s="84"/>
      <c r="V88" s="84"/>
      <c r="W88" s="84"/>
      <c r="X88" s="84"/>
    </row>
    <row r="89" spans="2:24" s="83" customFormat="1" ht="52.5" hidden="1" thickBot="1" x14ac:dyDescent="0.35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656"/>
      <c r="K89" s="656"/>
      <c r="L89" s="656"/>
      <c r="M89" s="656"/>
      <c r="N89" s="656"/>
      <c r="O89" s="656"/>
      <c r="P89" s="1286"/>
      <c r="Q89" s="84"/>
      <c r="R89" s="84"/>
      <c r="S89" s="84"/>
      <c r="T89" s="84"/>
      <c r="U89" s="84"/>
      <c r="V89" s="84"/>
      <c r="W89" s="84"/>
      <c r="X89" s="84"/>
    </row>
    <row r="90" spans="2:24" s="83" customFormat="1" ht="65.5" hidden="1" thickBot="1" x14ac:dyDescent="0.35">
      <c r="B90" s="157" t="s">
        <v>389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655">
        <f>J91</f>
        <v>641</v>
      </c>
      <c r="K90" s="655"/>
      <c r="L90" s="655">
        <f t="shared" ref="L90:P91" si="7">L91</f>
        <v>667</v>
      </c>
      <c r="M90" s="655">
        <f t="shared" si="7"/>
        <v>733</v>
      </c>
      <c r="N90" s="655">
        <f t="shared" si="7"/>
        <v>641</v>
      </c>
      <c r="O90" s="655">
        <f t="shared" si="7"/>
        <v>641</v>
      </c>
      <c r="P90" s="680">
        <f t="shared" si="7"/>
        <v>641</v>
      </c>
      <c r="Q90" s="84"/>
      <c r="R90" s="84"/>
      <c r="S90" s="84"/>
      <c r="T90" s="84"/>
      <c r="U90" s="84"/>
      <c r="V90" s="84"/>
      <c r="W90" s="84"/>
      <c r="X90" s="84"/>
    </row>
    <row r="91" spans="2:24" s="83" customFormat="1" ht="65.5" hidden="1" thickBot="1" x14ac:dyDescent="0.35">
      <c r="B91" s="49" t="s">
        <v>387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656">
        <f>J92</f>
        <v>641</v>
      </c>
      <c r="K91" s="656"/>
      <c r="L91" s="656">
        <f t="shared" si="7"/>
        <v>667</v>
      </c>
      <c r="M91" s="656">
        <f t="shared" si="7"/>
        <v>733</v>
      </c>
      <c r="N91" s="656">
        <f t="shared" si="7"/>
        <v>641</v>
      </c>
      <c r="O91" s="656">
        <f t="shared" si="7"/>
        <v>641</v>
      </c>
      <c r="P91" s="1286">
        <f t="shared" si="7"/>
        <v>641</v>
      </c>
      <c r="Q91" s="84"/>
      <c r="R91" s="84"/>
      <c r="S91" s="84"/>
      <c r="T91" s="84"/>
      <c r="U91" s="84"/>
      <c r="V91" s="84"/>
      <c r="W91" s="84"/>
      <c r="X91" s="84"/>
    </row>
    <row r="92" spans="2:24" s="83" customFormat="1" ht="13.5" hidden="1" thickBot="1" x14ac:dyDescent="0.35">
      <c r="B92" s="1284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656">
        <v>641</v>
      </c>
      <c r="K92" s="656"/>
      <c r="L92" s="656">
        <v>667</v>
      </c>
      <c r="M92" s="656">
        <v>733</v>
      </c>
      <c r="N92" s="656">
        <v>641</v>
      </c>
      <c r="O92" s="656">
        <v>641</v>
      </c>
      <c r="P92" s="1286">
        <v>641</v>
      </c>
      <c r="Q92" s="84"/>
      <c r="R92" s="84"/>
      <c r="S92" s="84"/>
      <c r="T92" s="84"/>
      <c r="U92" s="84"/>
      <c r="V92" s="84"/>
      <c r="W92" s="84"/>
      <c r="X92" s="84"/>
    </row>
    <row r="93" spans="2:24" s="83" customFormat="1" ht="13.5" hidden="1" thickBot="1" x14ac:dyDescent="0.35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680">
        <f>J94+J98</f>
        <v>649.79999999999995</v>
      </c>
      <c r="K93" s="680"/>
      <c r="L93" s="680">
        <f>L94+L98</f>
        <v>369.8</v>
      </c>
      <c r="M93" s="680">
        <f>M94+M98</f>
        <v>374.8</v>
      </c>
      <c r="N93" s="680">
        <f>N94+N98</f>
        <v>649.79999999999995</v>
      </c>
      <c r="O93" s="680">
        <f>O94+O98</f>
        <v>649.79999999999995</v>
      </c>
      <c r="P93" s="680">
        <f>P94+P98</f>
        <v>649.79999999999995</v>
      </c>
      <c r="Q93" s="84"/>
      <c r="R93" s="84"/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3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>L96</f>
        <v>305</v>
      </c>
      <c r="M94" s="51">
        <f>M96</f>
        <v>310</v>
      </c>
      <c r="N94" s="51">
        <f>N96</f>
        <v>300</v>
      </c>
      <c r="O94" s="51">
        <f>O96</f>
        <v>300</v>
      </c>
      <c r="P94" s="51">
        <f>P96</f>
        <v>300</v>
      </c>
      <c r="Q94" s="84"/>
      <c r="R94" s="84"/>
      <c r="S94" s="84"/>
      <c r="T94" s="84"/>
      <c r="U94" s="84"/>
      <c r="V94" s="84"/>
      <c r="W94" s="84"/>
      <c r="X94" s="84"/>
    </row>
    <row r="95" spans="2:24" s="83" customFormat="1" ht="78" hidden="1" customHeight="1" x14ac:dyDescent="0.3">
      <c r="B95" s="170" t="s">
        <v>291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655"/>
      <c r="K95" s="655"/>
      <c r="L95" s="655"/>
      <c r="M95" s="655"/>
      <c r="N95" s="655"/>
      <c r="O95" s="655"/>
      <c r="P95" s="680"/>
      <c r="Q95" s="84"/>
      <c r="R95" s="84"/>
      <c r="S95" s="84"/>
      <c r="T95" s="84"/>
      <c r="U95" s="84"/>
      <c r="V95" s="84"/>
      <c r="W95" s="84"/>
      <c r="X95" s="84"/>
    </row>
    <row r="96" spans="2:24" s="83" customFormat="1" ht="70.5" hidden="1" thickBot="1" x14ac:dyDescent="0.35">
      <c r="B96" s="214" t="s">
        <v>383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655">
        <f>J97</f>
        <v>300</v>
      </c>
      <c r="K96" s="655"/>
      <c r="L96" s="655">
        <f>L97</f>
        <v>305</v>
      </c>
      <c r="M96" s="655">
        <f>M97</f>
        <v>310</v>
      </c>
      <c r="N96" s="655">
        <f>N97</f>
        <v>300</v>
      </c>
      <c r="O96" s="655">
        <f>O97</f>
        <v>300</v>
      </c>
      <c r="P96" s="680">
        <f>P97</f>
        <v>300</v>
      </c>
      <c r="Q96" s="84"/>
      <c r="R96" s="84"/>
      <c r="S96" s="84"/>
      <c r="T96" s="84"/>
      <c r="U96" s="84"/>
      <c r="V96" s="84"/>
      <c r="W96" s="84"/>
      <c r="X96" s="84"/>
    </row>
    <row r="97" spans="2:24" s="83" customFormat="1" ht="13.5" hidden="1" thickBot="1" x14ac:dyDescent="0.35">
      <c r="B97" s="1284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656">
        <v>300</v>
      </c>
      <c r="K97" s="655"/>
      <c r="L97" s="656">
        <v>305</v>
      </c>
      <c r="M97" s="656">
        <v>310</v>
      </c>
      <c r="N97" s="656">
        <v>300</v>
      </c>
      <c r="O97" s="656">
        <v>300</v>
      </c>
      <c r="P97" s="1286">
        <v>300</v>
      </c>
      <c r="Q97" s="84"/>
      <c r="R97" s="84"/>
      <c r="S97" s="84"/>
      <c r="T97" s="84"/>
      <c r="U97" s="84"/>
      <c r="V97" s="84"/>
      <c r="W97" s="84"/>
      <c r="X97" s="84"/>
    </row>
    <row r="98" spans="2:24" s="83" customFormat="1" ht="39.5" hidden="1" thickBot="1" x14ac:dyDescent="0.35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655">
        <f>J99+J101+J103</f>
        <v>349.8</v>
      </c>
      <c r="K98" s="655"/>
      <c r="L98" s="655">
        <f>L99+L101+L103</f>
        <v>64.8</v>
      </c>
      <c r="M98" s="655">
        <f>M99+M101+M103</f>
        <v>64.8</v>
      </c>
      <c r="N98" s="655">
        <f>N99+N101+N103</f>
        <v>349.8</v>
      </c>
      <c r="O98" s="655">
        <f>O99+O101+O103</f>
        <v>349.8</v>
      </c>
      <c r="P98" s="680">
        <f>P99+P101+P103</f>
        <v>349.8</v>
      </c>
      <c r="Q98" s="84"/>
      <c r="R98" s="84"/>
      <c r="S98" s="84"/>
      <c r="T98" s="84"/>
      <c r="U98" s="84"/>
      <c r="V98" s="84"/>
      <c r="W98" s="84"/>
      <c r="X98" s="84"/>
    </row>
    <row r="99" spans="2:24" s="83" customFormat="1" ht="13.5" hidden="1" thickBot="1" x14ac:dyDescent="0.35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655">
        <f>J100</f>
        <v>195</v>
      </c>
      <c r="K99" s="655"/>
      <c r="L99" s="655">
        <f>L100</f>
        <v>0</v>
      </c>
      <c r="M99" s="655">
        <f>M100</f>
        <v>0</v>
      </c>
      <c r="N99" s="655">
        <f>N100</f>
        <v>195</v>
      </c>
      <c r="O99" s="655">
        <f>O100</f>
        <v>195</v>
      </c>
      <c r="P99" s="680">
        <f>P100</f>
        <v>195</v>
      </c>
      <c r="Q99" s="84"/>
      <c r="R99" s="84"/>
      <c r="S99" s="84"/>
      <c r="T99" s="84"/>
      <c r="U99" s="84"/>
      <c r="V99" s="84"/>
      <c r="W99" s="84"/>
      <c r="X99" s="84"/>
    </row>
    <row r="100" spans="2:24" s="83" customFormat="1" ht="13.5" hidden="1" thickBot="1" x14ac:dyDescent="0.35">
      <c r="B100" s="1284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656">
        <v>195</v>
      </c>
      <c r="K100" s="656"/>
      <c r="L100" s="656"/>
      <c r="M100" s="656"/>
      <c r="N100" s="656">
        <v>195</v>
      </c>
      <c r="O100" s="656">
        <v>195</v>
      </c>
      <c r="P100" s="1286">
        <v>195</v>
      </c>
      <c r="Q100" s="84"/>
      <c r="R100" s="84"/>
      <c r="S100" s="84"/>
      <c r="T100" s="84"/>
      <c r="U100" s="84"/>
      <c r="V100" s="84"/>
      <c r="W100" s="84"/>
      <c r="X100" s="84"/>
    </row>
    <row r="101" spans="2:24" s="83" customFormat="1" ht="13.5" hidden="1" thickBot="1" x14ac:dyDescent="0.35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655">
        <f>J102</f>
        <v>64.8</v>
      </c>
      <c r="K101" s="655"/>
      <c r="L101" s="655">
        <f>L102</f>
        <v>64.8</v>
      </c>
      <c r="M101" s="655">
        <f>M102</f>
        <v>64.8</v>
      </c>
      <c r="N101" s="655">
        <f>N102</f>
        <v>64.8</v>
      </c>
      <c r="O101" s="655">
        <f>O102</f>
        <v>64.8</v>
      </c>
      <c r="P101" s="680">
        <f>P102</f>
        <v>64.8</v>
      </c>
      <c r="Q101" s="84"/>
      <c r="R101" s="84"/>
      <c r="S101" s="84"/>
      <c r="T101" s="84"/>
      <c r="U101" s="84"/>
      <c r="V101" s="84"/>
      <c r="W101" s="84"/>
      <c r="X101" s="84"/>
    </row>
    <row r="102" spans="2:24" s="83" customFormat="1" ht="13.5" hidden="1" thickBot="1" x14ac:dyDescent="0.35">
      <c r="B102" s="1284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656">
        <v>64.8</v>
      </c>
      <c r="K102" s="656"/>
      <c r="L102" s="656">
        <v>64.8</v>
      </c>
      <c r="M102" s="656">
        <v>64.8</v>
      </c>
      <c r="N102" s="656">
        <v>64.8</v>
      </c>
      <c r="O102" s="656">
        <v>64.8</v>
      </c>
      <c r="P102" s="1286">
        <v>64.8</v>
      </c>
      <c r="Q102" s="84"/>
      <c r="R102" s="84"/>
      <c r="S102" s="84"/>
      <c r="T102" s="84"/>
      <c r="U102" s="84"/>
      <c r="V102" s="84"/>
      <c r="W102" s="84"/>
      <c r="X102" s="84"/>
    </row>
    <row r="103" spans="2:24" s="83" customFormat="1" ht="13.5" hidden="1" thickBot="1" x14ac:dyDescent="0.35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655">
        <f>J104</f>
        <v>90</v>
      </c>
      <c r="K103" s="655"/>
      <c r="L103" s="655">
        <f>L104</f>
        <v>0</v>
      </c>
      <c r="M103" s="655">
        <f>M104</f>
        <v>0</v>
      </c>
      <c r="N103" s="655">
        <f>N104</f>
        <v>90</v>
      </c>
      <c r="O103" s="655">
        <f>O104</f>
        <v>90</v>
      </c>
      <c r="P103" s="680">
        <f>P104</f>
        <v>90</v>
      </c>
      <c r="Q103" s="84"/>
      <c r="R103" s="84"/>
      <c r="S103" s="84"/>
      <c r="T103" s="84"/>
      <c r="U103" s="84"/>
      <c r="V103" s="84"/>
      <c r="W103" s="84"/>
      <c r="X103" s="84"/>
    </row>
    <row r="104" spans="2:24" s="83" customFormat="1" ht="13.5" hidden="1" thickBot="1" x14ac:dyDescent="0.35">
      <c r="B104" s="1284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656">
        <v>90</v>
      </c>
      <c r="K104" s="655"/>
      <c r="L104" s="655"/>
      <c r="M104" s="655"/>
      <c r="N104" s="656">
        <v>90</v>
      </c>
      <c r="O104" s="656">
        <v>90</v>
      </c>
      <c r="P104" s="1286">
        <v>90</v>
      </c>
      <c r="Q104" s="84"/>
      <c r="R104" s="84"/>
      <c r="S104" s="84"/>
      <c r="T104" s="84"/>
      <c r="U104" s="84"/>
      <c r="V104" s="84"/>
      <c r="W104" s="84"/>
      <c r="X104" s="84"/>
    </row>
    <row r="105" spans="2:24" s="83" customFormat="1" ht="14.5" hidden="1" thickBot="1" x14ac:dyDescent="0.35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684">
        <f>J106+J117+J130+J139</f>
        <v>22021.318999999996</v>
      </c>
      <c r="K105" s="672"/>
      <c r="L105" s="684">
        <f>L106+L117+L130+L139</f>
        <v>27710.55</v>
      </c>
      <c r="M105" s="684">
        <f>M106+M117+M130+M139</f>
        <v>26064.505000000001</v>
      </c>
      <c r="N105" s="684">
        <f>N106+N117+N130+N139</f>
        <v>22021.318999999996</v>
      </c>
      <c r="O105" s="684">
        <f>O106+O117+O130+O139</f>
        <v>22021.318999999996</v>
      </c>
      <c r="P105" s="1288">
        <f>P106+P117+P130+P139</f>
        <v>22021.318999999996</v>
      </c>
      <c r="Q105" s="84"/>
      <c r="R105" s="84"/>
      <c r="S105" s="84"/>
      <c r="T105" s="84"/>
      <c r="U105" s="84"/>
      <c r="V105" s="84"/>
      <c r="W105" s="84"/>
      <c r="X105" s="84"/>
    </row>
    <row r="106" spans="2:24" ht="13.5" hidden="1" thickBot="1" x14ac:dyDescent="0.3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653">
        <f>J107+J112</f>
        <v>9048</v>
      </c>
      <c r="K106" s="653"/>
      <c r="L106" s="653">
        <f>L107+L112</f>
        <v>10000</v>
      </c>
      <c r="M106" s="653">
        <f>M107+M112</f>
        <v>10000</v>
      </c>
      <c r="N106" s="653">
        <f>N107+N112</f>
        <v>9048</v>
      </c>
      <c r="O106" s="653">
        <f>O107+O112</f>
        <v>9048</v>
      </c>
      <c r="P106" s="1286">
        <f>P107+P112</f>
        <v>9048</v>
      </c>
    </row>
    <row r="107" spans="2:24" ht="53.5" hidden="1" customHeight="1" x14ac:dyDescent="0.25"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31"/>
      <c r="O107" s="131"/>
      <c r="P107" s="51"/>
    </row>
    <row r="108" spans="2:24" ht="52.5" hidden="1" thickBot="1" x14ac:dyDescent="0.35">
      <c r="B108" s="211" t="s">
        <v>283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640"/>
      <c r="K108" s="640"/>
      <c r="L108" s="640"/>
      <c r="M108" s="640"/>
      <c r="N108" s="640"/>
      <c r="O108" s="640"/>
      <c r="P108" s="1283"/>
    </row>
    <row r="109" spans="2:24" ht="81.650000000000006" hidden="1" customHeight="1" x14ac:dyDescent="0.3">
      <c r="B109" s="210" t="s">
        <v>281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640"/>
      <c r="K109" s="640"/>
      <c r="L109" s="640"/>
      <c r="M109" s="640"/>
      <c r="N109" s="640"/>
      <c r="O109" s="640"/>
      <c r="P109" s="1283"/>
    </row>
    <row r="110" spans="2:24" ht="81" hidden="1" customHeight="1" x14ac:dyDescent="0.3">
      <c r="B110" s="211" t="s">
        <v>279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655"/>
      <c r="K110" s="655"/>
      <c r="L110" s="655"/>
      <c r="M110" s="655"/>
      <c r="N110" s="655"/>
      <c r="O110" s="655"/>
      <c r="P110" s="680"/>
    </row>
    <row r="111" spans="2:24" ht="52.5" hidden="1" thickBot="1" x14ac:dyDescent="0.35">
      <c r="B111" s="210" t="s">
        <v>277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655"/>
      <c r="K111" s="655"/>
      <c r="L111" s="655"/>
      <c r="M111" s="655"/>
      <c r="N111" s="655"/>
      <c r="O111" s="655"/>
      <c r="P111" s="680"/>
    </row>
    <row r="112" spans="2:24" ht="39.65" hidden="1" customHeight="1" x14ac:dyDescent="0.25"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>L113+L115</f>
        <v>10000</v>
      </c>
      <c r="M112" s="47">
        <f>M113+M115</f>
        <v>10000</v>
      </c>
      <c r="N112" s="47">
        <f>N113+N115</f>
        <v>9048</v>
      </c>
      <c r="O112" s="47">
        <f>O113+O115</f>
        <v>9048</v>
      </c>
      <c r="P112" s="47">
        <f>P113+P115</f>
        <v>9048</v>
      </c>
    </row>
    <row r="113" spans="1:257" s="2" customFormat="1" ht="26.5" hidden="1" thickBot="1" x14ac:dyDescent="0.3">
      <c r="A113" s="1"/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>L114</f>
        <v>0</v>
      </c>
      <c r="M113" s="47">
        <f>M114</f>
        <v>0</v>
      </c>
      <c r="N113" s="47">
        <f>N114</f>
        <v>420</v>
      </c>
      <c r="O113" s="47">
        <f>O114</f>
        <v>420</v>
      </c>
      <c r="P113" s="47">
        <f>P114</f>
        <v>420</v>
      </c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 s="2" customFormat="1" ht="13.5" hidden="1" thickBot="1" x14ac:dyDescent="0.35">
      <c r="A114" s="1"/>
      <c r="B114" s="1284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57">
        <v>420</v>
      </c>
      <c r="O114" s="57">
        <v>420</v>
      </c>
      <c r="P114" s="57">
        <v>420</v>
      </c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 s="2" customFormat="1" ht="18.75" hidden="1" customHeight="1" x14ac:dyDescent="0.25">
      <c r="A115" s="1"/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>L116</f>
        <v>10000</v>
      </c>
      <c r="M115" s="57">
        <f>M116</f>
        <v>10000</v>
      </c>
      <c r="N115" s="57">
        <f>N116</f>
        <v>8628</v>
      </c>
      <c r="O115" s="57">
        <f>O116</f>
        <v>8628</v>
      </c>
      <c r="P115" s="57">
        <f>P116</f>
        <v>8628</v>
      </c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 s="2" customFormat="1" ht="25.9" hidden="1" customHeight="1" x14ac:dyDescent="0.3">
      <c r="A116" s="1"/>
      <c r="B116" s="1292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690">
        <v>8628</v>
      </c>
      <c r="K116" s="207"/>
      <c r="L116" s="54">
        <v>10000</v>
      </c>
      <c r="M116" s="206">
        <v>10000</v>
      </c>
      <c r="N116" s="690">
        <v>8628</v>
      </c>
      <c r="O116" s="690">
        <v>8628</v>
      </c>
      <c r="P116" s="1293">
        <v>8628</v>
      </c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 s="2" customFormat="1" ht="13.5" hidden="1" thickBot="1" x14ac:dyDescent="0.3">
      <c r="A117" s="1"/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650">
        <f>J118+J125</f>
        <v>1214.55</v>
      </c>
      <c r="K117" s="655"/>
      <c r="L117" s="692">
        <f>L118+L125</f>
        <v>4085</v>
      </c>
      <c r="M117" s="655">
        <f>M118+M125</f>
        <v>85</v>
      </c>
      <c r="N117" s="650">
        <f>N118+N125</f>
        <v>1214.55</v>
      </c>
      <c r="O117" s="650">
        <f>O118+O125</f>
        <v>1214.55</v>
      </c>
      <c r="P117" s="680">
        <f>P118+P125</f>
        <v>1214.55</v>
      </c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 s="2" customFormat="1" ht="58.15" hidden="1" customHeight="1" x14ac:dyDescent="0.25">
      <c r="A118" s="1"/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P119" si="8">L119</f>
        <v>4000</v>
      </c>
      <c r="M118" s="205">
        <f t="shared" si="8"/>
        <v>0</v>
      </c>
      <c r="N118" s="205">
        <f t="shared" si="8"/>
        <v>1129.55</v>
      </c>
      <c r="O118" s="205">
        <f t="shared" si="8"/>
        <v>1129.55</v>
      </c>
      <c r="P118" s="205">
        <f t="shared" si="8"/>
        <v>1129.55</v>
      </c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 s="2" customFormat="1" ht="65.5" hidden="1" thickBot="1" x14ac:dyDescent="0.3">
      <c r="A119" s="1"/>
      <c r="B119" s="58" t="s">
        <v>369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692">
        <f>J120</f>
        <v>1129.55</v>
      </c>
      <c r="K119" s="692"/>
      <c r="L119" s="692">
        <f t="shared" si="8"/>
        <v>4000</v>
      </c>
      <c r="M119" s="655">
        <f t="shared" si="8"/>
        <v>0</v>
      </c>
      <c r="N119" s="692">
        <f t="shared" si="8"/>
        <v>1129.55</v>
      </c>
      <c r="O119" s="692">
        <f t="shared" si="8"/>
        <v>1129.55</v>
      </c>
      <c r="P119" s="680">
        <f t="shared" si="8"/>
        <v>1129.55</v>
      </c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 s="2" customFormat="1" ht="26.5" hidden="1" thickBot="1" x14ac:dyDescent="0.3">
      <c r="A120" s="1"/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652">
        <v>1129.55</v>
      </c>
      <c r="K120" s="692"/>
      <c r="L120" s="652">
        <v>4000</v>
      </c>
      <c r="M120" s="655"/>
      <c r="N120" s="652">
        <v>1129.55</v>
      </c>
      <c r="O120" s="652">
        <v>1129.55</v>
      </c>
      <c r="P120" s="1286">
        <v>1129.55</v>
      </c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 s="2" customFormat="1" ht="52.5" hidden="1" thickBot="1" x14ac:dyDescent="0.3">
      <c r="A121" s="1"/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655"/>
      <c r="K121" s="655"/>
      <c r="L121" s="655"/>
      <c r="M121" s="655"/>
      <c r="N121" s="655"/>
      <c r="O121" s="655"/>
      <c r="P121" s="680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 s="2" customFormat="1" ht="42.75" hidden="1" customHeight="1" x14ac:dyDescent="0.25">
      <c r="A122" s="1"/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31"/>
      <c r="O122" s="131"/>
      <c r="P122" s="5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 s="2" customFormat="1" ht="72.75" hidden="1" customHeight="1" x14ac:dyDescent="0.25">
      <c r="A123" s="1"/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655"/>
      <c r="K123" s="655"/>
      <c r="L123" s="655"/>
      <c r="M123" s="655"/>
      <c r="N123" s="655"/>
      <c r="O123" s="655"/>
      <c r="P123" s="680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 s="2" customFormat="1" ht="57" hidden="1" customHeight="1" x14ac:dyDescent="0.25">
      <c r="A124" s="1"/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655"/>
      <c r="K124" s="655"/>
      <c r="L124" s="655"/>
      <c r="M124" s="655"/>
      <c r="N124" s="655"/>
      <c r="O124" s="655"/>
      <c r="P124" s="680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 s="2" customFormat="1" ht="39.65" hidden="1" customHeight="1" x14ac:dyDescent="0.25">
      <c r="A125" s="1"/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>L126</f>
        <v>85</v>
      </c>
      <c r="M125" s="51">
        <f>M126</f>
        <v>85</v>
      </c>
      <c r="N125" s="51">
        <f>N126</f>
        <v>85</v>
      </c>
      <c r="O125" s="51">
        <f>O126</f>
        <v>85</v>
      </c>
      <c r="P125" s="51">
        <f>P126</f>
        <v>85</v>
      </c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 s="2" customFormat="1" ht="43.5" hidden="1" customHeight="1" x14ac:dyDescent="0.25">
      <c r="A126" s="1"/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>L129</f>
        <v>85</v>
      </c>
      <c r="M126" s="47">
        <f>M129</f>
        <v>85</v>
      </c>
      <c r="N126" s="47">
        <f>N129</f>
        <v>85</v>
      </c>
      <c r="O126" s="47">
        <f>O129</f>
        <v>85</v>
      </c>
      <c r="P126" s="47">
        <f>P129</f>
        <v>85</v>
      </c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 s="2" customFormat="1" ht="60.75" hidden="1" customHeight="1" x14ac:dyDescent="0.25">
      <c r="A127" s="1"/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3379" t="s">
        <v>20</v>
      </c>
      <c r="H127" s="3380"/>
      <c r="I127" s="3380"/>
      <c r="J127" s="3381"/>
      <c r="K127" s="41"/>
      <c r="L127" s="1"/>
      <c r="M127" s="1"/>
      <c r="N127" s="1"/>
      <c r="O127" s="1"/>
      <c r="P127" s="237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 s="2" customFormat="1" ht="48" hidden="1" customHeight="1" x14ac:dyDescent="0.25">
      <c r="A128" s="1"/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3373" t="s">
        <v>17</v>
      </c>
      <c r="H128" s="3374"/>
      <c r="I128" s="3374"/>
      <c r="J128" s="3375"/>
      <c r="K128" s="41"/>
      <c r="L128" s="1"/>
      <c r="M128" s="1"/>
      <c r="N128" s="1"/>
      <c r="O128" s="1"/>
      <c r="P128" s="237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 s="2" customFormat="1" ht="16.899999999999999" hidden="1" customHeight="1" x14ac:dyDescent="0.3">
      <c r="A129" s="1"/>
      <c r="B129" s="1284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28">
        <v>85</v>
      </c>
      <c r="O129" s="28">
        <v>85</v>
      </c>
      <c r="P129" s="28">
        <v>85</v>
      </c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 s="2" customFormat="1" ht="20.25" hidden="1" customHeight="1" x14ac:dyDescent="0.25">
      <c r="A130" s="1"/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693">
        <f>J131+J134</f>
        <v>11758.768999999998</v>
      </c>
      <c r="K130" s="655"/>
      <c r="L130" s="693">
        <f>L131+L134</f>
        <v>13625.55</v>
      </c>
      <c r="M130" s="693">
        <f>M131+M134</f>
        <v>15979.505000000001</v>
      </c>
      <c r="N130" s="693">
        <f>N131+N134</f>
        <v>11758.768999999998</v>
      </c>
      <c r="O130" s="693">
        <f>O131+O134</f>
        <v>11758.768999999998</v>
      </c>
      <c r="P130" s="1294">
        <f>P131+P134</f>
        <v>11758.768999999998</v>
      </c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 s="2" customFormat="1" ht="55.15" hidden="1" customHeight="1" x14ac:dyDescent="0.25">
      <c r="A131" s="1"/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P132" si="9">L132</f>
        <v>6008.35</v>
      </c>
      <c r="M131" s="51">
        <f t="shared" si="9"/>
        <v>8515.7049999999999</v>
      </c>
      <c r="N131" s="51">
        <f t="shared" si="9"/>
        <v>2275.0059999999999</v>
      </c>
      <c r="O131" s="51">
        <f t="shared" si="9"/>
        <v>2275.0059999999999</v>
      </c>
      <c r="P131" s="51">
        <f t="shared" si="9"/>
        <v>2275.0059999999999</v>
      </c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 s="2" customFormat="1" ht="70.150000000000006" hidden="1" customHeight="1" x14ac:dyDescent="0.25">
      <c r="A132" s="1"/>
      <c r="B132" s="58" t="s">
        <v>362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650">
        <f>J133</f>
        <v>2275.0059999999999</v>
      </c>
      <c r="K132" s="655"/>
      <c r="L132" s="650">
        <f t="shared" si="9"/>
        <v>6008.35</v>
      </c>
      <c r="M132" s="650">
        <f t="shared" si="9"/>
        <v>8515.7049999999999</v>
      </c>
      <c r="N132" s="650">
        <f t="shared" si="9"/>
        <v>2275.0059999999999</v>
      </c>
      <c r="O132" s="650">
        <f t="shared" si="9"/>
        <v>2275.0059999999999</v>
      </c>
      <c r="P132" s="680">
        <f t="shared" si="9"/>
        <v>2275.0059999999999</v>
      </c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 s="2" customFormat="1" ht="12.65" hidden="1" customHeight="1" x14ac:dyDescent="0.3">
      <c r="A133" s="1"/>
      <c r="B133" s="1284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650">
        <v>2275.0059999999999</v>
      </c>
      <c r="K133" s="655"/>
      <c r="L133" s="650">
        <v>6008.35</v>
      </c>
      <c r="M133" s="650">
        <v>8515.7049999999999</v>
      </c>
      <c r="N133" s="650">
        <v>2275.0059999999999</v>
      </c>
      <c r="O133" s="650">
        <v>2275.0059999999999</v>
      </c>
      <c r="P133" s="680">
        <v>2275.0059999999999</v>
      </c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 s="2" customFormat="1" ht="56.5" hidden="1" customHeight="1" x14ac:dyDescent="0.25">
      <c r="A134" s="1"/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>L135+L137</f>
        <v>7617.2</v>
      </c>
      <c r="M134" s="693">
        <f>M135+M137</f>
        <v>7463.8</v>
      </c>
      <c r="N134" s="51">
        <f>N135+N137</f>
        <v>9483.762999999999</v>
      </c>
      <c r="O134" s="51">
        <f>O135+O137</f>
        <v>9483.762999999999</v>
      </c>
      <c r="P134" s="51">
        <f>P135+P137</f>
        <v>9483.762999999999</v>
      </c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 s="2" customFormat="1" ht="65.5" hidden="1" thickBot="1" x14ac:dyDescent="0.3">
      <c r="A135" s="1"/>
      <c r="B135" s="49" t="s">
        <v>358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650">
        <f>J136</f>
        <v>5353.7750000000005</v>
      </c>
      <c r="K135" s="655"/>
      <c r="L135" s="655">
        <f>L136</f>
        <v>5406.2</v>
      </c>
      <c r="M135" s="655">
        <f>M136</f>
        <v>5230.3</v>
      </c>
      <c r="N135" s="650">
        <f>N136</f>
        <v>5353.7750000000005</v>
      </c>
      <c r="O135" s="650">
        <f>O136</f>
        <v>5353.7750000000005</v>
      </c>
      <c r="P135" s="680">
        <f>P136</f>
        <v>5353.7750000000005</v>
      </c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 s="2" customFormat="1" ht="13.5" hidden="1" thickBot="1" x14ac:dyDescent="0.35">
      <c r="A136" s="1"/>
      <c r="B136" s="1284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653">
        <f>5356.1-4835.3+2500.3+2332.675</f>
        <v>5353.7750000000005</v>
      </c>
      <c r="K136" s="655"/>
      <c r="L136" s="653">
        <v>5406.2</v>
      </c>
      <c r="M136" s="653">
        <v>5230.3</v>
      </c>
      <c r="N136" s="653">
        <f>5356.1-4835.3+2500.3+2332.675</f>
        <v>5353.7750000000005</v>
      </c>
      <c r="O136" s="653">
        <f>5356.1-4835.3+2500.3+2332.675</f>
        <v>5353.7750000000005</v>
      </c>
      <c r="P136" s="1286">
        <f>5356.1-4835.3+2500.3+2332.675</f>
        <v>5353.7750000000005</v>
      </c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 s="2" customFormat="1" ht="79.150000000000006" hidden="1" customHeight="1" x14ac:dyDescent="0.25">
      <c r="A137" s="1"/>
      <c r="B137" s="49" t="s">
        <v>356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650">
        <f>J138</f>
        <v>4129.9879999999994</v>
      </c>
      <c r="K137" s="650"/>
      <c r="L137" s="650">
        <f>L138</f>
        <v>2211</v>
      </c>
      <c r="M137" s="650">
        <f>M138</f>
        <v>2233.5</v>
      </c>
      <c r="N137" s="650">
        <f>N138</f>
        <v>4129.9879999999994</v>
      </c>
      <c r="O137" s="650">
        <f>O138</f>
        <v>4129.9879999999994</v>
      </c>
      <c r="P137" s="680">
        <f>P138</f>
        <v>4129.9879999999994</v>
      </c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 s="2" customFormat="1" ht="18.649999999999999" hidden="1" customHeight="1" x14ac:dyDescent="0.3">
      <c r="A138" s="1"/>
      <c r="B138" s="1284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650">
        <f>2142.2+1447.788+540</f>
        <v>4129.9879999999994</v>
      </c>
      <c r="K138" s="650"/>
      <c r="L138" s="650">
        <v>2211</v>
      </c>
      <c r="M138" s="650">
        <v>2233.5</v>
      </c>
      <c r="N138" s="650">
        <f>2142.2+1447.788+540</f>
        <v>4129.9879999999994</v>
      </c>
      <c r="O138" s="650">
        <f>2142.2+1447.788+540</f>
        <v>4129.9879999999994</v>
      </c>
      <c r="P138" s="680">
        <f>2142.2+1447.788+540</f>
        <v>4129.9879999999994</v>
      </c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 s="2" customFormat="1" ht="19.5" hidden="1" customHeight="1" x14ac:dyDescent="0.25">
      <c r="A139" s="1"/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655">
        <f>J140</f>
        <v>0</v>
      </c>
      <c r="K139" s="655"/>
      <c r="L139" s="655">
        <f t="shared" ref="L139:P142" si="10">L140</f>
        <v>0</v>
      </c>
      <c r="M139" s="655">
        <f t="shared" si="10"/>
        <v>0</v>
      </c>
      <c r="N139" s="655">
        <f t="shared" si="10"/>
        <v>0</v>
      </c>
      <c r="O139" s="655">
        <f t="shared" si="10"/>
        <v>0</v>
      </c>
      <c r="P139" s="680">
        <f t="shared" si="10"/>
        <v>0</v>
      </c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 s="2" customFormat="1" ht="39.5" hidden="1" thickBot="1" x14ac:dyDescent="0.3">
      <c r="A140" s="1"/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655">
        <f>J141</f>
        <v>0</v>
      </c>
      <c r="K140" s="655"/>
      <c r="L140" s="655">
        <f t="shared" si="10"/>
        <v>0</v>
      </c>
      <c r="M140" s="655">
        <f t="shared" si="10"/>
        <v>0</v>
      </c>
      <c r="N140" s="655">
        <f t="shared" si="10"/>
        <v>0</v>
      </c>
      <c r="O140" s="655">
        <f t="shared" si="10"/>
        <v>0</v>
      </c>
      <c r="P140" s="680">
        <f t="shared" si="10"/>
        <v>0</v>
      </c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 s="2" customFormat="1" ht="30.75" hidden="1" customHeight="1" x14ac:dyDescent="0.25">
      <c r="A141" s="1"/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695">
        <f>J142</f>
        <v>0</v>
      </c>
      <c r="K141" s="695"/>
      <c r="L141" s="695">
        <f t="shared" si="10"/>
        <v>0</v>
      </c>
      <c r="M141" s="695">
        <f t="shared" si="10"/>
        <v>0</v>
      </c>
      <c r="N141" s="695">
        <f t="shared" si="10"/>
        <v>0</v>
      </c>
      <c r="O141" s="695">
        <f t="shared" si="10"/>
        <v>0</v>
      </c>
      <c r="P141" s="1295">
        <f t="shared" si="10"/>
        <v>0</v>
      </c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 s="2" customFormat="1" ht="26.5" hidden="1" thickBot="1" x14ac:dyDescent="0.3">
      <c r="A142" s="1"/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695">
        <f>J143</f>
        <v>0</v>
      </c>
      <c r="K142" s="695"/>
      <c r="L142" s="695">
        <f t="shared" si="10"/>
        <v>0</v>
      </c>
      <c r="M142" s="695">
        <f t="shared" si="10"/>
        <v>0</v>
      </c>
      <c r="N142" s="695">
        <f t="shared" si="10"/>
        <v>0</v>
      </c>
      <c r="O142" s="695">
        <f t="shared" si="10"/>
        <v>0</v>
      </c>
      <c r="P142" s="1295">
        <f t="shared" si="10"/>
        <v>0</v>
      </c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 s="2" customFormat="1" ht="13.5" hidden="1" thickBot="1" x14ac:dyDescent="0.3">
      <c r="A143" s="1"/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695"/>
      <c r="K143" s="695"/>
      <c r="L143" s="695"/>
      <c r="M143" s="695"/>
      <c r="N143" s="695"/>
      <c r="O143" s="695"/>
      <c r="P143" s="1295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 s="2" customFormat="1" ht="14.5" hidden="1" thickBot="1" x14ac:dyDescent="0.3">
      <c r="A144" s="1"/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698">
        <f>J145</f>
        <v>160</v>
      </c>
      <c r="K144" s="698"/>
      <c r="L144" s="698">
        <f t="shared" ref="L144:P146" si="11">L145</f>
        <v>172</v>
      </c>
      <c r="M144" s="698">
        <f t="shared" si="11"/>
        <v>184</v>
      </c>
      <c r="N144" s="698">
        <f t="shared" si="11"/>
        <v>160</v>
      </c>
      <c r="O144" s="698">
        <f t="shared" si="11"/>
        <v>160</v>
      </c>
      <c r="P144" s="1282">
        <f t="shared" si="11"/>
        <v>160</v>
      </c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 s="2" customFormat="1" ht="13.5" hidden="1" thickBot="1" x14ac:dyDescent="0.3">
      <c r="A145" s="1"/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647">
        <f>J146</f>
        <v>160</v>
      </c>
      <c r="K145" s="647"/>
      <c r="L145" s="647">
        <f t="shared" si="11"/>
        <v>172</v>
      </c>
      <c r="M145" s="647">
        <f t="shared" si="11"/>
        <v>184</v>
      </c>
      <c r="N145" s="647">
        <f t="shared" si="11"/>
        <v>160</v>
      </c>
      <c r="O145" s="647">
        <f t="shared" si="11"/>
        <v>160</v>
      </c>
      <c r="P145" s="1285">
        <f t="shared" si="11"/>
        <v>160</v>
      </c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 s="2" customFormat="1" ht="53.25" hidden="1" customHeight="1" x14ac:dyDescent="0.25">
      <c r="A146" s="1"/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11"/>
        <v>172</v>
      </c>
      <c r="M146" s="51">
        <f t="shared" si="11"/>
        <v>184</v>
      </c>
      <c r="N146" s="51">
        <f t="shared" si="11"/>
        <v>160</v>
      </c>
      <c r="O146" s="51">
        <f t="shared" si="11"/>
        <v>160</v>
      </c>
      <c r="P146" s="51">
        <f t="shared" si="11"/>
        <v>160</v>
      </c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 s="2" customFormat="1" ht="65.5" hidden="1" thickBot="1" x14ac:dyDescent="0.3">
      <c r="A147" s="1"/>
      <c r="B147" s="157" t="s">
        <v>347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647">
        <f>J150</f>
        <v>160</v>
      </c>
      <c r="K147" s="647"/>
      <c r="L147" s="647">
        <f>L150</f>
        <v>172</v>
      </c>
      <c r="M147" s="647">
        <f>M150</f>
        <v>184</v>
      </c>
      <c r="N147" s="647">
        <f>N150</f>
        <v>160</v>
      </c>
      <c r="O147" s="647">
        <f>O150</f>
        <v>160</v>
      </c>
      <c r="P147" s="1285">
        <f>P150</f>
        <v>160</v>
      </c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 s="2" customFormat="1" ht="75" hidden="1" customHeight="1" x14ac:dyDescent="0.25">
      <c r="A148" s="1"/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647"/>
      <c r="K148" s="647"/>
      <c r="L148" s="647"/>
      <c r="M148" s="647"/>
      <c r="N148" s="647"/>
      <c r="O148" s="647"/>
      <c r="P148" s="1285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 s="2" customFormat="1" ht="16.149999999999999" hidden="1" customHeight="1" x14ac:dyDescent="0.3">
      <c r="A149" s="1"/>
      <c r="B149" s="1284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647"/>
      <c r="K149" s="647"/>
      <c r="L149" s="647"/>
      <c r="M149" s="647"/>
      <c r="N149" s="647"/>
      <c r="O149" s="647"/>
      <c r="P149" s="1285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 s="2" customFormat="1" ht="77.25" hidden="1" customHeight="1" x14ac:dyDescent="0.25">
      <c r="A150" s="1"/>
      <c r="B150" s="49" t="s">
        <v>345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647">
        <f>J151</f>
        <v>160</v>
      </c>
      <c r="K150" s="647"/>
      <c r="L150" s="647">
        <f>L151</f>
        <v>172</v>
      </c>
      <c r="M150" s="647">
        <f>M151</f>
        <v>184</v>
      </c>
      <c r="N150" s="647">
        <f>N151</f>
        <v>160</v>
      </c>
      <c r="O150" s="647">
        <f>O151</f>
        <v>160</v>
      </c>
      <c r="P150" s="1285">
        <f>P151</f>
        <v>160</v>
      </c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 s="2" customFormat="1" ht="16.899999999999999" hidden="1" customHeight="1" x14ac:dyDescent="0.3">
      <c r="A151" s="1"/>
      <c r="B151" s="1284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647">
        <v>160</v>
      </c>
      <c r="K151" s="647"/>
      <c r="L151" s="647">
        <v>172</v>
      </c>
      <c r="M151" s="647">
        <v>184</v>
      </c>
      <c r="N151" s="647">
        <v>160</v>
      </c>
      <c r="O151" s="647">
        <v>160</v>
      </c>
      <c r="P151" s="1285">
        <v>160</v>
      </c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 s="2" customFormat="1" ht="14.5" hidden="1" thickBot="1" x14ac:dyDescent="0.3">
      <c r="A152" s="1"/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698">
        <f>J153+J160</f>
        <v>7152.5</v>
      </c>
      <c r="K152" s="698"/>
      <c r="L152" s="698">
        <f>L153+L160</f>
        <v>7583.5</v>
      </c>
      <c r="M152" s="698">
        <f>M153+M160</f>
        <v>8198.5</v>
      </c>
      <c r="N152" s="698">
        <f>N153+N160</f>
        <v>7152.5</v>
      </c>
      <c r="O152" s="698">
        <f>O153+O160</f>
        <v>7152.5</v>
      </c>
      <c r="P152" s="1282">
        <f>P153+P160</f>
        <v>7152.5</v>
      </c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 s="2" customFormat="1" ht="13.5" hidden="1" thickBot="1" x14ac:dyDescent="0.3">
      <c r="A153" s="1"/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640">
        <f>J154</f>
        <v>5947</v>
      </c>
      <c r="K153" s="640"/>
      <c r="L153" s="640">
        <f t="shared" ref="L153:P155" si="12">L154</f>
        <v>6305</v>
      </c>
      <c r="M153" s="640">
        <f t="shared" si="12"/>
        <v>6960</v>
      </c>
      <c r="N153" s="640">
        <f t="shared" si="12"/>
        <v>5947</v>
      </c>
      <c r="O153" s="640">
        <f t="shared" si="12"/>
        <v>5947</v>
      </c>
      <c r="P153" s="1283">
        <f t="shared" si="12"/>
        <v>5947</v>
      </c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 s="2" customFormat="1" ht="55.5" hidden="1" customHeight="1" x14ac:dyDescent="0.25">
      <c r="A154" s="1"/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12"/>
        <v>6305</v>
      </c>
      <c r="M154" s="51">
        <f t="shared" si="12"/>
        <v>6960</v>
      </c>
      <c r="N154" s="51">
        <f t="shared" si="12"/>
        <v>5947</v>
      </c>
      <c r="O154" s="51">
        <f t="shared" si="12"/>
        <v>5947</v>
      </c>
      <c r="P154" s="51">
        <f t="shared" si="12"/>
        <v>5947</v>
      </c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 s="2" customFormat="1" ht="83.5" hidden="1" customHeight="1" x14ac:dyDescent="0.25">
      <c r="A155" s="1"/>
      <c r="B155" s="157" t="s">
        <v>342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646">
        <f>J156</f>
        <v>5947</v>
      </c>
      <c r="K155" s="646"/>
      <c r="L155" s="646">
        <f t="shared" si="12"/>
        <v>6305</v>
      </c>
      <c r="M155" s="646">
        <f t="shared" si="12"/>
        <v>6960</v>
      </c>
      <c r="N155" s="646">
        <f t="shared" si="12"/>
        <v>5947</v>
      </c>
      <c r="O155" s="646">
        <f t="shared" si="12"/>
        <v>5947</v>
      </c>
      <c r="P155" s="1285">
        <f t="shared" si="12"/>
        <v>5947</v>
      </c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 s="2" customFormat="1" ht="65.5" hidden="1" thickBot="1" x14ac:dyDescent="0.3">
      <c r="A156" s="1"/>
      <c r="B156" s="49" t="s">
        <v>340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646">
        <f>J157+J158+J159</f>
        <v>5947</v>
      </c>
      <c r="K156" s="646"/>
      <c r="L156" s="646">
        <f>L157+L158+L159</f>
        <v>6305</v>
      </c>
      <c r="M156" s="646">
        <f>M157+M158+M159</f>
        <v>6960</v>
      </c>
      <c r="N156" s="646">
        <f>N157+N158+N159</f>
        <v>5947</v>
      </c>
      <c r="O156" s="646">
        <f>O157+O158+O159</f>
        <v>5947</v>
      </c>
      <c r="P156" s="1285">
        <f>P157+P158+P159</f>
        <v>5947</v>
      </c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 s="2" customFormat="1" ht="13.5" hidden="1" thickBot="1" x14ac:dyDescent="0.35">
      <c r="A157" s="1"/>
      <c r="B157" s="1284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699">
        <v>4171.2870000000003</v>
      </c>
      <c r="K157" s="699"/>
      <c r="L157" s="646">
        <v>5305.1139999999996</v>
      </c>
      <c r="M157" s="646">
        <v>6631.482</v>
      </c>
      <c r="N157" s="699">
        <v>4171.2870000000003</v>
      </c>
      <c r="O157" s="699">
        <v>4171.2870000000003</v>
      </c>
      <c r="P157" s="1285">
        <v>4171.2870000000003</v>
      </c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 s="2" customFormat="1" ht="13.5" hidden="1" thickBot="1" x14ac:dyDescent="0.35">
      <c r="A158" s="1"/>
      <c r="B158" s="1284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646">
        <f>1775.713-0.713</f>
        <v>1775</v>
      </c>
      <c r="K158" s="646"/>
      <c r="L158" s="646">
        <f>999.886-0.886</f>
        <v>999</v>
      </c>
      <c r="M158" s="646">
        <v>328</v>
      </c>
      <c r="N158" s="646">
        <f>1775.713-0.713</f>
        <v>1775</v>
      </c>
      <c r="O158" s="646">
        <f>1775.713-0.713</f>
        <v>1775</v>
      </c>
      <c r="P158" s="1285">
        <f>1775.713-0.713</f>
        <v>1775</v>
      </c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 s="2" customFormat="1" ht="13.5" hidden="1" thickBot="1" x14ac:dyDescent="0.35">
      <c r="A159" s="1"/>
      <c r="B159" s="1284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647">
        <v>0.71299999999999997</v>
      </c>
      <c r="K159" s="647"/>
      <c r="L159" s="647">
        <v>0.88600000000000001</v>
      </c>
      <c r="M159" s="647">
        <v>0.51800000000000002</v>
      </c>
      <c r="N159" s="647">
        <v>0.71299999999999997</v>
      </c>
      <c r="O159" s="647">
        <v>0.71299999999999997</v>
      </c>
      <c r="P159" s="1285">
        <v>0.71299999999999997</v>
      </c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 s="2" customFormat="1" ht="30.75" hidden="1" customHeight="1" x14ac:dyDescent="0.25">
      <c r="A160" s="1"/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640">
        <f>J161</f>
        <v>1205.5</v>
      </c>
      <c r="K160" s="640"/>
      <c r="L160" s="640">
        <f t="shared" ref="L160:P163" si="13">L161</f>
        <v>1278.5</v>
      </c>
      <c r="M160" s="640">
        <f t="shared" si="13"/>
        <v>1238.5</v>
      </c>
      <c r="N160" s="640">
        <f t="shared" si="13"/>
        <v>1205.5</v>
      </c>
      <c r="O160" s="640">
        <f t="shared" si="13"/>
        <v>1205.5</v>
      </c>
      <c r="P160" s="1283">
        <f t="shared" si="13"/>
        <v>1205.5</v>
      </c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2:24" ht="39.65" hidden="1" customHeight="1" x14ac:dyDescent="0.25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13"/>
        <v>1278.5</v>
      </c>
      <c r="M161" s="51">
        <f t="shared" si="13"/>
        <v>1238.5</v>
      </c>
      <c r="N161" s="51">
        <f t="shared" si="13"/>
        <v>1205.5</v>
      </c>
      <c r="O161" s="51">
        <f t="shared" si="13"/>
        <v>1205.5</v>
      </c>
      <c r="P161" s="51">
        <f t="shared" si="13"/>
        <v>1205.5</v>
      </c>
    </row>
    <row r="162" spans="2:24" ht="85.9" hidden="1" customHeight="1" x14ac:dyDescent="0.25">
      <c r="B162" s="157" t="s">
        <v>338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646">
        <f>J163</f>
        <v>1205.5</v>
      </c>
      <c r="K162" s="646"/>
      <c r="L162" s="646">
        <f t="shared" si="13"/>
        <v>1278.5</v>
      </c>
      <c r="M162" s="646">
        <f t="shared" si="13"/>
        <v>1238.5</v>
      </c>
      <c r="N162" s="646">
        <f t="shared" si="13"/>
        <v>1205.5</v>
      </c>
      <c r="O162" s="646">
        <f t="shared" si="13"/>
        <v>1205.5</v>
      </c>
      <c r="P162" s="1285">
        <f t="shared" si="13"/>
        <v>1205.5</v>
      </c>
    </row>
    <row r="163" spans="2:24" ht="65.5" hidden="1" thickBot="1" x14ac:dyDescent="0.3">
      <c r="B163" s="49" t="s">
        <v>336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646">
        <f>J164</f>
        <v>1205.5</v>
      </c>
      <c r="K163" s="646"/>
      <c r="L163" s="646">
        <f t="shared" si="13"/>
        <v>1278.5</v>
      </c>
      <c r="M163" s="646">
        <f t="shared" si="13"/>
        <v>1238.5</v>
      </c>
      <c r="N163" s="646">
        <f t="shared" si="13"/>
        <v>1205.5</v>
      </c>
      <c r="O163" s="646">
        <f t="shared" si="13"/>
        <v>1205.5</v>
      </c>
      <c r="P163" s="1285">
        <f t="shared" si="13"/>
        <v>1205.5</v>
      </c>
    </row>
    <row r="164" spans="2:24" ht="13.5" hidden="1" thickBot="1" x14ac:dyDescent="0.35">
      <c r="B164" s="1284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646">
        <v>1205.5</v>
      </c>
      <c r="K164" s="646"/>
      <c r="L164" s="646">
        <v>1278.5</v>
      </c>
      <c r="M164" s="646">
        <v>1238.5</v>
      </c>
      <c r="N164" s="646">
        <v>1205.5</v>
      </c>
      <c r="O164" s="646">
        <v>1205.5</v>
      </c>
      <c r="P164" s="1285">
        <v>1205.5</v>
      </c>
    </row>
    <row r="165" spans="2:24" s="162" customFormat="1" ht="52.5" hidden="1" thickBot="1" x14ac:dyDescent="0.35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647"/>
      <c r="K165" s="647"/>
      <c r="L165" s="647"/>
      <c r="M165" s="647"/>
      <c r="N165" s="647"/>
      <c r="O165" s="647"/>
      <c r="P165" s="1285"/>
      <c r="Q165" s="163"/>
      <c r="R165" s="163"/>
      <c r="S165" s="163"/>
      <c r="T165" s="163"/>
      <c r="U165" s="163"/>
      <c r="V165" s="163"/>
      <c r="W165" s="163"/>
      <c r="X165" s="163"/>
    </row>
    <row r="166" spans="2:24" ht="14.5" hidden="1" thickBot="1" x14ac:dyDescent="0.3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672">
        <f>J167+J170</f>
        <v>412.5</v>
      </c>
      <c r="K166" s="672"/>
      <c r="L166" s="672">
        <f>L167+L170</f>
        <v>412.5</v>
      </c>
      <c r="M166" s="672">
        <f>M167+M170</f>
        <v>412.5</v>
      </c>
      <c r="N166" s="672">
        <f>N167+N170</f>
        <v>412.5</v>
      </c>
      <c r="O166" s="672">
        <f>O167+O170</f>
        <v>412.5</v>
      </c>
      <c r="P166" s="1288">
        <f>P167+P170</f>
        <v>412.5</v>
      </c>
    </row>
    <row r="167" spans="2:24" ht="13.5" hidden="1" thickBot="1" x14ac:dyDescent="0.3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655">
        <f>J168</f>
        <v>240.5</v>
      </c>
      <c r="K167" s="655"/>
      <c r="L167" s="655">
        <f t="shared" ref="L167:P168" si="14">L168</f>
        <v>240.5</v>
      </c>
      <c r="M167" s="655">
        <f t="shared" si="14"/>
        <v>240.5</v>
      </c>
      <c r="N167" s="655">
        <f t="shared" si="14"/>
        <v>240.5</v>
      </c>
      <c r="O167" s="655">
        <f t="shared" si="14"/>
        <v>240.5</v>
      </c>
      <c r="P167" s="680">
        <f t="shared" si="14"/>
        <v>240.5</v>
      </c>
    </row>
    <row r="168" spans="2:24" ht="21" hidden="1" customHeight="1" x14ac:dyDescent="0.25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656">
        <f>J169</f>
        <v>240.5</v>
      </c>
      <c r="K168" s="656"/>
      <c r="L168" s="656">
        <f t="shared" si="14"/>
        <v>240.5</v>
      </c>
      <c r="M168" s="656">
        <f t="shared" si="14"/>
        <v>240.5</v>
      </c>
      <c r="N168" s="656">
        <f t="shared" si="14"/>
        <v>240.5</v>
      </c>
      <c r="O168" s="656">
        <f t="shared" si="14"/>
        <v>240.5</v>
      </c>
      <c r="P168" s="1286">
        <f t="shared" si="14"/>
        <v>240.5</v>
      </c>
    </row>
    <row r="169" spans="2:24" ht="21" hidden="1" customHeight="1" x14ac:dyDescent="0.3">
      <c r="B169" s="1284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656">
        <v>240.5</v>
      </c>
      <c r="K169" s="656"/>
      <c r="L169" s="656">
        <v>240.5</v>
      </c>
      <c r="M169" s="656">
        <v>240.5</v>
      </c>
      <c r="N169" s="656">
        <v>240.5</v>
      </c>
      <c r="O169" s="656">
        <v>240.5</v>
      </c>
      <c r="P169" s="1286">
        <v>240.5</v>
      </c>
    </row>
    <row r="170" spans="2:24" ht="13.5" hidden="1" thickBot="1" x14ac:dyDescent="0.3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655">
        <f>J171</f>
        <v>172</v>
      </c>
      <c r="K170" s="655"/>
      <c r="L170" s="655">
        <f t="shared" ref="L170:P171" si="15">L171</f>
        <v>172</v>
      </c>
      <c r="M170" s="655">
        <f t="shared" si="15"/>
        <v>172</v>
      </c>
      <c r="N170" s="655">
        <f t="shared" si="15"/>
        <v>172</v>
      </c>
      <c r="O170" s="655">
        <f t="shared" si="15"/>
        <v>172</v>
      </c>
      <c r="P170" s="680">
        <f t="shared" si="15"/>
        <v>172</v>
      </c>
    </row>
    <row r="171" spans="2:24" ht="21" hidden="1" customHeight="1" x14ac:dyDescent="0.25"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656">
        <f>J172</f>
        <v>172</v>
      </c>
      <c r="K171" s="656"/>
      <c r="L171" s="656">
        <f t="shared" si="15"/>
        <v>172</v>
      </c>
      <c r="M171" s="656">
        <f t="shared" si="15"/>
        <v>172</v>
      </c>
      <c r="N171" s="656">
        <f t="shared" si="15"/>
        <v>172</v>
      </c>
      <c r="O171" s="656">
        <f t="shared" si="15"/>
        <v>172</v>
      </c>
      <c r="P171" s="1286">
        <f t="shared" si="15"/>
        <v>172</v>
      </c>
    </row>
    <row r="172" spans="2:24" ht="21" hidden="1" customHeight="1" x14ac:dyDescent="0.3">
      <c r="B172" s="1284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656">
        <v>172</v>
      </c>
      <c r="K172" s="656"/>
      <c r="L172" s="656">
        <v>172</v>
      </c>
      <c r="M172" s="656">
        <v>172</v>
      </c>
      <c r="N172" s="656">
        <v>172</v>
      </c>
      <c r="O172" s="656">
        <v>172</v>
      </c>
      <c r="P172" s="1286">
        <v>172</v>
      </c>
    </row>
    <row r="173" spans="2:24" ht="14.5" hidden="1" thickBot="1" x14ac:dyDescent="0.3"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673">
        <f>J175</f>
        <v>3930</v>
      </c>
      <c r="K173" s="673"/>
      <c r="L173" s="673">
        <f>L175</f>
        <v>3930</v>
      </c>
      <c r="M173" s="673">
        <f>M175</f>
        <v>1185</v>
      </c>
      <c r="N173" s="673">
        <f>N175</f>
        <v>3930</v>
      </c>
      <c r="O173" s="673">
        <f>O175</f>
        <v>3930</v>
      </c>
      <c r="P173" s="1288">
        <f>P175</f>
        <v>3930</v>
      </c>
    </row>
    <row r="174" spans="2:24" ht="24" hidden="1" customHeight="1" x14ac:dyDescent="0.25"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653">
        <f>J175</f>
        <v>3930</v>
      </c>
      <c r="K174" s="653"/>
      <c r="L174" s="653">
        <f>L175</f>
        <v>3930</v>
      </c>
      <c r="M174" s="653">
        <f>M175</f>
        <v>1185</v>
      </c>
      <c r="N174" s="653">
        <f>N175</f>
        <v>3930</v>
      </c>
      <c r="O174" s="653">
        <f>O175</f>
        <v>3930</v>
      </c>
      <c r="P174" s="1286">
        <f>P175</f>
        <v>3930</v>
      </c>
    </row>
    <row r="175" spans="2:24" ht="58.5" hidden="1" customHeight="1" x14ac:dyDescent="0.25"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703">
        <f>J178+J182</f>
        <v>3930</v>
      </c>
      <c r="K175" s="703"/>
      <c r="L175" s="703">
        <f>L178+L182</f>
        <v>3930</v>
      </c>
      <c r="M175" s="703">
        <f>M178+M182</f>
        <v>1185</v>
      </c>
      <c r="N175" s="703">
        <f>N178+N182</f>
        <v>3930</v>
      </c>
      <c r="O175" s="703">
        <f>O178+O182</f>
        <v>3930</v>
      </c>
      <c r="P175" s="1296">
        <f>P178+P182</f>
        <v>3930</v>
      </c>
    </row>
    <row r="176" spans="2:24" ht="52.5" hidden="1" thickBot="1" x14ac:dyDescent="0.3">
      <c r="B176" s="157" t="s">
        <v>310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653"/>
      <c r="K176" s="653"/>
      <c r="L176" s="653"/>
      <c r="M176" s="653"/>
      <c r="N176" s="653"/>
      <c r="O176" s="653"/>
      <c r="P176" s="1286"/>
    </row>
    <row r="177" spans="1:257" s="2" customFormat="1" ht="52.5" hidden="1" thickBot="1" x14ac:dyDescent="0.3">
      <c r="A177" s="1"/>
      <c r="B177" s="76" t="s">
        <v>308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653"/>
      <c r="K177" s="653"/>
      <c r="L177" s="653"/>
      <c r="M177" s="653"/>
      <c r="N177" s="653"/>
      <c r="O177" s="653"/>
      <c r="P177" s="1286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 s="2" customFormat="1" ht="65.5" hidden="1" thickBot="1" x14ac:dyDescent="0.3">
      <c r="A178" s="1"/>
      <c r="B178" s="157" t="s">
        <v>328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644">
        <f>J179</f>
        <v>3600</v>
      </c>
      <c r="K178" s="644"/>
      <c r="L178" s="644">
        <f t="shared" ref="L178:P179" si="16">L179</f>
        <v>3600</v>
      </c>
      <c r="M178" s="644">
        <f t="shared" si="16"/>
        <v>850</v>
      </c>
      <c r="N178" s="644">
        <f t="shared" si="16"/>
        <v>3600</v>
      </c>
      <c r="O178" s="644">
        <f t="shared" si="16"/>
        <v>3600</v>
      </c>
      <c r="P178" s="1283">
        <f t="shared" si="16"/>
        <v>3600</v>
      </c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 s="2" customFormat="1" ht="80.5" hidden="1" customHeight="1" x14ac:dyDescent="0.25">
      <c r="A179" s="1"/>
      <c r="B179" s="49" t="s">
        <v>327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653">
        <f>J180</f>
        <v>3600</v>
      </c>
      <c r="K179" s="653"/>
      <c r="L179" s="653">
        <f t="shared" si="16"/>
        <v>3600</v>
      </c>
      <c r="M179" s="653">
        <f t="shared" si="16"/>
        <v>850</v>
      </c>
      <c r="N179" s="653">
        <f t="shared" si="16"/>
        <v>3600</v>
      </c>
      <c r="O179" s="653">
        <f t="shared" si="16"/>
        <v>3600</v>
      </c>
      <c r="P179" s="1286">
        <f t="shared" si="16"/>
        <v>3600</v>
      </c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 s="2" customFormat="1" ht="13.5" hidden="1" thickBot="1" x14ac:dyDescent="0.35">
      <c r="A180" s="1"/>
      <c r="B180" s="1287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653">
        <v>3600</v>
      </c>
      <c r="K180" s="653"/>
      <c r="L180" s="653">
        <v>3600</v>
      </c>
      <c r="M180" s="653">
        <v>850</v>
      </c>
      <c r="N180" s="653">
        <v>3600</v>
      </c>
      <c r="O180" s="653">
        <v>3600</v>
      </c>
      <c r="P180" s="1286">
        <v>3600</v>
      </c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 s="2" customFormat="1" ht="52.5" hidden="1" thickBot="1" x14ac:dyDescent="0.3">
      <c r="A181" s="1"/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656"/>
      <c r="K181" s="656"/>
      <c r="L181" s="656"/>
      <c r="M181" s="656"/>
      <c r="N181" s="656"/>
      <c r="O181" s="656"/>
      <c r="P181" s="1286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 s="2" customFormat="1" ht="52.5" hidden="1" thickBot="1" x14ac:dyDescent="0.3">
      <c r="A182" s="1"/>
      <c r="B182" s="191" t="s">
        <v>326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655">
        <f>J183</f>
        <v>330</v>
      </c>
      <c r="K182" s="655"/>
      <c r="L182" s="655">
        <f>L183</f>
        <v>330</v>
      </c>
      <c r="M182" s="655">
        <f>M183</f>
        <v>335</v>
      </c>
      <c r="N182" s="655">
        <f>N183</f>
        <v>330</v>
      </c>
      <c r="O182" s="655">
        <f>O183</f>
        <v>330</v>
      </c>
      <c r="P182" s="680">
        <f>P183</f>
        <v>330</v>
      </c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 s="2" customFormat="1" ht="92.25" hidden="1" customHeight="1" x14ac:dyDescent="0.25">
      <c r="A183" s="1"/>
      <c r="B183" s="76" t="s">
        <v>324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656">
        <f>J184</f>
        <v>330</v>
      </c>
      <c r="K183" s="656"/>
      <c r="L183" s="656">
        <f>L184</f>
        <v>330</v>
      </c>
      <c r="M183" s="656">
        <v>335</v>
      </c>
      <c r="N183" s="656">
        <f>N184</f>
        <v>330</v>
      </c>
      <c r="O183" s="656">
        <f>O184</f>
        <v>330</v>
      </c>
      <c r="P183" s="1286">
        <f>P184</f>
        <v>330</v>
      </c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 s="2" customFormat="1" ht="13.9" hidden="1" customHeight="1" x14ac:dyDescent="0.3">
      <c r="A184" s="1"/>
      <c r="B184" s="1287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656">
        <v>330</v>
      </c>
      <c r="K184" s="656"/>
      <c r="L184" s="656">
        <v>330</v>
      </c>
      <c r="M184" s="656">
        <v>330</v>
      </c>
      <c r="N184" s="656">
        <v>330</v>
      </c>
      <c r="O184" s="656">
        <v>330</v>
      </c>
      <c r="P184" s="1286">
        <v>330</v>
      </c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 s="2" customFormat="1" ht="13" hidden="1" thickBot="1" x14ac:dyDescent="0.3">
      <c r="A185" s="1"/>
      <c r="B185" s="6"/>
      <c r="C185" s="5"/>
      <c r="D185" s="4"/>
      <c r="E185" s="4"/>
      <c r="F185" s="4"/>
      <c r="G185" s="4"/>
      <c r="H185" s="4"/>
      <c r="I185" s="4"/>
      <c r="J185" s="263"/>
      <c r="K185" s="263"/>
      <c r="L185" s="263"/>
      <c r="M185" s="263"/>
      <c r="N185" s="263"/>
      <c r="O185" s="263"/>
      <c r="P185" s="1297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 s="2" customFormat="1" ht="13" hidden="1" thickBot="1" x14ac:dyDescent="0.3">
      <c r="A186" s="1"/>
      <c r="B186" s="6"/>
      <c r="C186" s="5"/>
      <c r="D186" s="4"/>
      <c r="E186" s="4"/>
      <c r="F186" s="4"/>
      <c r="G186" s="4"/>
      <c r="H186" s="4"/>
      <c r="I186" s="4"/>
      <c r="J186" s="263"/>
      <c r="K186" s="263"/>
      <c r="L186" s="263"/>
      <c r="M186" s="263"/>
      <c r="N186" s="263"/>
      <c r="O186" s="263"/>
      <c r="P186" s="1297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 s="2" customFormat="1" ht="13" hidden="1" thickBot="1" x14ac:dyDescent="0.3">
      <c r="A187" s="1"/>
      <c r="B187" s="6"/>
      <c r="C187" s="5"/>
      <c r="D187" s="4"/>
      <c r="E187" s="4"/>
      <c r="F187" s="4"/>
      <c r="G187" s="4"/>
      <c r="H187" s="4"/>
      <c r="I187" s="4"/>
      <c r="J187" s="263"/>
      <c r="K187" s="263"/>
      <c r="L187" s="263"/>
      <c r="M187" s="263"/>
      <c r="N187" s="263"/>
      <c r="O187" s="263"/>
      <c r="P187" s="1297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 s="2" customFormat="1" ht="45" x14ac:dyDescent="0.25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1298" t="s">
        <v>319</v>
      </c>
      <c r="K188" s="1299"/>
      <c r="L188" s="1300" t="s">
        <v>318</v>
      </c>
      <c r="M188" s="1300" t="s">
        <v>317</v>
      </c>
      <c r="N188" s="1298" t="s">
        <v>316</v>
      </c>
      <c r="O188" s="1298" t="s">
        <v>844</v>
      </c>
      <c r="P188" s="1301" t="s">
        <v>899</v>
      </c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 s="2" customFormat="1" ht="15" x14ac:dyDescent="0.25">
      <c r="A189" s="32"/>
      <c r="B189" s="1302" t="s">
        <v>314</v>
      </c>
      <c r="C189" s="179"/>
      <c r="D189" s="178"/>
      <c r="E189" s="178"/>
      <c r="F189" s="94"/>
      <c r="G189" s="94"/>
      <c r="H189" s="94"/>
      <c r="I189" s="94"/>
      <c r="J189" s="1303">
        <f>J190+J328</f>
        <v>72325.900000000009</v>
      </c>
      <c r="K189" s="1304"/>
      <c r="L189" s="1305">
        <f>L190+L328</f>
        <v>70391</v>
      </c>
      <c r="M189" s="1305">
        <f>M190+M328</f>
        <v>70022.100000000006</v>
      </c>
      <c r="N189" s="1303">
        <f>N190+N328</f>
        <v>101533.09999999999</v>
      </c>
      <c r="O189" s="1303">
        <f>O190+O328</f>
        <v>94576.186999999991</v>
      </c>
      <c r="P189" s="1306">
        <f>P190+P328</f>
        <v>94721.56</v>
      </c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 s="2" customFormat="1" ht="15" x14ac:dyDescent="0.25">
      <c r="A190" s="32"/>
      <c r="B190" s="1307" t="s">
        <v>313</v>
      </c>
      <c r="C190" s="179"/>
      <c r="D190" s="178"/>
      <c r="E190" s="178"/>
      <c r="F190" s="94"/>
      <c r="G190" s="94"/>
      <c r="H190" s="94"/>
      <c r="I190" s="94"/>
      <c r="J190" s="1305">
        <f>J191+J204+J215+J240+J260+J284+J290+J307</f>
        <v>25287.312000000002</v>
      </c>
      <c r="K190" s="1304"/>
      <c r="L190" s="1305">
        <f>L191+L204+L215+L240+L260+L284+L290+L307</f>
        <v>42242.735000000001</v>
      </c>
      <c r="M190" s="1305">
        <f>M191+M204+M215+M240+M260+M284+M290+M307</f>
        <v>40917.551999999996</v>
      </c>
      <c r="N190" s="1305">
        <f>N307+N299+N290+N284+N260+N240+N215+N204+N191</f>
        <v>69692.387999999992</v>
      </c>
      <c r="O190" s="1305">
        <f>O203+O214+O222+O228+O230+O232+O239+O249+O253+O259+O280+O283+O289+O294+O298+O303+O322+O327</f>
        <v>61113.61</v>
      </c>
      <c r="P190" s="1486">
        <f>P203+P214+P222+P228+P230+P232+P239+P249+P253+P259+P280+P283+P289+P294+P298+P303+P322+P327</f>
        <v>61087.811000000002</v>
      </c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 s="2" customFormat="1" ht="39" customHeight="1" x14ac:dyDescent="0.25">
      <c r="A191" s="91">
        <v>1</v>
      </c>
      <c r="B191" s="126" t="s">
        <v>906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1308">
        <f>J194+J199</f>
        <v>330</v>
      </c>
      <c r="K191" s="703"/>
      <c r="L191" s="703">
        <f>L194+L199</f>
        <v>3930</v>
      </c>
      <c r="M191" s="703">
        <f>M194+M199</f>
        <v>1185</v>
      </c>
      <c r="N191" s="1308">
        <f>N194+N199</f>
        <v>400</v>
      </c>
      <c r="O191" s="1308">
        <f>O194+O199</f>
        <v>650</v>
      </c>
      <c r="P191" s="1309">
        <f>P194+P199</f>
        <v>700</v>
      </c>
      <c r="Q191" s="1086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 s="2" customFormat="1" ht="52" hidden="1" x14ac:dyDescent="0.25">
      <c r="A192" s="32"/>
      <c r="B192" s="157" t="s">
        <v>310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653"/>
      <c r="K192" s="653"/>
      <c r="L192" s="653"/>
      <c r="M192" s="653"/>
      <c r="N192" s="653"/>
      <c r="O192" s="653"/>
      <c r="P192" s="1310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4" ht="52" hidden="1" x14ac:dyDescent="0.25">
      <c r="A193" s="32"/>
      <c r="B193" s="49" t="s">
        <v>308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653"/>
      <c r="K193" s="653"/>
      <c r="L193" s="653"/>
      <c r="M193" s="653"/>
      <c r="N193" s="653"/>
      <c r="O193" s="653"/>
      <c r="P193" s="1310"/>
    </row>
    <row r="194" spans="1:24" ht="52" hidden="1" x14ac:dyDescent="0.3">
      <c r="A194" s="32"/>
      <c r="B194" s="157" t="s">
        <v>306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644">
        <f>J195</f>
        <v>0</v>
      </c>
      <c r="K194" s="644"/>
      <c r="L194" s="644">
        <f t="shared" ref="L194:P195" si="17">L195</f>
        <v>3600</v>
      </c>
      <c r="M194" s="644">
        <f t="shared" si="17"/>
        <v>850</v>
      </c>
      <c r="N194" s="644">
        <f t="shared" si="17"/>
        <v>0</v>
      </c>
      <c r="O194" s="644">
        <f t="shared" si="17"/>
        <v>0</v>
      </c>
      <c r="P194" s="1311">
        <f t="shared" si="17"/>
        <v>0</v>
      </c>
      <c r="Q194" s="1089"/>
      <c r="R194" s="1089"/>
      <c r="S194" s="1089"/>
      <c r="T194" s="1089"/>
    </row>
    <row r="195" spans="1:24" ht="52" hidden="1" x14ac:dyDescent="0.3">
      <c r="A195" s="32"/>
      <c r="B195" s="49" t="s">
        <v>304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653">
        <f>J196</f>
        <v>0</v>
      </c>
      <c r="K195" s="653"/>
      <c r="L195" s="653">
        <f t="shared" si="17"/>
        <v>3600</v>
      </c>
      <c r="M195" s="653">
        <f t="shared" si="17"/>
        <v>850</v>
      </c>
      <c r="N195" s="653">
        <f t="shared" si="17"/>
        <v>0</v>
      </c>
      <c r="O195" s="653">
        <f t="shared" si="17"/>
        <v>0</v>
      </c>
      <c r="P195" s="1310">
        <f t="shared" si="17"/>
        <v>0</v>
      </c>
      <c r="Q195" s="1089"/>
      <c r="R195" s="1089"/>
      <c r="S195" s="1089"/>
      <c r="T195" s="1089"/>
    </row>
    <row r="196" spans="1:24" ht="26" hidden="1" x14ac:dyDescent="0.3">
      <c r="A196" s="32"/>
      <c r="B196" s="1312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653">
        <f>J198</f>
        <v>0</v>
      </c>
      <c r="K196" s="653"/>
      <c r="L196" s="653">
        <v>3600</v>
      </c>
      <c r="M196" s="653">
        <v>850</v>
      </c>
      <c r="N196" s="653">
        <f>N198</f>
        <v>0</v>
      </c>
      <c r="O196" s="653">
        <f>O198</f>
        <v>0</v>
      </c>
      <c r="P196" s="1310">
        <f>P198</f>
        <v>0</v>
      </c>
      <c r="Q196" s="1089"/>
      <c r="R196" s="1089"/>
      <c r="S196" s="1089"/>
      <c r="T196" s="1089"/>
    </row>
    <row r="197" spans="1:24" ht="52" hidden="1" x14ac:dyDescent="0.3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656"/>
      <c r="K197" s="656"/>
      <c r="L197" s="656"/>
      <c r="M197" s="656"/>
      <c r="N197" s="656"/>
      <c r="O197" s="656"/>
      <c r="P197" s="1310"/>
      <c r="Q197" s="1089"/>
      <c r="R197" s="1089"/>
      <c r="S197" s="1089"/>
      <c r="T197" s="1089"/>
    </row>
    <row r="198" spans="1:24" ht="15" hidden="1" x14ac:dyDescent="0.3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/>
      <c r="I198" s="9" t="s">
        <v>62</v>
      </c>
      <c r="J198" s="653"/>
      <c r="K198" s="653"/>
      <c r="L198" s="653">
        <v>3600</v>
      </c>
      <c r="M198" s="653">
        <v>850</v>
      </c>
      <c r="N198" s="653"/>
      <c r="O198" s="653"/>
      <c r="P198" s="1310"/>
      <c r="Q198" s="1089"/>
      <c r="R198" s="1089"/>
      <c r="S198" s="1089"/>
      <c r="T198" s="1089"/>
    </row>
    <row r="199" spans="1:24" ht="39" x14ac:dyDescent="0.3">
      <c r="A199" s="32"/>
      <c r="B199" s="157" t="s">
        <v>300</v>
      </c>
      <c r="C199" s="9"/>
      <c r="D199" s="9" t="s">
        <v>295</v>
      </c>
      <c r="E199" s="9" t="s">
        <v>62</v>
      </c>
      <c r="F199" s="34" t="s">
        <v>299</v>
      </c>
      <c r="G199" s="9"/>
      <c r="H199" s="9"/>
      <c r="I199" s="9"/>
      <c r="J199" s="655">
        <f>J200</f>
        <v>330</v>
      </c>
      <c r="K199" s="655"/>
      <c r="L199" s="655">
        <f>L200</f>
        <v>330</v>
      </c>
      <c r="M199" s="655">
        <f>M200</f>
        <v>335</v>
      </c>
      <c r="N199" s="655">
        <f>N200</f>
        <v>400</v>
      </c>
      <c r="O199" s="655">
        <f>O200</f>
        <v>650</v>
      </c>
      <c r="P199" s="1313">
        <f>P200</f>
        <v>700</v>
      </c>
      <c r="Q199" s="1089"/>
      <c r="R199" s="1089"/>
      <c r="S199" s="1089"/>
      <c r="T199" s="1089"/>
    </row>
    <row r="200" spans="1:24" ht="39" x14ac:dyDescent="0.25">
      <c r="A200" s="32"/>
      <c r="B200" s="1314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656">
        <f>J202</f>
        <v>330</v>
      </c>
      <c r="K200" s="656"/>
      <c r="L200" s="656">
        <f>L202</f>
        <v>330</v>
      </c>
      <c r="M200" s="656">
        <v>335</v>
      </c>
      <c r="N200" s="656">
        <f t="shared" ref="N200:P201" si="18">N202</f>
        <v>400</v>
      </c>
      <c r="O200" s="656">
        <f t="shared" si="18"/>
        <v>650</v>
      </c>
      <c r="P200" s="1310">
        <f t="shared" si="18"/>
        <v>700</v>
      </c>
    </row>
    <row r="201" spans="1:24" ht="26" x14ac:dyDescent="0.25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656">
        <f>J203</f>
        <v>330</v>
      </c>
      <c r="K201" s="656"/>
      <c r="L201" s="656"/>
      <c r="M201" s="656"/>
      <c r="N201" s="656">
        <f t="shared" si="18"/>
        <v>400</v>
      </c>
      <c r="O201" s="656">
        <f t="shared" si="18"/>
        <v>650</v>
      </c>
      <c r="P201" s="1310">
        <f t="shared" si="18"/>
        <v>700</v>
      </c>
    </row>
    <row r="202" spans="1:24" ht="25.15" customHeight="1" x14ac:dyDescent="0.25">
      <c r="A202" s="32"/>
      <c r="B202" s="1315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656">
        <f>J203</f>
        <v>330</v>
      </c>
      <c r="K202" s="656"/>
      <c r="L202" s="656">
        <v>330</v>
      </c>
      <c r="M202" s="656">
        <v>330</v>
      </c>
      <c r="N202" s="656">
        <f>N203</f>
        <v>400</v>
      </c>
      <c r="O202" s="656">
        <f>O203</f>
        <v>650</v>
      </c>
      <c r="P202" s="1310">
        <f>P203</f>
        <v>700</v>
      </c>
    </row>
    <row r="203" spans="1:24" ht="13.9" customHeight="1" x14ac:dyDescent="0.25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656">
        <v>330</v>
      </c>
      <c r="K203" s="656"/>
      <c r="L203" s="656">
        <v>330</v>
      </c>
      <c r="M203" s="656">
        <v>330</v>
      </c>
      <c r="N203" s="656">
        <v>400</v>
      </c>
      <c r="O203" s="656">
        <v>650</v>
      </c>
      <c r="P203" s="1310">
        <v>700</v>
      </c>
    </row>
    <row r="204" spans="1:24" s="83" customFormat="1" ht="51.75" customHeight="1" x14ac:dyDescent="0.3">
      <c r="A204" s="91">
        <v>2</v>
      </c>
      <c r="B204" s="52" t="s">
        <v>907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>L206</f>
        <v>305</v>
      </c>
      <c r="M204" s="51">
        <f>M206</f>
        <v>310</v>
      </c>
      <c r="N204" s="51">
        <f>N206</f>
        <v>310</v>
      </c>
      <c r="O204" s="51">
        <f>O206</f>
        <v>330</v>
      </c>
      <c r="P204" s="50">
        <f>P206</f>
        <v>350</v>
      </c>
      <c r="Q204" s="84"/>
      <c r="R204" s="84"/>
      <c r="S204" s="84"/>
      <c r="T204" s="84"/>
      <c r="U204" s="84"/>
      <c r="V204" s="84"/>
      <c r="W204" s="84"/>
      <c r="X204" s="84"/>
    </row>
    <row r="205" spans="1:24" s="83" customFormat="1" ht="78" hidden="1" customHeight="1" x14ac:dyDescent="0.3">
      <c r="A205" s="85"/>
      <c r="B205" s="170" t="s">
        <v>291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655"/>
      <c r="K205" s="655"/>
      <c r="L205" s="655"/>
      <c r="M205" s="655"/>
      <c r="N205" s="655"/>
      <c r="O205" s="655"/>
      <c r="P205" s="1313"/>
      <c r="Q205" s="84"/>
      <c r="R205" s="84"/>
      <c r="S205" s="84"/>
      <c r="T205" s="84"/>
      <c r="U205" s="84"/>
      <c r="V205" s="84"/>
      <c r="W205" s="84"/>
      <c r="X205" s="84"/>
    </row>
    <row r="206" spans="1:24" s="83" customFormat="1" ht="39" x14ac:dyDescent="0.3">
      <c r="A206" s="85"/>
      <c r="B206" s="347" t="s">
        <v>289</v>
      </c>
      <c r="C206" s="9"/>
      <c r="D206" s="33" t="s">
        <v>52</v>
      </c>
      <c r="E206" s="33" t="s">
        <v>49</v>
      </c>
      <c r="F206" s="9" t="s">
        <v>288</v>
      </c>
      <c r="G206" s="9"/>
      <c r="H206" s="9"/>
      <c r="I206" s="33"/>
      <c r="J206" s="656">
        <f>J208</f>
        <v>305</v>
      </c>
      <c r="K206" s="655"/>
      <c r="L206" s="655">
        <f>L208</f>
        <v>305</v>
      </c>
      <c r="M206" s="655">
        <f>M208</f>
        <v>310</v>
      </c>
      <c r="N206" s="656">
        <f>N208</f>
        <v>310</v>
      </c>
      <c r="O206" s="656">
        <f>O208</f>
        <v>330</v>
      </c>
      <c r="P206" s="1310">
        <f>P208</f>
        <v>350</v>
      </c>
      <c r="Q206" s="84"/>
      <c r="R206" s="84"/>
      <c r="S206" s="84"/>
      <c r="T206" s="84"/>
      <c r="U206" s="84"/>
      <c r="V206" s="84"/>
      <c r="W206" s="84"/>
      <c r="X206" s="84"/>
    </row>
    <row r="207" spans="1:24" s="83" customFormat="1" ht="26" x14ac:dyDescent="0.3">
      <c r="A207" s="85"/>
      <c r="B207" s="1316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656">
        <f>J208</f>
        <v>305</v>
      </c>
      <c r="K207" s="655"/>
      <c r="L207" s="655"/>
      <c r="M207" s="655"/>
      <c r="N207" s="656">
        <f>N208</f>
        <v>310</v>
      </c>
      <c r="O207" s="656">
        <f>O208</f>
        <v>330</v>
      </c>
      <c r="P207" s="1310">
        <f>P208</f>
        <v>350</v>
      </c>
      <c r="Q207" s="84"/>
      <c r="R207" s="84"/>
      <c r="S207" s="84"/>
      <c r="T207" s="84"/>
      <c r="U207" s="84"/>
      <c r="V207" s="84"/>
      <c r="W207" s="84"/>
      <c r="X207" s="84"/>
    </row>
    <row r="208" spans="1:24" s="83" customFormat="1" ht="25.15" customHeight="1" x14ac:dyDescent="0.3">
      <c r="A208" s="85"/>
      <c r="B208" s="1312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656">
        <f>J214</f>
        <v>305</v>
      </c>
      <c r="K208" s="655"/>
      <c r="L208" s="656">
        <v>305</v>
      </c>
      <c r="M208" s="656">
        <v>310</v>
      </c>
      <c r="N208" s="656">
        <f>N214</f>
        <v>310</v>
      </c>
      <c r="O208" s="656">
        <f>O214</f>
        <v>330</v>
      </c>
      <c r="P208" s="1310">
        <f>P214</f>
        <v>350</v>
      </c>
      <c r="Q208" s="84"/>
      <c r="R208" s="84"/>
      <c r="S208" s="84"/>
      <c r="T208" s="84"/>
      <c r="U208" s="84"/>
      <c r="V208" s="84"/>
      <c r="W208" s="84"/>
      <c r="X208" s="84"/>
    </row>
    <row r="209" spans="1:257" s="2" customFormat="1" ht="53.5" hidden="1" customHeight="1" x14ac:dyDescent="0.25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M209" s="13"/>
      <c r="N209" s="131"/>
      <c r="O209" s="131"/>
      <c r="P209" s="50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 s="2" customFormat="1" ht="52" hidden="1" x14ac:dyDescent="0.3">
      <c r="A210" s="32"/>
      <c r="B210" s="168" t="s">
        <v>283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640"/>
      <c r="K210" s="640"/>
      <c r="L210" s="640"/>
      <c r="M210" s="640"/>
      <c r="N210" s="640"/>
      <c r="O210" s="640"/>
      <c r="P210" s="131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 s="2" customFormat="1" ht="81.650000000000006" hidden="1" customHeight="1" x14ac:dyDescent="0.3">
      <c r="A211" s="32"/>
      <c r="B211" s="167" t="s">
        <v>281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640"/>
      <c r="K211" s="640"/>
      <c r="L211" s="640"/>
      <c r="M211" s="640"/>
      <c r="N211" s="640"/>
      <c r="O211" s="640"/>
      <c r="P211" s="131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 s="2" customFormat="1" ht="81" hidden="1" customHeight="1" x14ac:dyDescent="0.3">
      <c r="A212" s="32"/>
      <c r="B212" s="168" t="s">
        <v>279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655"/>
      <c r="K212" s="655"/>
      <c r="L212" s="655"/>
      <c r="M212" s="655"/>
      <c r="N212" s="655"/>
      <c r="O212" s="655"/>
      <c r="P212" s="1313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 s="2" customFormat="1" ht="52" hidden="1" x14ac:dyDescent="0.3">
      <c r="A213" s="32"/>
      <c r="B213" s="167" t="s">
        <v>277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655"/>
      <c r="K213" s="655"/>
      <c r="L213" s="655"/>
      <c r="M213" s="655"/>
      <c r="N213" s="655"/>
      <c r="O213" s="655"/>
      <c r="P213" s="1313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 s="2" customFormat="1" ht="13" x14ac:dyDescent="0.3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656">
        <v>305</v>
      </c>
      <c r="K214" s="655"/>
      <c r="L214" s="656">
        <v>305</v>
      </c>
      <c r="M214" s="656">
        <v>310</v>
      </c>
      <c r="N214" s="656">
        <v>310</v>
      </c>
      <c r="O214" s="656">
        <v>330</v>
      </c>
      <c r="P214" s="1310">
        <v>350</v>
      </c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 s="2" customFormat="1" ht="40.5" customHeight="1" x14ac:dyDescent="0.25">
      <c r="A215" s="91">
        <v>3</v>
      </c>
      <c r="B215" s="52" t="s">
        <v>908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J216+J224+J234</f>
        <v>7755.5</v>
      </c>
      <c r="K215" s="51"/>
      <c r="L215" s="51">
        <f>L216+L224+L234</f>
        <v>7755.5</v>
      </c>
      <c r="M215" s="51">
        <f>M216+M224+M234</f>
        <v>8382.5</v>
      </c>
      <c r="N215" s="51">
        <f>N216+N224+N234</f>
        <v>8482.5</v>
      </c>
      <c r="O215" s="51">
        <f>O216+O224+O234</f>
        <v>12887.14</v>
      </c>
      <c r="P215" s="50">
        <f>P216+P224+P234</f>
        <v>13480.37</v>
      </c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 s="2" customFormat="1" ht="26" x14ac:dyDescent="0.25">
      <c r="A216" s="32"/>
      <c r="B216" s="157" t="s">
        <v>909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647">
        <f>J220</f>
        <v>272</v>
      </c>
      <c r="K216" s="647"/>
      <c r="L216" s="647">
        <f>L220</f>
        <v>172</v>
      </c>
      <c r="M216" s="647">
        <f>M220</f>
        <v>184</v>
      </c>
      <c r="N216" s="647">
        <f>N219</f>
        <v>284</v>
      </c>
      <c r="O216" s="647">
        <f>O219</f>
        <v>362</v>
      </c>
      <c r="P216" s="1317">
        <f>P219</f>
        <v>377</v>
      </c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 s="2" customFormat="1" ht="75" hidden="1" customHeight="1" x14ac:dyDescent="0.25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647"/>
      <c r="K217" s="647"/>
      <c r="L217" s="647"/>
      <c r="M217" s="647"/>
      <c r="N217" s="647"/>
      <c r="O217" s="647"/>
      <c r="P217" s="1317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 s="2" customFormat="1" ht="25.15" hidden="1" customHeight="1" x14ac:dyDescent="0.25">
      <c r="A218" s="32"/>
      <c r="B218" s="1312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647"/>
      <c r="K218" s="647"/>
      <c r="L218" s="647"/>
      <c r="M218" s="647"/>
      <c r="N218" s="647"/>
      <c r="O218" s="647"/>
      <c r="P218" s="1317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 s="2" customFormat="1" ht="25.15" customHeight="1" x14ac:dyDescent="0.25">
      <c r="A219" s="32"/>
      <c r="B219" s="347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647">
        <f>J220</f>
        <v>272</v>
      </c>
      <c r="K219" s="647"/>
      <c r="L219" s="647"/>
      <c r="M219" s="647"/>
      <c r="N219" s="647">
        <f t="shared" ref="N219:P221" si="19">N220</f>
        <v>284</v>
      </c>
      <c r="O219" s="647">
        <f t="shared" si="19"/>
        <v>362</v>
      </c>
      <c r="P219" s="1317">
        <f t="shared" si="19"/>
        <v>377</v>
      </c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 s="2" customFormat="1" ht="26" x14ac:dyDescent="0.25">
      <c r="A220" s="32"/>
      <c r="B220" s="49" t="s">
        <v>266</v>
      </c>
      <c r="C220" s="34"/>
      <c r="D220" s="34" t="s">
        <v>265</v>
      </c>
      <c r="E220" s="34" t="s">
        <v>262</v>
      </c>
      <c r="F220" s="9" t="s">
        <v>263</v>
      </c>
      <c r="G220" s="9"/>
      <c r="H220" s="9"/>
      <c r="I220" s="34"/>
      <c r="J220" s="647">
        <f>J221</f>
        <v>272</v>
      </c>
      <c r="K220" s="647"/>
      <c r="L220" s="647">
        <f>L221</f>
        <v>172</v>
      </c>
      <c r="M220" s="647">
        <f>M221</f>
        <v>184</v>
      </c>
      <c r="N220" s="647">
        <f t="shared" si="19"/>
        <v>284</v>
      </c>
      <c r="O220" s="647">
        <f t="shared" si="19"/>
        <v>362</v>
      </c>
      <c r="P220" s="1317">
        <f t="shared" si="19"/>
        <v>377</v>
      </c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 s="2" customFormat="1" ht="25.15" customHeight="1" x14ac:dyDescent="0.25">
      <c r="A221" s="32"/>
      <c r="B221" s="1312" t="s">
        <v>4</v>
      </c>
      <c r="C221" s="34"/>
      <c r="D221" s="34" t="s">
        <v>265</v>
      </c>
      <c r="E221" s="34" t="s">
        <v>262</v>
      </c>
      <c r="F221" s="9" t="s">
        <v>263</v>
      </c>
      <c r="G221" s="9" t="s">
        <v>1</v>
      </c>
      <c r="H221" s="9"/>
      <c r="I221" s="9"/>
      <c r="J221" s="647">
        <f>J222</f>
        <v>272</v>
      </c>
      <c r="K221" s="647"/>
      <c r="L221" s="647">
        <v>172</v>
      </c>
      <c r="M221" s="647">
        <v>184</v>
      </c>
      <c r="N221" s="647">
        <f t="shared" si="19"/>
        <v>284</v>
      </c>
      <c r="O221" s="647">
        <f t="shared" si="19"/>
        <v>362</v>
      </c>
      <c r="P221" s="1317">
        <f t="shared" si="19"/>
        <v>377</v>
      </c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 s="2" customFormat="1" ht="16.899999999999999" customHeight="1" x14ac:dyDescent="0.3">
      <c r="A222" s="32"/>
      <c r="B222" s="1318" t="s">
        <v>964</v>
      </c>
      <c r="C222" s="34"/>
      <c r="D222" s="34"/>
      <c r="E222" s="34"/>
      <c r="F222" s="9" t="s">
        <v>263</v>
      </c>
      <c r="G222" s="9" t="s">
        <v>1</v>
      </c>
      <c r="H222" s="9" t="s">
        <v>506</v>
      </c>
      <c r="I222" s="9" t="s">
        <v>506</v>
      </c>
      <c r="J222" s="647">
        <v>272</v>
      </c>
      <c r="K222" s="647"/>
      <c r="L222" s="647">
        <v>172</v>
      </c>
      <c r="M222" s="647">
        <v>184</v>
      </c>
      <c r="N222" s="647">
        <v>284</v>
      </c>
      <c r="O222" s="647">
        <v>362</v>
      </c>
      <c r="P222" s="1317">
        <v>377</v>
      </c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 s="2" customFormat="1" ht="55.5" hidden="1" customHeight="1" x14ac:dyDescent="0.25">
      <c r="A223" s="91">
        <v>4</v>
      </c>
      <c r="B223" s="52" t="s">
        <v>253</v>
      </c>
      <c r="C223" s="34"/>
      <c r="D223" s="34" t="s">
        <v>246</v>
      </c>
      <c r="E223" s="34" t="s">
        <v>85</v>
      </c>
      <c r="F223" s="34" t="s">
        <v>252</v>
      </c>
      <c r="G223" s="131"/>
      <c r="H223" s="131"/>
      <c r="I223" s="34"/>
      <c r="J223" s="51">
        <f>J224</f>
        <v>6205</v>
      </c>
      <c r="K223" s="51"/>
      <c r="L223" s="51">
        <f>L224</f>
        <v>6305</v>
      </c>
      <c r="M223" s="51">
        <f>M224</f>
        <v>6960</v>
      </c>
      <c r="N223" s="51">
        <f>N224</f>
        <v>6960</v>
      </c>
      <c r="O223" s="51">
        <f>O224</f>
        <v>9507.74</v>
      </c>
      <c r="P223" s="50">
        <f>P224</f>
        <v>9765.3700000000008</v>
      </c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 s="2" customFormat="1" ht="39" x14ac:dyDescent="0.25">
      <c r="A224" s="32"/>
      <c r="B224" s="157" t="s">
        <v>911</v>
      </c>
      <c r="C224" s="9"/>
      <c r="D224" s="9" t="s">
        <v>246</v>
      </c>
      <c r="E224" s="9" t="s">
        <v>85</v>
      </c>
      <c r="F224" s="9" t="s">
        <v>260</v>
      </c>
      <c r="G224" s="9"/>
      <c r="H224" s="9"/>
      <c r="I224" s="9"/>
      <c r="J224" s="646">
        <f>J226</f>
        <v>6205</v>
      </c>
      <c r="K224" s="646"/>
      <c r="L224" s="646">
        <f>L226</f>
        <v>6305</v>
      </c>
      <c r="M224" s="646">
        <f>M226</f>
        <v>6960</v>
      </c>
      <c r="N224" s="646">
        <f>N226</f>
        <v>6960</v>
      </c>
      <c r="O224" s="646">
        <f>O226</f>
        <v>9507.74</v>
      </c>
      <c r="P224" s="1317">
        <f>P226</f>
        <v>9765.3700000000008</v>
      </c>
      <c r="Q224" s="912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4" ht="13" x14ac:dyDescent="0.25">
      <c r="A225" s="32"/>
      <c r="B225" s="347" t="s">
        <v>259</v>
      </c>
      <c r="C225" s="9"/>
      <c r="D225" s="9"/>
      <c r="E225" s="9"/>
      <c r="F225" s="9" t="s">
        <v>258</v>
      </c>
      <c r="G225" s="9"/>
      <c r="H225" s="9"/>
      <c r="I225" s="9"/>
      <c r="J225" s="646">
        <f>J226</f>
        <v>6205</v>
      </c>
      <c r="K225" s="646"/>
      <c r="L225" s="646"/>
      <c r="M225" s="646"/>
      <c r="N225" s="646">
        <f>N226</f>
        <v>6960</v>
      </c>
      <c r="O225" s="646">
        <f>O226</f>
        <v>9507.74</v>
      </c>
      <c r="P225" s="1317">
        <f>P226</f>
        <v>9765.3700000000008</v>
      </c>
    </row>
    <row r="226" spans="1:24" ht="26" x14ac:dyDescent="0.25">
      <c r="A226" s="32"/>
      <c r="B226" s="49" t="s">
        <v>257</v>
      </c>
      <c r="C226" s="9"/>
      <c r="D226" s="9" t="s">
        <v>246</v>
      </c>
      <c r="E226" s="9" t="s">
        <v>85</v>
      </c>
      <c r="F226" s="9" t="s">
        <v>254</v>
      </c>
      <c r="G226" s="9"/>
      <c r="H226" s="9"/>
      <c r="I226" s="9"/>
      <c r="J226" s="646">
        <f>J227+J229+J231</f>
        <v>6205</v>
      </c>
      <c r="K226" s="646"/>
      <c r="L226" s="646">
        <f>L227+L229+L231</f>
        <v>6305</v>
      </c>
      <c r="M226" s="646">
        <f>M227+M229+M231</f>
        <v>6960</v>
      </c>
      <c r="N226" s="646">
        <f>N227+N229+N231</f>
        <v>6960</v>
      </c>
      <c r="O226" s="646">
        <f>O227+O229+O231</f>
        <v>9507.74</v>
      </c>
      <c r="P226" s="1317">
        <f>P227+P229+P231</f>
        <v>9765.3700000000008</v>
      </c>
    </row>
    <row r="227" spans="1:24" ht="13" x14ac:dyDescent="0.3">
      <c r="A227" s="32"/>
      <c r="B227" s="1287" t="s">
        <v>256</v>
      </c>
      <c r="C227" s="9"/>
      <c r="D227" s="9" t="s">
        <v>246</v>
      </c>
      <c r="E227" s="9" t="s">
        <v>85</v>
      </c>
      <c r="F227" s="9" t="s">
        <v>254</v>
      </c>
      <c r="G227" s="9" t="s">
        <v>255</v>
      </c>
      <c r="H227" s="9"/>
      <c r="I227" s="9"/>
      <c r="J227" s="646">
        <f>J228</f>
        <v>4156.915</v>
      </c>
      <c r="K227" s="699"/>
      <c r="L227" s="646">
        <v>5305.1139999999996</v>
      </c>
      <c r="M227" s="646">
        <v>6631.482</v>
      </c>
      <c r="N227" s="646">
        <f>N228</f>
        <v>4510.8630000000003</v>
      </c>
      <c r="O227" s="646">
        <f>O228</f>
        <v>7375.74</v>
      </c>
      <c r="P227" s="1317">
        <f>P228</f>
        <v>7670.77</v>
      </c>
    </row>
    <row r="228" spans="1:24" ht="13" x14ac:dyDescent="0.3">
      <c r="A228" s="32"/>
      <c r="B228" s="1287" t="s">
        <v>87</v>
      </c>
      <c r="C228" s="9"/>
      <c r="D228" s="9"/>
      <c r="E228" s="9"/>
      <c r="F228" s="9" t="s">
        <v>254</v>
      </c>
      <c r="G228" s="9" t="s">
        <v>255</v>
      </c>
      <c r="H228" s="9" t="s">
        <v>453</v>
      </c>
      <c r="I228" s="9" t="s">
        <v>456</v>
      </c>
      <c r="J228" s="646">
        <v>4156.915</v>
      </c>
      <c r="K228" s="699"/>
      <c r="L228" s="646"/>
      <c r="M228" s="646"/>
      <c r="N228" s="646">
        <v>4510.8630000000003</v>
      </c>
      <c r="O228" s="646">
        <v>7375.74</v>
      </c>
      <c r="P228" s="1317">
        <v>7670.77</v>
      </c>
    </row>
    <row r="229" spans="1:24" ht="25.15" customHeight="1" x14ac:dyDescent="0.25">
      <c r="A229" s="32"/>
      <c r="B229" s="1312" t="s">
        <v>4</v>
      </c>
      <c r="C229" s="9"/>
      <c r="D229" s="9" t="s">
        <v>246</v>
      </c>
      <c r="E229" s="9" t="s">
        <v>85</v>
      </c>
      <c r="F229" s="9" t="s">
        <v>254</v>
      </c>
      <c r="G229" s="9" t="s">
        <v>1</v>
      </c>
      <c r="H229" s="9"/>
      <c r="I229" s="9"/>
      <c r="J229" s="646">
        <f>J230</f>
        <v>2047.085</v>
      </c>
      <c r="K229" s="646"/>
      <c r="L229" s="646">
        <f>999.886-0.886</f>
        <v>999</v>
      </c>
      <c r="M229" s="646">
        <v>328</v>
      </c>
      <c r="N229" s="646">
        <f>N230</f>
        <v>2448.424</v>
      </c>
      <c r="O229" s="646">
        <f>O230</f>
        <v>2122</v>
      </c>
      <c r="P229" s="1317">
        <f>P230</f>
        <v>2084.6</v>
      </c>
    </row>
    <row r="230" spans="1:24" ht="13" x14ac:dyDescent="0.3">
      <c r="A230" s="32"/>
      <c r="B230" s="1287" t="s">
        <v>87</v>
      </c>
      <c r="C230" s="9"/>
      <c r="D230" s="9"/>
      <c r="E230" s="9"/>
      <c r="F230" s="9" t="s">
        <v>254</v>
      </c>
      <c r="G230" s="9" t="s">
        <v>1</v>
      </c>
      <c r="H230" s="9" t="s">
        <v>453</v>
      </c>
      <c r="I230" s="9" t="s">
        <v>456</v>
      </c>
      <c r="J230" s="646">
        <v>2047.085</v>
      </c>
      <c r="K230" s="646"/>
      <c r="L230" s="646"/>
      <c r="M230" s="646"/>
      <c r="N230" s="646">
        <v>2448.424</v>
      </c>
      <c r="O230" s="646">
        <v>2122</v>
      </c>
      <c r="P230" s="1317">
        <v>2084.6</v>
      </c>
    </row>
    <row r="231" spans="1:24" ht="13" x14ac:dyDescent="0.3">
      <c r="A231" s="32"/>
      <c r="B231" s="1287" t="s">
        <v>94</v>
      </c>
      <c r="C231" s="9"/>
      <c r="D231" s="9" t="s">
        <v>246</v>
      </c>
      <c r="E231" s="9" t="s">
        <v>85</v>
      </c>
      <c r="F231" s="9" t="s">
        <v>254</v>
      </c>
      <c r="G231" s="9" t="s">
        <v>91</v>
      </c>
      <c r="H231" s="9"/>
      <c r="I231" s="9"/>
      <c r="J231" s="647">
        <f>J232</f>
        <v>1</v>
      </c>
      <c r="K231" s="647"/>
      <c r="L231" s="647">
        <v>0.88600000000000001</v>
      </c>
      <c r="M231" s="647">
        <v>0.51800000000000002</v>
      </c>
      <c r="N231" s="647">
        <f>N232</f>
        <v>0.71299999999999997</v>
      </c>
      <c r="O231" s="647">
        <f>O232</f>
        <v>10</v>
      </c>
      <c r="P231" s="1317">
        <f>P232</f>
        <v>10</v>
      </c>
    </row>
    <row r="232" spans="1:24" ht="13" x14ac:dyDescent="0.3">
      <c r="A232" s="32"/>
      <c r="B232" s="1287" t="s">
        <v>87</v>
      </c>
      <c r="C232" s="9"/>
      <c r="D232" s="9"/>
      <c r="E232" s="9"/>
      <c r="F232" s="9" t="s">
        <v>254</v>
      </c>
      <c r="G232" s="9" t="s">
        <v>91</v>
      </c>
      <c r="H232" s="9" t="s">
        <v>453</v>
      </c>
      <c r="I232" s="9" t="s">
        <v>456</v>
      </c>
      <c r="J232" s="647">
        <v>1</v>
      </c>
      <c r="K232" s="647"/>
      <c r="L232" s="647">
        <f>L227+L229+L231</f>
        <v>6305</v>
      </c>
      <c r="M232" s="647">
        <f>M227+M229+M231</f>
        <v>6960</v>
      </c>
      <c r="N232" s="647">
        <v>0.71299999999999997</v>
      </c>
      <c r="O232" s="647">
        <v>10</v>
      </c>
      <c r="P232" s="1317">
        <v>10</v>
      </c>
    </row>
    <row r="233" spans="1:24" ht="39.65" hidden="1" customHeight="1" x14ac:dyDescent="0.25">
      <c r="A233" s="91">
        <v>5</v>
      </c>
      <c r="B233" s="52" t="s">
        <v>253</v>
      </c>
      <c r="C233" s="34"/>
      <c r="D233" s="34" t="s">
        <v>246</v>
      </c>
      <c r="E233" s="34" t="s">
        <v>242</v>
      </c>
      <c r="F233" s="9" t="s">
        <v>252</v>
      </c>
      <c r="G233" s="131"/>
      <c r="H233" s="131"/>
      <c r="I233" s="34"/>
      <c r="J233" s="51">
        <f>J234</f>
        <v>1278.5</v>
      </c>
      <c r="K233" s="51"/>
      <c r="L233" s="51">
        <f>L234</f>
        <v>1278.5</v>
      </c>
      <c r="M233" s="51">
        <f>M234</f>
        <v>1238.5</v>
      </c>
      <c r="N233" s="51">
        <f>N234</f>
        <v>1238.5</v>
      </c>
      <c r="O233" s="51">
        <f>O234</f>
        <v>3017.4</v>
      </c>
      <c r="P233" s="50">
        <f>P234</f>
        <v>3338</v>
      </c>
    </row>
    <row r="234" spans="1:24" ht="26" x14ac:dyDescent="0.25">
      <c r="A234" s="32"/>
      <c r="B234" s="157" t="s">
        <v>836</v>
      </c>
      <c r="C234" s="9"/>
      <c r="D234" s="9" t="s">
        <v>246</v>
      </c>
      <c r="E234" s="9" t="s">
        <v>242</v>
      </c>
      <c r="F234" s="9" t="s">
        <v>251</v>
      </c>
      <c r="G234" s="9"/>
      <c r="H234" s="9"/>
      <c r="I234" s="9"/>
      <c r="J234" s="646">
        <f>J236</f>
        <v>1278.5</v>
      </c>
      <c r="K234" s="646"/>
      <c r="L234" s="646">
        <f>L236</f>
        <v>1278.5</v>
      </c>
      <c r="M234" s="646">
        <f>M236</f>
        <v>1238.5</v>
      </c>
      <c r="N234" s="646">
        <f>N236</f>
        <v>1238.5</v>
      </c>
      <c r="O234" s="646">
        <f>O236</f>
        <v>3017.4</v>
      </c>
      <c r="P234" s="1317">
        <f>P236</f>
        <v>3338</v>
      </c>
    </row>
    <row r="235" spans="1:24" ht="13" x14ac:dyDescent="0.25">
      <c r="A235" s="32"/>
      <c r="B235" s="347" t="s">
        <v>250</v>
      </c>
      <c r="C235" s="9"/>
      <c r="D235" s="9"/>
      <c r="E235" s="9"/>
      <c r="F235" s="9" t="s">
        <v>249</v>
      </c>
      <c r="G235" s="9"/>
      <c r="H235" s="9"/>
      <c r="I235" s="9"/>
      <c r="J235" s="646">
        <f>J236</f>
        <v>1278.5</v>
      </c>
      <c r="K235" s="646"/>
      <c r="L235" s="646"/>
      <c r="M235" s="646"/>
      <c r="N235" s="646">
        <f t="shared" ref="N235:P236" si="20">N236</f>
        <v>1238.5</v>
      </c>
      <c r="O235" s="646">
        <f t="shared" si="20"/>
        <v>3017.4</v>
      </c>
      <c r="P235" s="1317">
        <f t="shared" si="20"/>
        <v>3338</v>
      </c>
    </row>
    <row r="236" spans="1:24" ht="13" x14ac:dyDescent="0.25">
      <c r="A236" s="32"/>
      <c r="B236" s="49" t="s">
        <v>248</v>
      </c>
      <c r="C236" s="9"/>
      <c r="D236" s="9" t="s">
        <v>246</v>
      </c>
      <c r="E236" s="9" t="s">
        <v>242</v>
      </c>
      <c r="F236" s="9" t="s">
        <v>243</v>
      </c>
      <c r="G236" s="9"/>
      <c r="H236" s="9"/>
      <c r="I236" s="9"/>
      <c r="J236" s="646">
        <f>J237</f>
        <v>1278.5</v>
      </c>
      <c r="K236" s="646"/>
      <c r="L236" s="646">
        <f>L237</f>
        <v>1278.5</v>
      </c>
      <c r="M236" s="646">
        <f>M237</f>
        <v>1238.5</v>
      </c>
      <c r="N236" s="646">
        <f t="shared" si="20"/>
        <v>1238.5</v>
      </c>
      <c r="O236" s="646">
        <f t="shared" si="20"/>
        <v>3017.4</v>
      </c>
      <c r="P236" s="1317">
        <f t="shared" si="20"/>
        <v>3338</v>
      </c>
    </row>
    <row r="237" spans="1:24" ht="25.15" customHeight="1" x14ac:dyDescent="0.25">
      <c r="A237" s="32"/>
      <c r="B237" s="1312" t="s">
        <v>4</v>
      </c>
      <c r="C237" s="9"/>
      <c r="D237" s="9" t="s">
        <v>246</v>
      </c>
      <c r="E237" s="9" t="s">
        <v>242</v>
      </c>
      <c r="F237" s="9" t="s">
        <v>243</v>
      </c>
      <c r="G237" s="9" t="s">
        <v>1</v>
      </c>
      <c r="H237" s="9"/>
      <c r="I237" s="9"/>
      <c r="J237" s="646">
        <f>J239</f>
        <v>1278.5</v>
      </c>
      <c r="K237" s="646"/>
      <c r="L237" s="646">
        <v>1278.5</v>
      </c>
      <c r="M237" s="646">
        <v>1238.5</v>
      </c>
      <c r="N237" s="646">
        <f>N239</f>
        <v>1238.5</v>
      </c>
      <c r="O237" s="646">
        <f>O239</f>
        <v>3017.4</v>
      </c>
      <c r="P237" s="1317">
        <f>P239</f>
        <v>3338</v>
      </c>
    </row>
    <row r="238" spans="1:24" s="162" customFormat="1" ht="52" hidden="1" x14ac:dyDescent="0.3">
      <c r="A238" s="165"/>
      <c r="B238" s="164" t="s">
        <v>247</v>
      </c>
      <c r="C238" s="33"/>
      <c r="D238" s="33" t="s">
        <v>246</v>
      </c>
      <c r="E238" s="9" t="s">
        <v>242</v>
      </c>
      <c r="F238" s="33" t="s">
        <v>245</v>
      </c>
      <c r="G238" s="31"/>
      <c r="H238" s="31"/>
      <c r="I238" s="9" t="s">
        <v>242</v>
      </c>
      <c r="J238" s="647"/>
      <c r="K238" s="647"/>
      <c r="L238" s="647"/>
      <c r="M238" s="647"/>
      <c r="N238" s="647"/>
      <c r="O238" s="647"/>
      <c r="P238" s="1317"/>
      <c r="Q238" s="163"/>
      <c r="R238" s="163"/>
      <c r="S238" s="163"/>
      <c r="T238" s="163"/>
      <c r="U238" s="163"/>
      <c r="V238" s="163"/>
      <c r="W238" s="163"/>
      <c r="X238" s="163"/>
    </row>
    <row r="239" spans="1:24" s="162" customFormat="1" ht="15" x14ac:dyDescent="0.3">
      <c r="A239" s="165"/>
      <c r="B239" s="164" t="s">
        <v>244</v>
      </c>
      <c r="C239" s="33"/>
      <c r="D239" s="33"/>
      <c r="E239" s="9"/>
      <c r="F239" s="9" t="s">
        <v>243</v>
      </c>
      <c r="G239" s="9" t="s">
        <v>1</v>
      </c>
      <c r="H239" s="9" t="s">
        <v>453</v>
      </c>
      <c r="I239" s="9" t="s">
        <v>452</v>
      </c>
      <c r="J239" s="646">
        <v>1278.5</v>
      </c>
      <c r="K239" s="646"/>
      <c r="L239" s="646">
        <v>1278.5</v>
      </c>
      <c r="M239" s="646">
        <v>1238.5</v>
      </c>
      <c r="N239" s="646">
        <v>1238.5</v>
      </c>
      <c r="O239" s="646">
        <v>3017.4</v>
      </c>
      <c r="P239" s="1317">
        <v>3338</v>
      </c>
      <c r="Q239" s="163"/>
      <c r="R239" s="163"/>
      <c r="S239" s="163"/>
      <c r="T239" s="163"/>
      <c r="U239" s="163"/>
      <c r="V239" s="163"/>
      <c r="W239" s="163"/>
      <c r="X239" s="163"/>
    </row>
    <row r="240" spans="1:24" ht="39.65" customHeight="1" x14ac:dyDescent="0.25">
      <c r="A240" s="91">
        <v>4</v>
      </c>
      <c r="B240" s="52" t="s">
        <v>912</v>
      </c>
      <c r="C240" s="34"/>
      <c r="D240" s="34" t="s">
        <v>168</v>
      </c>
      <c r="E240" s="34" t="s">
        <v>166</v>
      </c>
      <c r="F240" s="34" t="s">
        <v>240</v>
      </c>
      <c r="G240" s="131"/>
      <c r="H240" s="131"/>
      <c r="I240" s="34"/>
      <c r="J240" s="51">
        <f>J241+J254</f>
        <v>1182</v>
      </c>
      <c r="K240" s="51"/>
      <c r="L240" s="51">
        <f>L241+L254</f>
        <v>1182</v>
      </c>
      <c r="M240" s="51">
        <f>M241+M254</f>
        <v>1022</v>
      </c>
      <c r="N240" s="51">
        <f>N241+N254</f>
        <v>1179</v>
      </c>
      <c r="O240" s="51">
        <f>O241+O254</f>
        <v>1202</v>
      </c>
      <c r="P240" s="50">
        <f>P241+P254</f>
        <v>1250.04</v>
      </c>
    </row>
    <row r="241" spans="1:257" s="2" customFormat="1" ht="65" x14ac:dyDescent="0.25">
      <c r="A241" s="32"/>
      <c r="B241" s="157" t="s">
        <v>239</v>
      </c>
      <c r="C241" s="9"/>
      <c r="D241" s="9" t="s">
        <v>168</v>
      </c>
      <c r="E241" s="9" t="s">
        <v>166</v>
      </c>
      <c r="F241" s="9" t="s">
        <v>238</v>
      </c>
      <c r="G241" s="88"/>
      <c r="H241" s="88"/>
      <c r="I241" s="9"/>
      <c r="J241" s="656">
        <f>J242</f>
        <v>496</v>
      </c>
      <c r="K241" s="656"/>
      <c r="L241" s="656">
        <f>L243+L251</f>
        <v>496</v>
      </c>
      <c r="M241" s="656">
        <f>M243+M251</f>
        <v>336</v>
      </c>
      <c r="N241" s="656">
        <f>N242+N246</f>
        <v>473</v>
      </c>
      <c r="O241" s="656">
        <f>O242+O246</f>
        <v>606</v>
      </c>
      <c r="P241" s="1310">
        <f>P242+P246</f>
        <v>630.20000000000005</v>
      </c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 s="2" customFormat="1" ht="39" hidden="1" x14ac:dyDescent="0.25">
      <c r="A242" s="32"/>
      <c r="B242" s="347" t="s">
        <v>236</v>
      </c>
      <c r="C242" s="9"/>
      <c r="D242" s="9"/>
      <c r="E242" s="9"/>
      <c r="F242" s="9" t="s">
        <v>235</v>
      </c>
      <c r="G242" s="88"/>
      <c r="H242" s="88"/>
      <c r="I242" s="9"/>
      <c r="J242" s="656">
        <f>J243+J251</f>
        <v>496</v>
      </c>
      <c r="K242" s="656"/>
      <c r="L242" s="656"/>
      <c r="M242" s="656"/>
      <c r="N242" s="656">
        <f t="shared" ref="N242:P244" si="21">N243</f>
        <v>0</v>
      </c>
      <c r="O242" s="656">
        <f t="shared" si="21"/>
        <v>0</v>
      </c>
      <c r="P242" s="1310">
        <f t="shared" si="21"/>
        <v>0</v>
      </c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 s="2" customFormat="1" ht="26" hidden="1" x14ac:dyDescent="0.25">
      <c r="A243" s="32"/>
      <c r="B243" s="49" t="s">
        <v>237</v>
      </c>
      <c r="C243" s="9"/>
      <c r="D243" s="9" t="s">
        <v>168</v>
      </c>
      <c r="E243" s="9" t="s">
        <v>166</v>
      </c>
      <c r="F243" s="9" t="s">
        <v>233</v>
      </c>
      <c r="G243" s="88"/>
      <c r="H243" s="88"/>
      <c r="I243" s="9"/>
      <c r="J243" s="656">
        <f>J244</f>
        <v>296</v>
      </c>
      <c r="K243" s="656"/>
      <c r="L243" s="656">
        <f>L244</f>
        <v>296</v>
      </c>
      <c r="M243" s="656">
        <f>M244</f>
        <v>136</v>
      </c>
      <c r="N243" s="656">
        <f t="shared" si="21"/>
        <v>0</v>
      </c>
      <c r="O243" s="656">
        <f t="shared" si="21"/>
        <v>0</v>
      </c>
      <c r="P243" s="1310">
        <f t="shared" si="21"/>
        <v>0</v>
      </c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 s="2" customFormat="1" ht="25.15" hidden="1" customHeight="1" x14ac:dyDescent="0.25">
      <c r="A244" s="32"/>
      <c r="B244" s="1312" t="s">
        <v>4</v>
      </c>
      <c r="C244" s="9"/>
      <c r="D244" s="9" t="s">
        <v>168</v>
      </c>
      <c r="E244" s="9" t="s">
        <v>166</v>
      </c>
      <c r="F244" s="9" t="s">
        <v>233</v>
      </c>
      <c r="G244" s="88">
        <v>240</v>
      </c>
      <c r="H244" s="88"/>
      <c r="I244" s="9"/>
      <c r="J244" s="656">
        <f>J245</f>
        <v>296</v>
      </c>
      <c r="K244" s="656"/>
      <c r="L244" s="656">
        <v>296</v>
      </c>
      <c r="M244" s="656">
        <v>136</v>
      </c>
      <c r="N244" s="656">
        <f t="shared" si="21"/>
        <v>0</v>
      </c>
      <c r="O244" s="656">
        <f t="shared" si="21"/>
        <v>0</v>
      </c>
      <c r="P244" s="1310">
        <f t="shared" si="21"/>
        <v>0</v>
      </c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 s="2" customFormat="1" ht="26" hidden="1" x14ac:dyDescent="0.3">
      <c r="A245" s="32"/>
      <c r="B245" s="1319" t="s">
        <v>221</v>
      </c>
      <c r="C245" s="9"/>
      <c r="D245" s="9"/>
      <c r="E245" s="9"/>
      <c r="F245" s="9" t="s">
        <v>233</v>
      </c>
      <c r="G245" s="88">
        <v>240</v>
      </c>
      <c r="H245" s="88"/>
      <c r="I245" s="9" t="s">
        <v>166</v>
      </c>
      <c r="J245" s="656">
        <v>296</v>
      </c>
      <c r="K245" s="656"/>
      <c r="L245" s="656">
        <v>296</v>
      </c>
      <c r="M245" s="656">
        <v>136</v>
      </c>
      <c r="N245" s="656"/>
      <c r="O245" s="656"/>
      <c r="P245" s="1310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 s="2" customFormat="1" ht="39" x14ac:dyDescent="0.25">
      <c r="A246" s="32"/>
      <c r="B246" s="347" t="s">
        <v>236</v>
      </c>
      <c r="C246" s="9"/>
      <c r="D246" s="9"/>
      <c r="E246" s="9"/>
      <c r="F246" s="9" t="s">
        <v>235</v>
      </c>
      <c r="G246" s="88"/>
      <c r="H246" s="88"/>
      <c r="I246" s="9"/>
      <c r="J246" s="656">
        <f>J251</f>
        <v>200</v>
      </c>
      <c r="K246" s="656"/>
      <c r="L246" s="656"/>
      <c r="M246" s="656"/>
      <c r="N246" s="656">
        <f>N251+N247</f>
        <v>473</v>
      </c>
      <c r="O246" s="656">
        <f>O251+O247</f>
        <v>606</v>
      </c>
      <c r="P246" s="1310">
        <f>P251+P247</f>
        <v>630.20000000000005</v>
      </c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 s="2" customFormat="1" ht="26" x14ac:dyDescent="0.25">
      <c r="A247" s="32"/>
      <c r="B247" s="337" t="s">
        <v>234</v>
      </c>
      <c r="C247" s="9"/>
      <c r="D247" s="9"/>
      <c r="E247" s="9"/>
      <c r="F247" s="9" t="s">
        <v>233</v>
      </c>
      <c r="G247" s="88"/>
      <c r="H247" s="88"/>
      <c r="I247" s="9"/>
      <c r="J247" s="656"/>
      <c r="K247" s="656"/>
      <c r="L247" s="656"/>
      <c r="M247" s="656"/>
      <c r="N247" s="656">
        <f t="shared" ref="N247:P248" si="22">N248</f>
        <v>240</v>
      </c>
      <c r="O247" s="656">
        <f t="shared" si="22"/>
        <v>376</v>
      </c>
      <c r="P247" s="1310">
        <f t="shared" si="22"/>
        <v>391</v>
      </c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 s="2" customFormat="1" ht="26" x14ac:dyDescent="0.25">
      <c r="A248" s="32"/>
      <c r="B248" s="1312" t="s">
        <v>4</v>
      </c>
      <c r="C248" s="9"/>
      <c r="D248" s="9"/>
      <c r="E248" s="9"/>
      <c r="F248" s="9" t="s">
        <v>233</v>
      </c>
      <c r="G248" s="88">
        <v>240</v>
      </c>
      <c r="H248" s="88"/>
      <c r="I248" s="9"/>
      <c r="J248" s="656"/>
      <c r="K248" s="656"/>
      <c r="L248" s="656"/>
      <c r="M248" s="656"/>
      <c r="N248" s="656">
        <f t="shared" si="22"/>
        <v>240</v>
      </c>
      <c r="O248" s="656">
        <f t="shared" si="22"/>
        <v>376</v>
      </c>
      <c r="P248" s="1310">
        <f t="shared" si="22"/>
        <v>391</v>
      </c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 s="2" customFormat="1" ht="26" x14ac:dyDescent="0.3">
      <c r="A249" s="32"/>
      <c r="B249" s="1320" t="s">
        <v>221</v>
      </c>
      <c r="C249" s="9"/>
      <c r="D249" s="9"/>
      <c r="E249" s="9"/>
      <c r="F249" s="9" t="s">
        <v>233</v>
      </c>
      <c r="G249" s="88">
        <v>240</v>
      </c>
      <c r="H249" s="9" t="s">
        <v>495</v>
      </c>
      <c r="I249" s="9" t="s">
        <v>539</v>
      </c>
      <c r="J249" s="656"/>
      <c r="K249" s="656"/>
      <c r="L249" s="656"/>
      <c r="M249" s="656"/>
      <c r="N249" s="656">
        <v>240</v>
      </c>
      <c r="O249" s="656">
        <v>376</v>
      </c>
      <c r="P249" s="1310">
        <v>391</v>
      </c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 s="2" customFormat="1" ht="13" x14ac:dyDescent="0.25">
      <c r="A250" s="32"/>
      <c r="B250" s="347" t="s">
        <v>232</v>
      </c>
      <c r="C250" s="9"/>
      <c r="D250" s="9"/>
      <c r="E250" s="9"/>
      <c r="F250" s="9" t="s">
        <v>231</v>
      </c>
      <c r="G250" s="88"/>
      <c r="H250" s="88"/>
      <c r="I250" s="9"/>
      <c r="J250" s="656"/>
      <c r="K250" s="656"/>
      <c r="L250" s="656"/>
      <c r="M250" s="656"/>
      <c r="N250" s="656">
        <f t="shared" ref="N250:P252" si="23">N251</f>
        <v>233</v>
      </c>
      <c r="O250" s="656">
        <f t="shared" si="23"/>
        <v>230</v>
      </c>
      <c r="P250" s="1310">
        <f t="shared" si="23"/>
        <v>239.2</v>
      </c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 s="2" customFormat="1" ht="13" x14ac:dyDescent="0.25">
      <c r="A251" s="32"/>
      <c r="B251" s="337" t="s">
        <v>230</v>
      </c>
      <c r="C251" s="9"/>
      <c r="D251" s="9" t="s">
        <v>168</v>
      </c>
      <c r="E251" s="9" t="s">
        <v>166</v>
      </c>
      <c r="F251" s="9" t="s">
        <v>229</v>
      </c>
      <c r="G251" s="88"/>
      <c r="H251" s="88"/>
      <c r="I251" s="9"/>
      <c r="J251" s="656">
        <f>J252</f>
        <v>200</v>
      </c>
      <c r="K251" s="656"/>
      <c r="L251" s="656">
        <f>L252</f>
        <v>200</v>
      </c>
      <c r="M251" s="656">
        <f>M252</f>
        <v>200</v>
      </c>
      <c r="N251" s="656">
        <f t="shared" si="23"/>
        <v>233</v>
      </c>
      <c r="O251" s="656">
        <f t="shared" si="23"/>
        <v>230</v>
      </c>
      <c r="P251" s="1310">
        <f t="shared" si="23"/>
        <v>239.2</v>
      </c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 s="2" customFormat="1" ht="25.15" customHeight="1" x14ac:dyDescent="0.25">
      <c r="A252" s="32"/>
      <c r="B252" s="1312" t="s">
        <v>4</v>
      </c>
      <c r="C252" s="9"/>
      <c r="D252" s="9" t="s">
        <v>168</v>
      </c>
      <c r="E252" s="9" t="s">
        <v>166</v>
      </c>
      <c r="F252" s="9" t="s">
        <v>229</v>
      </c>
      <c r="G252" s="88">
        <v>240</v>
      </c>
      <c r="H252" s="88"/>
      <c r="I252" s="9"/>
      <c r="J252" s="656">
        <f>J253</f>
        <v>200</v>
      </c>
      <c r="K252" s="656"/>
      <c r="L252" s="656">
        <v>200</v>
      </c>
      <c r="M252" s="656">
        <v>200</v>
      </c>
      <c r="N252" s="656">
        <f t="shared" si="23"/>
        <v>233</v>
      </c>
      <c r="O252" s="656">
        <f t="shared" si="23"/>
        <v>230</v>
      </c>
      <c r="P252" s="1310">
        <f t="shared" si="23"/>
        <v>239.2</v>
      </c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 s="2" customFormat="1" ht="26" x14ac:dyDescent="0.3">
      <c r="A253" s="32"/>
      <c r="B253" s="1320" t="s">
        <v>221</v>
      </c>
      <c r="C253" s="9"/>
      <c r="D253" s="9"/>
      <c r="E253" s="9"/>
      <c r="F253" s="9" t="s">
        <v>229</v>
      </c>
      <c r="G253" s="88">
        <v>240</v>
      </c>
      <c r="H253" s="9" t="s">
        <v>495</v>
      </c>
      <c r="I253" s="9" t="s">
        <v>539</v>
      </c>
      <c r="J253" s="656">
        <v>200</v>
      </c>
      <c r="K253" s="656"/>
      <c r="L253" s="656">
        <v>200</v>
      </c>
      <c r="M253" s="656">
        <v>200</v>
      </c>
      <c r="N253" s="656">
        <v>233</v>
      </c>
      <c r="O253" s="656">
        <v>230</v>
      </c>
      <c r="P253" s="1310">
        <v>239.2</v>
      </c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 s="2" customFormat="1" ht="65" x14ac:dyDescent="0.25">
      <c r="A254" s="32"/>
      <c r="B254" s="157" t="s">
        <v>228</v>
      </c>
      <c r="C254" s="34"/>
      <c r="D254" s="9" t="s">
        <v>168</v>
      </c>
      <c r="E254" s="9" t="s">
        <v>166</v>
      </c>
      <c r="F254" s="9" t="s">
        <v>227</v>
      </c>
      <c r="G254" s="9"/>
      <c r="H254" s="9"/>
      <c r="I254" s="9"/>
      <c r="J254" s="656">
        <f>J256</f>
        <v>686</v>
      </c>
      <c r="K254" s="656"/>
      <c r="L254" s="656">
        <f>L256</f>
        <v>686</v>
      </c>
      <c r="M254" s="656">
        <f>M256</f>
        <v>686</v>
      </c>
      <c r="N254" s="656">
        <f t="shared" ref="N254:P255" si="24">N255</f>
        <v>706</v>
      </c>
      <c r="O254" s="656">
        <f t="shared" si="24"/>
        <v>596</v>
      </c>
      <c r="P254" s="1310">
        <f t="shared" si="24"/>
        <v>619.84</v>
      </c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 s="2" customFormat="1" ht="52" x14ac:dyDescent="0.25">
      <c r="A255" s="32"/>
      <c r="B255" s="347" t="s">
        <v>226</v>
      </c>
      <c r="C255" s="34"/>
      <c r="D255" s="9"/>
      <c r="E255" s="9"/>
      <c r="F255" s="9" t="s">
        <v>225</v>
      </c>
      <c r="G255" s="9"/>
      <c r="H255" s="9"/>
      <c r="I255" s="9"/>
      <c r="J255" s="656">
        <f>J254</f>
        <v>686</v>
      </c>
      <c r="K255" s="656"/>
      <c r="L255" s="656"/>
      <c r="M255" s="656"/>
      <c r="N255" s="656">
        <f t="shared" si="24"/>
        <v>706</v>
      </c>
      <c r="O255" s="656">
        <f t="shared" si="24"/>
        <v>596</v>
      </c>
      <c r="P255" s="1310">
        <f t="shared" si="24"/>
        <v>619.84</v>
      </c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 s="2" customFormat="1" ht="13" x14ac:dyDescent="0.25">
      <c r="A256" s="32"/>
      <c r="B256" s="337" t="s">
        <v>224</v>
      </c>
      <c r="C256" s="34"/>
      <c r="D256" s="9" t="s">
        <v>168</v>
      </c>
      <c r="E256" s="9" t="s">
        <v>166</v>
      </c>
      <c r="F256" s="9" t="s">
        <v>220</v>
      </c>
      <c r="G256" s="34"/>
      <c r="H256" s="34"/>
      <c r="I256" s="9"/>
      <c r="J256" s="656">
        <f>J258</f>
        <v>686</v>
      </c>
      <c r="K256" s="656"/>
      <c r="L256" s="656">
        <f>L258</f>
        <v>686</v>
      </c>
      <c r="M256" s="656">
        <f>M258</f>
        <v>686</v>
      </c>
      <c r="N256" s="656">
        <f>N258</f>
        <v>706</v>
      </c>
      <c r="O256" s="656">
        <f>O258</f>
        <v>596</v>
      </c>
      <c r="P256" s="1310">
        <f>P258</f>
        <v>619.84</v>
      </c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4" ht="40.5" hidden="1" customHeight="1" x14ac:dyDescent="0.25">
      <c r="A257" s="32"/>
      <c r="B257" s="42" t="s">
        <v>223</v>
      </c>
      <c r="C257" s="160"/>
      <c r="D257" s="31" t="s">
        <v>168</v>
      </c>
      <c r="E257" s="31" t="s">
        <v>166</v>
      </c>
      <c r="F257" s="31" t="s">
        <v>222</v>
      </c>
      <c r="G257" s="161"/>
      <c r="H257" s="161"/>
      <c r="I257" s="31" t="s">
        <v>166</v>
      </c>
      <c r="J257" s="677"/>
      <c r="K257" s="677"/>
      <c r="L257" s="677"/>
      <c r="M257" s="677"/>
      <c r="N257" s="677"/>
      <c r="O257" s="677"/>
      <c r="P257" s="1321"/>
    </row>
    <row r="258" spans="1:24" ht="25.15" customHeight="1" x14ac:dyDescent="0.25">
      <c r="A258" s="32"/>
      <c r="B258" s="1312" t="s">
        <v>4</v>
      </c>
      <c r="C258" s="160"/>
      <c r="D258" s="9" t="s">
        <v>168</v>
      </c>
      <c r="E258" s="9" t="s">
        <v>166</v>
      </c>
      <c r="F258" s="9" t="s">
        <v>220</v>
      </c>
      <c r="G258" s="33" t="s">
        <v>1</v>
      </c>
      <c r="H258" s="33"/>
      <c r="I258" s="9"/>
      <c r="J258" s="656">
        <v>686</v>
      </c>
      <c r="K258" s="677"/>
      <c r="L258" s="656">
        <v>686</v>
      </c>
      <c r="M258" s="656">
        <v>686</v>
      </c>
      <c r="N258" s="656">
        <f>N259</f>
        <v>706</v>
      </c>
      <c r="O258" s="656">
        <f>O259</f>
        <v>596</v>
      </c>
      <c r="P258" s="1310">
        <f>P259</f>
        <v>619.84</v>
      </c>
    </row>
    <row r="259" spans="1:24" ht="27.65" customHeight="1" x14ac:dyDescent="0.3">
      <c r="A259" s="32"/>
      <c r="B259" s="1320" t="s">
        <v>221</v>
      </c>
      <c r="C259" s="160"/>
      <c r="D259" s="9"/>
      <c r="E259" s="9"/>
      <c r="F259" s="9" t="s">
        <v>220</v>
      </c>
      <c r="G259" s="33" t="s">
        <v>1</v>
      </c>
      <c r="H259" s="9" t="s">
        <v>495</v>
      </c>
      <c r="I259" s="9" t="s">
        <v>539</v>
      </c>
      <c r="J259" s="656">
        <v>686</v>
      </c>
      <c r="K259" s="677"/>
      <c r="L259" s="656">
        <v>686</v>
      </c>
      <c r="M259" s="656">
        <v>686</v>
      </c>
      <c r="N259" s="656">
        <v>706</v>
      </c>
      <c r="O259" s="656">
        <v>596</v>
      </c>
      <c r="P259" s="1310">
        <v>619.84</v>
      </c>
    </row>
    <row r="260" spans="1:24" s="83" customFormat="1" ht="38.25" customHeight="1" x14ac:dyDescent="0.3">
      <c r="A260" s="91">
        <v>5</v>
      </c>
      <c r="B260" s="52" t="s">
        <v>927</v>
      </c>
      <c r="C260" s="89"/>
      <c r="D260" s="89" t="s">
        <v>52</v>
      </c>
      <c r="E260" s="89" t="s">
        <v>58</v>
      </c>
      <c r="F260" s="89" t="s">
        <v>218</v>
      </c>
      <c r="G260" s="131"/>
      <c r="H260" s="131"/>
      <c r="I260" s="89"/>
      <c r="J260" s="51">
        <f>J261+J276</f>
        <v>1600</v>
      </c>
      <c r="K260" s="158"/>
      <c r="L260" s="51">
        <f>L261+L276</f>
        <v>11444.685000000001</v>
      </c>
      <c r="M260" s="51">
        <f>M261+M276</f>
        <v>14038.547</v>
      </c>
      <c r="N260" s="51">
        <f>N261+N276</f>
        <v>6230</v>
      </c>
      <c r="O260" s="51">
        <f>O261+O276</f>
        <v>3130.5219999999999</v>
      </c>
      <c r="P260" s="50">
        <f>P261+P276</f>
        <v>2243.5209999999997</v>
      </c>
      <c r="Q260" s="84"/>
      <c r="R260" s="84"/>
      <c r="S260" s="84"/>
      <c r="T260" s="84"/>
      <c r="U260" s="84"/>
      <c r="V260" s="84"/>
      <c r="W260" s="84"/>
      <c r="X260" s="84"/>
    </row>
    <row r="261" spans="1:24" s="83" customFormat="1" ht="26" hidden="1" x14ac:dyDescent="0.3">
      <c r="A261" s="85"/>
      <c r="B261" s="157" t="s">
        <v>217</v>
      </c>
      <c r="C261" s="33"/>
      <c r="D261" s="33" t="s">
        <v>52</v>
      </c>
      <c r="E261" s="33" t="s">
        <v>58</v>
      </c>
      <c r="F261" s="33" t="s">
        <v>216</v>
      </c>
      <c r="G261" s="33"/>
      <c r="H261" s="33"/>
      <c r="I261" s="33"/>
      <c r="J261" s="653">
        <f>J262</f>
        <v>800</v>
      </c>
      <c r="K261" s="656"/>
      <c r="L261" s="656">
        <f>L263</f>
        <v>10777.685000000001</v>
      </c>
      <c r="M261" s="653">
        <f>M263</f>
        <v>13305.547</v>
      </c>
      <c r="N261" s="653">
        <f>N262</f>
        <v>3125.5</v>
      </c>
      <c r="O261" s="653">
        <f>O262</f>
        <v>0</v>
      </c>
      <c r="P261" s="1310">
        <f>P262</f>
        <v>0</v>
      </c>
      <c r="Q261" s="84"/>
      <c r="R261" s="84"/>
      <c r="S261" s="84"/>
      <c r="T261" s="84"/>
      <c r="U261" s="84"/>
      <c r="V261" s="84"/>
      <c r="W261" s="84"/>
      <c r="X261" s="84"/>
    </row>
    <row r="262" spans="1:24" s="83" customFormat="1" ht="52" hidden="1" x14ac:dyDescent="0.3">
      <c r="A262" s="85"/>
      <c r="B262" s="347" t="s">
        <v>215</v>
      </c>
      <c r="C262" s="33"/>
      <c r="D262" s="33"/>
      <c r="E262" s="33"/>
      <c r="F262" s="33" t="s">
        <v>214</v>
      </c>
      <c r="G262" s="89"/>
      <c r="H262" s="89"/>
      <c r="I262" s="33"/>
      <c r="J262" s="653">
        <f>J265+J269+J272+J275</f>
        <v>800</v>
      </c>
      <c r="K262" s="656"/>
      <c r="L262" s="656"/>
      <c r="M262" s="653"/>
      <c r="N262" s="653">
        <f>N265+N269+N275</f>
        <v>3125.5</v>
      </c>
      <c r="O262" s="653">
        <f>O265+O269+O275</f>
        <v>0</v>
      </c>
      <c r="P262" s="1310">
        <f>P265+P269+P275</f>
        <v>0</v>
      </c>
      <c r="Q262" s="84"/>
      <c r="R262" s="84"/>
      <c r="S262" s="84"/>
      <c r="T262" s="84"/>
      <c r="U262" s="84"/>
      <c r="V262" s="84"/>
      <c r="W262" s="84"/>
      <c r="X262" s="84"/>
    </row>
    <row r="263" spans="1:24" s="83" customFormat="1" ht="13" hidden="1" x14ac:dyDescent="0.3">
      <c r="A263" s="85"/>
      <c r="B263" s="337" t="s">
        <v>201</v>
      </c>
      <c r="C263" s="33"/>
      <c r="D263" s="33" t="s">
        <v>52</v>
      </c>
      <c r="E263" s="33" t="s">
        <v>58</v>
      </c>
      <c r="F263" s="33" t="s">
        <v>213</v>
      </c>
      <c r="G263" s="33"/>
      <c r="H263" s="33"/>
      <c r="I263" s="33"/>
      <c r="J263" s="653">
        <f>J264</f>
        <v>0</v>
      </c>
      <c r="K263" s="656"/>
      <c r="L263" s="653">
        <f>L267</f>
        <v>10777.685000000001</v>
      </c>
      <c r="M263" s="653">
        <f>M267</f>
        <v>13305.547</v>
      </c>
      <c r="N263" s="653">
        <f t="shared" ref="N263:P264" si="25">N264</f>
        <v>2530</v>
      </c>
      <c r="O263" s="653">
        <f t="shared" si="25"/>
        <v>0</v>
      </c>
      <c r="P263" s="1310">
        <f t="shared" si="25"/>
        <v>0</v>
      </c>
      <c r="Q263" s="84"/>
      <c r="R263" s="84"/>
      <c r="S263" s="84"/>
      <c r="T263" s="84"/>
      <c r="U263" s="84"/>
      <c r="V263" s="84"/>
      <c r="W263" s="84"/>
      <c r="X263" s="84"/>
    </row>
    <row r="264" spans="1:24" s="83" customFormat="1" ht="26" hidden="1" x14ac:dyDescent="0.3">
      <c r="A264" s="85"/>
      <c r="B264" s="1312" t="s">
        <v>4</v>
      </c>
      <c r="C264" s="33"/>
      <c r="D264" s="33"/>
      <c r="E264" s="33"/>
      <c r="F264" s="33" t="s">
        <v>213</v>
      </c>
      <c r="G264" s="33" t="s">
        <v>1</v>
      </c>
      <c r="H264" s="33"/>
      <c r="I264" s="33"/>
      <c r="J264" s="653">
        <f>J265</f>
        <v>0</v>
      </c>
      <c r="K264" s="656"/>
      <c r="L264" s="653"/>
      <c r="M264" s="653"/>
      <c r="N264" s="653">
        <f t="shared" si="25"/>
        <v>2530</v>
      </c>
      <c r="O264" s="653">
        <f t="shared" si="25"/>
        <v>0</v>
      </c>
      <c r="P264" s="1310">
        <f t="shared" si="25"/>
        <v>0</v>
      </c>
      <c r="Q264" s="84"/>
      <c r="R264" s="84"/>
      <c r="S264" s="84"/>
      <c r="T264" s="84"/>
      <c r="U264" s="84"/>
      <c r="V264" s="84"/>
      <c r="W264" s="84"/>
      <c r="X264" s="84"/>
    </row>
    <row r="265" spans="1:24" s="83" customFormat="1" ht="13" hidden="1" x14ac:dyDescent="0.3">
      <c r="A265" s="85"/>
      <c r="B265" s="1287" t="s">
        <v>60</v>
      </c>
      <c r="C265" s="33"/>
      <c r="D265" s="33"/>
      <c r="E265" s="33"/>
      <c r="F265" s="33" t="s">
        <v>213</v>
      </c>
      <c r="G265" s="33" t="s">
        <v>1</v>
      </c>
      <c r="H265" s="33"/>
      <c r="I265" s="33" t="s">
        <v>58</v>
      </c>
      <c r="J265" s="653"/>
      <c r="K265" s="656"/>
      <c r="L265" s="653"/>
      <c r="M265" s="653"/>
      <c r="N265" s="653">
        <v>2530</v>
      </c>
      <c r="O265" s="653"/>
      <c r="P265" s="1310"/>
      <c r="Q265" s="84"/>
      <c r="R265" s="84"/>
      <c r="S265" s="84"/>
      <c r="T265" s="84"/>
      <c r="U265" s="84"/>
      <c r="V265" s="84"/>
      <c r="W265" s="84"/>
      <c r="X265" s="84"/>
    </row>
    <row r="266" spans="1:24" s="83" customFormat="1" ht="26" hidden="1" x14ac:dyDescent="0.3">
      <c r="A266" s="85"/>
      <c r="B266" s="337" t="s">
        <v>212</v>
      </c>
      <c r="C266" s="33"/>
      <c r="D266" s="33"/>
      <c r="E266" s="33"/>
      <c r="F266" s="33" t="s">
        <v>209</v>
      </c>
      <c r="G266" s="33"/>
      <c r="H266" s="33"/>
      <c r="I266" s="33"/>
      <c r="J266" s="653">
        <f>J267</f>
        <v>800</v>
      </c>
      <c r="K266" s="656"/>
      <c r="L266" s="653"/>
      <c r="M266" s="653"/>
      <c r="N266" s="653">
        <f>N267</f>
        <v>100</v>
      </c>
      <c r="O266" s="653">
        <f>O267</f>
        <v>0</v>
      </c>
      <c r="P266" s="1310">
        <f>P267</f>
        <v>0</v>
      </c>
      <c r="Q266" s="84"/>
      <c r="R266" s="84"/>
      <c r="S266" s="84"/>
      <c r="T266" s="84"/>
      <c r="U266" s="84"/>
      <c r="V266" s="84"/>
      <c r="W266" s="84"/>
      <c r="X266" s="84"/>
    </row>
    <row r="267" spans="1:24" s="83" customFormat="1" ht="25.15" hidden="1" customHeight="1" x14ac:dyDescent="0.3">
      <c r="A267" s="85"/>
      <c r="B267" s="1312" t="s">
        <v>4</v>
      </c>
      <c r="C267" s="33"/>
      <c r="D267" s="33" t="s">
        <v>52</v>
      </c>
      <c r="E267" s="33" t="s">
        <v>58</v>
      </c>
      <c r="F267" s="33" t="s">
        <v>209</v>
      </c>
      <c r="G267" s="33" t="s">
        <v>1</v>
      </c>
      <c r="H267" s="33"/>
      <c r="I267" s="33"/>
      <c r="J267" s="653">
        <f>J269</f>
        <v>800</v>
      </c>
      <c r="K267" s="656"/>
      <c r="L267" s="653">
        <f>22480.2-11702.515</f>
        <v>10777.685000000001</v>
      </c>
      <c r="M267" s="653">
        <v>13305.547</v>
      </c>
      <c r="N267" s="653">
        <f>N269</f>
        <v>100</v>
      </c>
      <c r="O267" s="653">
        <f>O269</f>
        <v>0</v>
      </c>
      <c r="P267" s="1310">
        <f>P269</f>
        <v>0</v>
      </c>
      <c r="Q267" s="84"/>
      <c r="R267" s="84"/>
      <c r="S267" s="84"/>
      <c r="T267" s="84"/>
      <c r="U267" s="84"/>
      <c r="V267" s="84"/>
      <c r="W267" s="84"/>
      <c r="X267" s="84"/>
    </row>
    <row r="268" spans="1:24" s="83" customFormat="1" ht="52" hidden="1" x14ac:dyDescent="0.3">
      <c r="A268" s="85"/>
      <c r="B268" s="90" t="s">
        <v>211</v>
      </c>
      <c r="C268" s="89"/>
      <c r="D268" s="33" t="s">
        <v>52</v>
      </c>
      <c r="E268" s="33" t="s">
        <v>58</v>
      </c>
      <c r="F268" s="33" t="s">
        <v>210</v>
      </c>
      <c r="G268" s="89"/>
      <c r="H268" s="89"/>
      <c r="I268" s="33" t="s">
        <v>58</v>
      </c>
      <c r="J268" s="656"/>
      <c r="K268" s="656"/>
      <c r="L268" s="656"/>
      <c r="M268" s="656"/>
      <c r="N268" s="656"/>
      <c r="O268" s="656"/>
      <c r="P268" s="1310"/>
      <c r="Q268" s="84"/>
      <c r="R268" s="84"/>
      <c r="S268" s="84"/>
      <c r="T268" s="84"/>
      <c r="U268" s="84"/>
      <c r="V268" s="84"/>
      <c r="W268" s="84"/>
      <c r="X268" s="84"/>
    </row>
    <row r="269" spans="1:24" s="83" customFormat="1" ht="13" hidden="1" x14ac:dyDescent="0.3">
      <c r="A269" s="85"/>
      <c r="B269" s="1287" t="s">
        <v>60</v>
      </c>
      <c r="C269" s="89"/>
      <c r="D269" s="33"/>
      <c r="E269" s="33"/>
      <c r="F269" s="33" t="s">
        <v>209</v>
      </c>
      <c r="G269" s="33" t="s">
        <v>1</v>
      </c>
      <c r="H269" s="33"/>
      <c r="I269" s="33" t="s">
        <v>58</v>
      </c>
      <c r="J269" s="653">
        <v>800</v>
      </c>
      <c r="K269" s="656"/>
      <c r="L269" s="653">
        <f>22480.2-11702.515</f>
        <v>10777.685000000001</v>
      </c>
      <c r="M269" s="653">
        <v>13305.547</v>
      </c>
      <c r="N269" s="653">
        <v>100</v>
      </c>
      <c r="O269" s="653"/>
      <c r="P269" s="1310"/>
      <c r="Q269" s="84"/>
      <c r="R269" s="84"/>
      <c r="S269" s="84"/>
      <c r="T269" s="84"/>
      <c r="U269" s="84"/>
      <c r="V269" s="84"/>
      <c r="W269" s="84"/>
      <c r="X269" s="84"/>
    </row>
    <row r="270" spans="1:24" s="83" customFormat="1" ht="39" hidden="1" x14ac:dyDescent="0.3">
      <c r="A270" s="85"/>
      <c r="B270" s="337" t="s">
        <v>208</v>
      </c>
      <c r="C270" s="89"/>
      <c r="D270" s="33"/>
      <c r="E270" s="33"/>
      <c r="F270" s="33" t="s">
        <v>207</v>
      </c>
      <c r="G270" s="33"/>
      <c r="H270" s="33"/>
      <c r="I270" s="33"/>
      <c r="J270" s="653">
        <f>J271</f>
        <v>0</v>
      </c>
      <c r="K270" s="656"/>
      <c r="L270" s="653"/>
      <c r="M270" s="653"/>
      <c r="N270" s="653">
        <f t="shared" ref="N270:P271" si="26">N271</f>
        <v>0</v>
      </c>
      <c r="O270" s="653">
        <f t="shared" si="26"/>
        <v>0</v>
      </c>
      <c r="P270" s="1310">
        <f t="shared" si="26"/>
        <v>0</v>
      </c>
      <c r="Q270" s="84"/>
      <c r="R270" s="84"/>
      <c r="S270" s="84"/>
      <c r="T270" s="84"/>
      <c r="U270" s="84"/>
      <c r="V270" s="84"/>
      <c r="W270" s="84"/>
      <c r="X270" s="84"/>
    </row>
    <row r="271" spans="1:24" s="83" customFormat="1" ht="26" hidden="1" x14ac:dyDescent="0.3">
      <c r="A271" s="85"/>
      <c r="B271" s="1312" t="s">
        <v>4</v>
      </c>
      <c r="C271" s="89"/>
      <c r="D271" s="33"/>
      <c r="E271" s="33"/>
      <c r="F271" s="33" t="s">
        <v>207</v>
      </c>
      <c r="G271" s="33" t="s">
        <v>1</v>
      </c>
      <c r="H271" s="33"/>
      <c r="I271" s="33"/>
      <c r="J271" s="653">
        <f>J272</f>
        <v>0</v>
      </c>
      <c r="K271" s="656"/>
      <c r="L271" s="653"/>
      <c r="M271" s="653"/>
      <c r="N271" s="653">
        <f t="shared" si="26"/>
        <v>0</v>
      </c>
      <c r="O271" s="653">
        <f t="shared" si="26"/>
        <v>0</v>
      </c>
      <c r="P271" s="1310">
        <f t="shared" si="26"/>
        <v>0</v>
      </c>
      <c r="Q271" s="84"/>
      <c r="R271" s="84"/>
      <c r="S271" s="84"/>
      <c r="T271" s="84"/>
      <c r="U271" s="84"/>
      <c r="V271" s="84"/>
      <c r="W271" s="84"/>
      <c r="X271" s="84"/>
    </row>
    <row r="272" spans="1:24" s="83" customFormat="1" ht="13" hidden="1" x14ac:dyDescent="0.3">
      <c r="A272" s="85"/>
      <c r="B272" s="1287" t="s">
        <v>60</v>
      </c>
      <c r="C272" s="89"/>
      <c r="D272" s="33"/>
      <c r="E272" s="33"/>
      <c r="F272" s="33" t="s">
        <v>207</v>
      </c>
      <c r="G272" s="33" t="s">
        <v>1</v>
      </c>
      <c r="H272" s="33"/>
      <c r="I272" s="33" t="s">
        <v>58</v>
      </c>
      <c r="J272" s="653"/>
      <c r="K272" s="656"/>
      <c r="L272" s="653"/>
      <c r="M272" s="653"/>
      <c r="N272" s="653"/>
      <c r="O272" s="653"/>
      <c r="P272" s="1310"/>
      <c r="Q272" s="84"/>
      <c r="R272" s="84"/>
      <c r="S272" s="84"/>
      <c r="T272" s="84"/>
      <c r="U272" s="84"/>
      <c r="V272" s="84"/>
      <c r="W272" s="84"/>
      <c r="X272" s="84"/>
    </row>
    <row r="273" spans="1:257" s="83" customFormat="1" ht="26" hidden="1" x14ac:dyDescent="0.3">
      <c r="A273" s="85" t="s">
        <v>106</v>
      </c>
      <c r="B273" s="1320" t="s">
        <v>206</v>
      </c>
      <c r="C273" s="89"/>
      <c r="D273" s="33"/>
      <c r="E273" s="33"/>
      <c r="F273" s="33" t="s">
        <v>205</v>
      </c>
      <c r="G273" s="33"/>
      <c r="H273" s="33"/>
      <c r="I273" s="33"/>
      <c r="J273" s="653">
        <f>J274</f>
        <v>0</v>
      </c>
      <c r="K273" s="656"/>
      <c r="L273" s="653"/>
      <c r="M273" s="653"/>
      <c r="N273" s="653">
        <f t="shared" ref="N273:P274" si="27">N274</f>
        <v>495.5</v>
      </c>
      <c r="O273" s="653">
        <f t="shared" si="27"/>
        <v>0</v>
      </c>
      <c r="P273" s="1310">
        <f t="shared" si="27"/>
        <v>0</v>
      </c>
      <c r="Q273" s="84"/>
      <c r="R273" s="84"/>
      <c r="S273" s="84"/>
      <c r="T273" s="84"/>
      <c r="U273" s="84"/>
      <c r="V273" s="84"/>
      <c r="W273" s="84"/>
      <c r="X273" s="84"/>
    </row>
    <row r="274" spans="1:257" s="83" customFormat="1" ht="26" hidden="1" x14ac:dyDescent="0.3">
      <c r="A274" s="85"/>
      <c r="B274" s="1312" t="s">
        <v>4</v>
      </c>
      <c r="C274" s="89"/>
      <c r="D274" s="33"/>
      <c r="E274" s="33"/>
      <c r="F274" s="33" t="s">
        <v>205</v>
      </c>
      <c r="G274" s="33" t="s">
        <v>1</v>
      </c>
      <c r="H274" s="33"/>
      <c r="I274" s="33"/>
      <c r="J274" s="653">
        <f>J275</f>
        <v>0</v>
      </c>
      <c r="K274" s="656"/>
      <c r="L274" s="653"/>
      <c r="M274" s="653"/>
      <c r="N274" s="653">
        <f t="shared" si="27"/>
        <v>495.5</v>
      </c>
      <c r="O274" s="653">
        <f t="shared" si="27"/>
        <v>0</v>
      </c>
      <c r="P274" s="1310">
        <f t="shared" si="27"/>
        <v>0</v>
      </c>
      <c r="Q274" s="84"/>
      <c r="R274" s="84"/>
      <c r="S274" s="84"/>
      <c r="T274" s="84"/>
      <c r="U274" s="84"/>
      <c r="V274" s="84"/>
      <c r="W274" s="84"/>
      <c r="X274" s="84"/>
    </row>
    <row r="275" spans="1:257" s="83" customFormat="1" ht="13" hidden="1" x14ac:dyDescent="0.3">
      <c r="A275" s="85"/>
      <c r="B275" s="1287" t="s">
        <v>60</v>
      </c>
      <c r="C275" s="89"/>
      <c r="D275" s="33"/>
      <c r="E275" s="33"/>
      <c r="F275" s="33" t="s">
        <v>205</v>
      </c>
      <c r="G275" s="33" t="s">
        <v>1</v>
      </c>
      <c r="H275" s="33"/>
      <c r="I275" s="33" t="s">
        <v>58</v>
      </c>
      <c r="J275" s="653"/>
      <c r="K275" s="656"/>
      <c r="L275" s="653"/>
      <c r="M275" s="653"/>
      <c r="N275" s="653">
        <v>495.5</v>
      </c>
      <c r="O275" s="653"/>
      <c r="P275" s="1310"/>
      <c r="Q275" s="84"/>
      <c r="R275" s="84"/>
      <c r="S275" s="84"/>
      <c r="T275" s="84"/>
      <c r="U275" s="84"/>
      <c r="V275" s="84"/>
      <c r="W275" s="84"/>
      <c r="X275" s="84"/>
    </row>
    <row r="276" spans="1:257" s="83" customFormat="1" ht="54.75" customHeight="1" x14ac:dyDescent="0.3">
      <c r="A276" s="85"/>
      <c r="B276" s="157" t="s">
        <v>837</v>
      </c>
      <c r="C276" s="89"/>
      <c r="D276" s="33" t="s">
        <v>52</v>
      </c>
      <c r="E276" s="33" t="s">
        <v>58</v>
      </c>
      <c r="F276" s="33" t="s">
        <v>204</v>
      </c>
      <c r="G276" s="33"/>
      <c r="H276" s="33"/>
      <c r="I276" s="33"/>
      <c r="J276" s="656">
        <f>J277</f>
        <v>800</v>
      </c>
      <c r="K276" s="656"/>
      <c r="L276" s="656">
        <f>L277</f>
        <v>667</v>
      </c>
      <c r="M276" s="656">
        <f>M277</f>
        <v>733</v>
      </c>
      <c r="N276" s="656">
        <f>N280+N283</f>
        <v>3104.5</v>
      </c>
      <c r="O276" s="656">
        <f>O280+O283</f>
        <v>3130.5219999999999</v>
      </c>
      <c r="P276" s="1310">
        <f>P280+P283</f>
        <v>2243.5209999999997</v>
      </c>
      <c r="Q276" s="84"/>
      <c r="R276" s="84"/>
      <c r="S276" s="84"/>
      <c r="T276" s="84"/>
      <c r="U276" s="84"/>
      <c r="V276" s="84"/>
      <c r="W276" s="84"/>
      <c r="X276" s="84"/>
    </row>
    <row r="277" spans="1:257" s="83" customFormat="1" ht="26" x14ac:dyDescent="0.3">
      <c r="A277" s="85"/>
      <c r="B277" s="347" t="s">
        <v>203</v>
      </c>
      <c r="C277" s="89"/>
      <c r="D277" s="33" t="s">
        <v>52</v>
      </c>
      <c r="E277" s="33" t="s">
        <v>58</v>
      </c>
      <c r="F277" s="33" t="s">
        <v>202</v>
      </c>
      <c r="G277" s="88"/>
      <c r="H277" s="88"/>
      <c r="I277" s="33"/>
      <c r="J277" s="656">
        <f>J281</f>
        <v>800</v>
      </c>
      <c r="K277" s="656"/>
      <c r="L277" s="656">
        <f>L282</f>
        <v>667</v>
      </c>
      <c r="M277" s="656">
        <f>M282</f>
        <v>733</v>
      </c>
      <c r="N277" s="656">
        <f>N281</f>
        <v>400</v>
      </c>
      <c r="O277" s="656">
        <f>O281</f>
        <v>460</v>
      </c>
      <c r="P277" s="1310">
        <f>P281</f>
        <v>520</v>
      </c>
      <c r="Q277" s="84"/>
      <c r="R277" s="84"/>
      <c r="S277" s="84"/>
      <c r="T277" s="84"/>
      <c r="U277" s="84"/>
      <c r="V277" s="84"/>
      <c r="W277" s="84"/>
      <c r="X277" s="84"/>
    </row>
    <row r="278" spans="1:257" s="83" customFormat="1" ht="13" x14ac:dyDescent="0.3">
      <c r="A278" s="85"/>
      <c r="B278" s="337" t="s">
        <v>201</v>
      </c>
      <c r="C278" s="89"/>
      <c r="D278" s="33"/>
      <c r="E278" s="33"/>
      <c r="F278" s="33" t="s">
        <v>200</v>
      </c>
      <c r="G278" s="88"/>
      <c r="H278" s="88"/>
      <c r="I278" s="33"/>
      <c r="J278" s="656"/>
      <c r="K278" s="656"/>
      <c r="L278" s="656"/>
      <c r="M278" s="656"/>
      <c r="N278" s="656">
        <f t="shared" ref="N278:P279" si="28">N279</f>
        <v>2704.5</v>
      </c>
      <c r="O278" s="656">
        <f t="shared" si="28"/>
        <v>2670.5219999999999</v>
      </c>
      <c r="P278" s="1310">
        <f t="shared" si="28"/>
        <v>1723.5209999999997</v>
      </c>
      <c r="Q278" s="84"/>
      <c r="R278" s="84"/>
      <c r="S278" s="84"/>
      <c r="T278" s="84"/>
      <c r="U278" s="84"/>
      <c r="V278" s="84"/>
      <c r="W278" s="84"/>
      <c r="X278" s="84"/>
    </row>
    <row r="279" spans="1:257" s="83" customFormat="1" ht="26" x14ac:dyDescent="0.3">
      <c r="A279" s="85"/>
      <c r="B279" s="1312" t="s">
        <v>4</v>
      </c>
      <c r="C279" s="89"/>
      <c r="D279" s="33"/>
      <c r="E279" s="33"/>
      <c r="F279" s="33" t="s">
        <v>200</v>
      </c>
      <c r="G279" s="88">
        <v>240</v>
      </c>
      <c r="H279" s="88"/>
      <c r="I279" s="33"/>
      <c r="J279" s="656"/>
      <c r="K279" s="656"/>
      <c r="L279" s="656"/>
      <c r="M279" s="656"/>
      <c r="N279" s="656">
        <f t="shared" si="28"/>
        <v>2704.5</v>
      </c>
      <c r="O279" s="656">
        <f t="shared" si="28"/>
        <v>2670.5219999999999</v>
      </c>
      <c r="P279" s="1310">
        <f t="shared" si="28"/>
        <v>1723.5209999999997</v>
      </c>
      <c r="Q279" s="84"/>
      <c r="R279" s="84"/>
      <c r="S279" s="84"/>
      <c r="T279" s="84"/>
      <c r="U279" s="84"/>
      <c r="V279" s="84"/>
      <c r="W279" s="84"/>
      <c r="X279" s="84"/>
    </row>
    <row r="280" spans="1:257" s="83" customFormat="1" ht="13" x14ac:dyDescent="0.3">
      <c r="A280" s="85"/>
      <c r="B280" s="1287" t="s">
        <v>60</v>
      </c>
      <c r="C280" s="89"/>
      <c r="D280" s="33"/>
      <c r="E280" s="33"/>
      <c r="F280" s="33" t="s">
        <v>200</v>
      </c>
      <c r="G280" s="88">
        <v>240</v>
      </c>
      <c r="H280" s="9" t="s">
        <v>452</v>
      </c>
      <c r="I280" s="33" t="s">
        <v>539</v>
      </c>
      <c r="J280" s="656"/>
      <c r="K280" s="656"/>
      <c r="L280" s="656"/>
      <c r="M280" s="656"/>
      <c r="N280" s="656">
        <v>2704.5</v>
      </c>
      <c r="O280" s="653">
        <f>3059.422-388.9</f>
        <v>2670.5219999999999</v>
      </c>
      <c r="P280" s="1310">
        <f>2112.421-388.9</f>
        <v>1723.5209999999997</v>
      </c>
      <c r="Q280" s="84"/>
      <c r="R280" s="84"/>
      <c r="S280" s="84"/>
      <c r="T280" s="84"/>
      <c r="U280" s="84"/>
      <c r="V280" s="84"/>
      <c r="W280" s="84"/>
      <c r="X280" s="84"/>
    </row>
    <row r="281" spans="1:257" s="83" customFormat="1" ht="26" x14ac:dyDescent="0.3">
      <c r="A281" s="85"/>
      <c r="B281" s="337" t="s">
        <v>199</v>
      </c>
      <c r="C281" s="89"/>
      <c r="D281" s="33"/>
      <c r="E281" s="33"/>
      <c r="F281" s="33" t="s">
        <v>198</v>
      </c>
      <c r="G281" s="88"/>
      <c r="H281" s="88"/>
      <c r="I281" s="33"/>
      <c r="J281" s="656">
        <f>J282</f>
        <v>800</v>
      </c>
      <c r="K281" s="656"/>
      <c r="L281" s="656"/>
      <c r="M281" s="656"/>
      <c r="N281" s="656">
        <f t="shared" ref="N281:P282" si="29">N282</f>
        <v>400</v>
      </c>
      <c r="O281" s="656">
        <f t="shared" si="29"/>
        <v>460</v>
      </c>
      <c r="P281" s="1310">
        <f t="shared" si="29"/>
        <v>520</v>
      </c>
      <c r="Q281" s="84"/>
      <c r="R281" s="84"/>
      <c r="S281" s="84"/>
      <c r="T281" s="84"/>
      <c r="U281" s="84"/>
      <c r="V281" s="84"/>
      <c r="W281" s="84"/>
      <c r="X281" s="84"/>
    </row>
    <row r="282" spans="1:257" s="83" customFormat="1" ht="25.15" customHeight="1" x14ac:dyDescent="0.3">
      <c r="A282" s="85"/>
      <c r="B282" s="1312" t="s">
        <v>4</v>
      </c>
      <c r="C282" s="89"/>
      <c r="D282" s="33" t="s">
        <v>52</v>
      </c>
      <c r="E282" s="33" t="s">
        <v>58</v>
      </c>
      <c r="F282" s="33" t="s">
        <v>198</v>
      </c>
      <c r="G282" s="88">
        <v>240</v>
      </c>
      <c r="H282" s="88"/>
      <c r="I282" s="33"/>
      <c r="J282" s="656">
        <f>J283</f>
        <v>800</v>
      </c>
      <c r="K282" s="656"/>
      <c r="L282" s="656">
        <v>667</v>
      </c>
      <c r="M282" s="656">
        <v>733</v>
      </c>
      <c r="N282" s="656">
        <f t="shared" si="29"/>
        <v>400</v>
      </c>
      <c r="O282" s="656">
        <f t="shared" si="29"/>
        <v>460</v>
      </c>
      <c r="P282" s="1310">
        <f t="shared" si="29"/>
        <v>520</v>
      </c>
      <c r="Q282" s="84"/>
      <c r="R282" s="84"/>
      <c r="S282" s="84"/>
      <c r="T282" s="84"/>
      <c r="U282" s="84"/>
      <c r="V282" s="84"/>
      <c r="W282" s="84"/>
      <c r="X282" s="84"/>
    </row>
    <row r="283" spans="1:257" s="83" customFormat="1" ht="13" x14ac:dyDescent="0.3">
      <c r="A283" s="85"/>
      <c r="B283" s="1287" t="s">
        <v>60</v>
      </c>
      <c r="C283" s="89"/>
      <c r="D283" s="33"/>
      <c r="E283" s="33"/>
      <c r="F283" s="33" t="s">
        <v>198</v>
      </c>
      <c r="G283" s="88">
        <v>240</v>
      </c>
      <c r="H283" s="9" t="s">
        <v>452</v>
      </c>
      <c r="I283" s="33" t="s">
        <v>539</v>
      </c>
      <c r="J283" s="656">
        <v>800</v>
      </c>
      <c r="K283" s="656"/>
      <c r="L283" s="656">
        <v>667</v>
      </c>
      <c r="M283" s="656">
        <v>733</v>
      </c>
      <c r="N283" s="656">
        <v>400</v>
      </c>
      <c r="O283" s="656">
        <v>460</v>
      </c>
      <c r="P283" s="1310">
        <v>520</v>
      </c>
      <c r="Q283" s="84"/>
      <c r="R283" s="84"/>
      <c r="S283" s="84"/>
      <c r="T283" s="84"/>
      <c r="U283" s="84"/>
      <c r="V283" s="84"/>
      <c r="W283" s="84"/>
      <c r="X283" s="84"/>
    </row>
    <row r="284" spans="1:257" ht="39" x14ac:dyDescent="0.25">
      <c r="A284" s="156">
        <v>6</v>
      </c>
      <c r="B284" s="155" t="s">
        <v>884</v>
      </c>
      <c r="C284" s="152"/>
      <c r="D284" s="154" t="s">
        <v>15</v>
      </c>
      <c r="E284" s="152" t="s">
        <v>13</v>
      </c>
      <c r="F284" s="152" t="s">
        <v>196</v>
      </c>
      <c r="G284" s="153"/>
      <c r="H284" s="153"/>
      <c r="I284" s="152"/>
      <c r="J284" s="150">
        <f>J285</f>
        <v>3497.6120000000001</v>
      </c>
      <c r="K284" s="151"/>
      <c r="L284" s="150">
        <f>L286</f>
        <v>4000</v>
      </c>
      <c r="M284" s="150">
        <f>M286</f>
        <v>0</v>
      </c>
      <c r="N284" s="150">
        <f t="shared" ref="N284:P286" si="30">N285</f>
        <v>2200</v>
      </c>
      <c r="O284" s="150">
        <f t="shared" si="30"/>
        <v>4981.808</v>
      </c>
      <c r="P284" s="712">
        <f t="shared" si="30"/>
        <v>3700</v>
      </c>
    </row>
    <row r="285" spans="1:257" s="2" customFormat="1" ht="15" customHeight="1" x14ac:dyDescent="0.25">
      <c r="A285" s="1322"/>
      <c r="B285" s="1314" t="s">
        <v>195</v>
      </c>
      <c r="C285" s="1314"/>
      <c r="D285" s="1314"/>
      <c r="E285" s="1314"/>
      <c r="F285" s="9" t="s">
        <v>194</v>
      </c>
      <c r="G285" s="1314"/>
      <c r="H285" s="1314"/>
      <c r="I285" s="1314"/>
      <c r="J285" s="1323">
        <f>J286</f>
        <v>3497.6120000000001</v>
      </c>
      <c r="K285" s="1314"/>
      <c r="L285" s="1314"/>
      <c r="M285" s="1314"/>
      <c r="N285" s="1323">
        <f t="shared" si="30"/>
        <v>2200</v>
      </c>
      <c r="O285" s="1323">
        <f t="shared" si="30"/>
        <v>4981.808</v>
      </c>
      <c r="P285" s="1324">
        <f t="shared" si="30"/>
        <v>3700</v>
      </c>
      <c r="Q285" s="1325"/>
      <c r="R285" s="1325"/>
      <c r="S285" s="1325"/>
      <c r="T285" s="1325"/>
      <c r="U285" s="1325"/>
      <c r="V285" s="1325"/>
      <c r="W285" s="1325"/>
      <c r="X285" s="1325"/>
      <c r="Y285" s="1325"/>
      <c r="Z285" s="1325"/>
      <c r="AA285" s="1325"/>
      <c r="AB285" s="1325"/>
      <c r="AC285" s="1325"/>
      <c r="AD285" s="1325"/>
      <c r="AE285" s="1325"/>
      <c r="AF285" s="1325"/>
      <c r="AG285" s="1325"/>
      <c r="AH285" s="1325"/>
      <c r="AI285" s="1325"/>
      <c r="AJ285" s="1325"/>
      <c r="AK285" s="1325"/>
      <c r="AL285" s="1325"/>
      <c r="AM285" s="1325"/>
      <c r="AN285" s="1325"/>
      <c r="AO285" s="1325"/>
      <c r="AP285" s="1325"/>
      <c r="AQ285" s="1325"/>
      <c r="AR285" s="1325"/>
      <c r="AS285" s="1325"/>
      <c r="AT285" s="1325"/>
      <c r="AU285" s="1325"/>
      <c r="AV285" s="1325"/>
      <c r="AW285" s="1325"/>
      <c r="AX285" s="1325"/>
      <c r="AY285" s="1325"/>
      <c r="AZ285" s="1325"/>
      <c r="BA285" s="1325"/>
      <c r="BB285" s="1325"/>
      <c r="BC285" s="1325"/>
      <c r="BD285" s="1325"/>
      <c r="BE285" s="1325"/>
      <c r="BF285" s="1325"/>
      <c r="BG285" s="1325"/>
      <c r="BH285" s="1325"/>
      <c r="BI285" s="1325"/>
      <c r="BJ285" s="1325"/>
      <c r="BK285" s="1325"/>
      <c r="BL285" s="1325"/>
      <c r="BM285" s="1325"/>
      <c r="BN285" s="1325"/>
      <c r="BO285" s="1325"/>
      <c r="BP285" s="1325"/>
      <c r="BQ285" s="1325"/>
      <c r="BR285" s="1325"/>
      <c r="BS285" s="1325"/>
      <c r="BT285" s="1325"/>
      <c r="BU285" s="1325"/>
      <c r="BV285" s="1325"/>
      <c r="BW285" s="1325"/>
      <c r="BX285" s="1325"/>
      <c r="BY285" s="1325"/>
      <c r="BZ285" s="1325"/>
      <c r="CA285" s="1325"/>
      <c r="CB285" s="1325"/>
      <c r="CC285" s="1325"/>
      <c r="CD285" s="1325"/>
      <c r="CE285" s="1325"/>
      <c r="CF285" s="1325"/>
      <c r="CG285" s="1325"/>
      <c r="CH285" s="1325"/>
      <c r="CI285" s="1325"/>
      <c r="CJ285" s="1325"/>
      <c r="CK285" s="1325"/>
      <c r="CL285" s="1325"/>
      <c r="CM285" s="1325"/>
      <c r="CN285" s="1325"/>
      <c r="CO285" s="1325"/>
      <c r="CP285" s="1325"/>
      <c r="CQ285" s="1325"/>
      <c r="CR285" s="1325"/>
      <c r="CS285" s="1325"/>
      <c r="CT285" s="1325"/>
      <c r="CU285" s="1325"/>
      <c r="CV285" s="1325"/>
      <c r="CW285" s="1325"/>
      <c r="CX285" s="1325"/>
      <c r="CY285" s="1325"/>
      <c r="CZ285" s="1325"/>
      <c r="DA285" s="1325"/>
      <c r="DB285" s="1325"/>
      <c r="DC285" s="1325"/>
      <c r="DD285" s="1325"/>
      <c r="DE285" s="1325"/>
      <c r="DF285" s="1325"/>
      <c r="DG285" s="1325"/>
      <c r="DH285" s="1325"/>
      <c r="DI285" s="1325"/>
      <c r="DJ285" s="1325"/>
      <c r="DK285" s="1325"/>
      <c r="DL285" s="1325"/>
      <c r="DM285" s="1325"/>
      <c r="DN285" s="1325"/>
      <c r="DO285" s="1325"/>
      <c r="DP285" s="1325"/>
      <c r="DQ285" s="1325"/>
      <c r="DR285" s="1325"/>
      <c r="DS285" s="1325"/>
      <c r="DT285" s="1325"/>
      <c r="DU285" s="1325"/>
      <c r="DV285" s="1325"/>
      <c r="DW285" s="1325"/>
      <c r="DX285" s="1325"/>
      <c r="DY285" s="1325"/>
      <c r="DZ285" s="1325"/>
      <c r="EA285" s="1325"/>
      <c r="EB285" s="1325"/>
      <c r="EC285" s="1325"/>
      <c r="ED285" s="1325"/>
      <c r="EE285" s="1325"/>
      <c r="EF285" s="1325"/>
      <c r="EG285" s="1325"/>
      <c r="EH285" s="1325"/>
      <c r="EI285" s="1325"/>
      <c r="EJ285" s="1325"/>
      <c r="EK285" s="1325"/>
      <c r="EL285" s="1325"/>
      <c r="EM285" s="1325"/>
      <c r="EN285" s="1325"/>
      <c r="EO285" s="1325"/>
      <c r="EP285" s="1325"/>
      <c r="EQ285" s="1325"/>
      <c r="ER285" s="1325"/>
      <c r="ES285" s="1325"/>
      <c r="ET285" s="1325"/>
      <c r="EU285" s="1325"/>
      <c r="EV285" s="1325"/>
      <c r="EW285" s="1325"/>
      <c r="EX285" s="1325"/>
      <c r="EY285" s="1325"/>
      <c r="EZ285" s="1325"/>
      <c r="FA285" s="1325"/>
      <c r="FB285" s="1325"/>
      <c r="FC285" s="1325"/>
      <c r="FD285" s="1325"/>
      <c r="FE285" s="1325"/>
      <c r="FF285" s="1325"/>
      <c r="FG285" s="1325"/>
      <c r="FH285" s="1325"/>
      <c r="FI285" s="1325"/>
      <c r="FJ285" s="1325"/>
      <c r="FK285" s="1325"/>
      <c r="FL285" s="1325"/>
      <c r="FM285" s="1325"/>
      <c r="FN285" s="1325"/>
      <c r="FO285" s="1325"/>
      <c r="FP285" s="1325"/>
      <c r="FQ285" s="1325"/>
      <c r="FR285" s="1325"/>
      <c r="FS285" s="1325"/>
      <c r="FT285" s="1325"/>
      <c r="FU285" s="1325"/>
      <c r="FV285" s="1325"/>
      <c r="FW285" s="1325"/>
      <c r="FX285" s="1325"/>
      <c r="FY285" s="1325"/>
      <c r="FZ285" s="1325"/>
      <c r="GA285" s="1325"/>
      <c r="GB285" s="1325"/>
      <c r="GC285" s="1325"/>
      <c r="GD285" s="1325"/>
      <c r="GE285" s="1325"/>
      <c r="GF285" s="1325"/>
      <c r="GG285" s="1325"/>
      <c r="GH285" s="1325"/>
      <c r="GI285" s="1325"/>
      <c r="GJ285" s="1325"/>
      <c r="GK285" s="1325"/>
      <c r="GL285" s="1325"/>
      <c r="GM285" s="1325"/>
      <c r="GN285" s="1325"/>
      <c r="GO285" s="1325"/>
      <c r="GP285" s="1325"/>
      <c r="GQ285" s="1325"/>
      <c r="GR285" s="1325"/>
      <c r="GS285" s="1325"/>
      <c r="GT285" s="1325"/>
      <c r="GU285" s="1325"/>
      <c r="GV285" s="1325"/>
      <c r="GW285" s="1325"/>
      <c r="GX285" s="1325"/>
      <c r="GY285" s="1325"/>
      <c r="GZ285" s="1325"/>
      <c r="HA285" s="1325"/>
      <c r="HB285" s="1325"/>
      <c r="HC285" s="1325"/>
      <c r="HD285" s="1325"/>
      <c r="HE285" s="1325"/>
      <c r="HF285" s="1325"/>
      <c r="HG285" s="1325"/>
      <c r="HH285" s="1325"/>
      <c r="HI285" s="1325"/>
      <c r="HJ285" s="1325"/>
      <c r="HK285" s="1325"/>
      <c r="HL285" s="1325"/>
      <c r="HM285" s="1325"/>
      <c r="HN285" s="1325"/>
      <c r="HO285" s="1325"/>
      <c r="HP285" s="1325"/>
      <c r="HQ285" s="1325"/>
      <c r="HR285" s="1325"/>
      <c r="HS285" s="1325"/>
      <c r="HT285" s="1325"/>
      <c r="HU285" s="1325"/>
      <c r="HV285" s="1325"/>
      <c r="HW285" s="1325"/>
      <c r="HX285" s="1325"/>
      <c r="HY285" s="1325"/>
      <c r="HZ285" s="1325"/>
      <c r="IA285" s="1325"/>
      <c r="IB285" s="1325"/>
      <c r="IC285" s="1325"/>
      <c r="ID285" s="1325"/>
      <c r="IE285" s="1325"/>
      <c r="IF285" s="1325"/>
      <c r="IG285" s="1325"/>
      <c r="IH285" s="1325"/>
      <c r="II285" s="1325"/>
      <c r="IJ285" s="1325"/>
      <c r="IK285" s="1325"/>
      <c r="IL285" s="1325"/>
      <c r="IM285" s="1325"/>
      <c r="IN285" s="1325"/>
      <c r="IO285" s="1325"/>
      <c r="IP285" s="1325"/>
      <c r="IQ285" s="1325"/>
      <c r="IR285" s="1325"/>
      <c r="IS285" s="1325"/>
      <c r="IT285" s="1325"/>
      <c r="IU285" s="1325"/>
      <c r="IV285" s="1325"/>
      <c r="IW285" s="1325"/>
    </row>
    <row r="286" spans="1:257" ht="26" x14ac:dyDescent="0.25">
      <c r="A286" s="145"/>
      <c r="B286" s="144" t="s">
        <v>193</v>
      </c>
      <c r="C286" s="142"/>
      <c r="D286" s="143" t="s">
        <v>15</v>
      </c>
      <c r="E286" s="142" t="s">
        <v>13</v>
      </c>
      <c r="F286" s="142" t="s">
        <v>191</v>
      </c>
      <c r="G286" s="142"/>
      <c r="H286" s="142"/>
      <c r="I286" s="142"/>
      <c r="J286" s="1326">
        <f>J287</f>
        <v>3497.6120000000001</v>
      </c>
      <c r="K286" s="1327"/>
      <c r="L286" s="1327">
        <f>L287</f>
        <v>4000</v>
      </c>
      <c r="M286" s="1328">
        <f>M287</f>
        <v>0</v>
      </c>
      <c r="N286" s="1326">
        <f t="shared" si="30"/>
        <v>2200</v>
      </c>
      <c r="O286" s="1326">
        <f t="shared" si="30"/>
        <v>4981.808</v>
      </c>
      <c r="P286" s="1329">
        <f t="shared" si="30"/>
        <v>3700</v>
      </c>
    </row>
    <row r="287" spans="1:257" ht="13" x14ac:dyDescent="0.25">
      <c r="A287" s="32"/>
      <c r="B287" s="58" t="s">
        <v>28</v>
      </c>
      <c r="C287" s="9"/>
      <c r="D287" s="88" t="s">
        <v>15</v>
      </c>
      <c r="E287" s="9" t="s">
        <v>13</v>
      </c>
      <c r="F287" s="9" t="s">
        <v>191</v>
      </c>
      <c r="G287" s="9" t="s">
        <v>26</v>
      </c>
      <c r="H287" s="9"/>
      <c r="I287" s="9"/>
      <c r="J287" s="653">
        <f>J289</f>
        <v>3497.6120000000001</v>
      </c>
      <c r="K287" s="692"/>
      <c r="L287" s="652">
        <v>4000</v>
      </c>
      <c r="M287" s="655"/>
      <c r="N287" s="653">
        <f>N289</f>
        <v>2200</v>
      </c>
      <c r="O287" s="653">
        <f>O289</f>
        <v>4981.808</v>
      </c>
      <c r="P287" s="1310">
        <f>P289</f>
        <v>3700</v>
      </c>
    </row>
    <row r="288" spans="1:257" ht="52" hidden="1" x14ac:dyDescent="0.25">
      <c r="A288" s="32"/>
      <c r="B288" s="58" t="s">
        <v>192</v>
      </c>
      <c r="C288" s="9"/>
      <c r="D288" s="88" t="s">
        <v>15</v>
      </c>
      <c r="E288" s="9" t="s">
        <v>13</v>
      </c>
      <c r="F288" s="9" t="s">
        <v>191</v>
      </c>
      <c r="G288" s="9"/>
      <c r="H288" s="9"/>
      <c r="I288" s="9" t="s">
        <v>13</v>
      </c>
      <c r="J288" s="655"/>
      <c r="K288" s="655"/>
      <c r="L288" s="655"/>
      <c r="M288" s="655"/>
      <c r="N288" s="655"/>
      <c r="O288" s="655"/>
      <c r="P288" s="1313"/>
    </row>
    <row r="289" spans="1:257" s="2" customFormat="1" ht="13" x14ac:dyDescent="0.25">
      <c r="A289" s="32"/>
      <c r="B289" s="58" t="s">
        <v>39</v>
      </c>
      <c r="C289" s="9"/>
      <c r="D289" s="88"/>
      <c r="E289" s="9"/>
      <c r="F289" s="9" t="s">
        <v>191</v>
      </c>
      <c r="G289" s="9" t="s">
        <v>26</v>
      </c>
      <c r="H289" s="9" t="s">
        <v>463</v>
      </c>
      <c r="I289" s="9" t="s">
        <v>488</v>
      </c>
      <c r="J289" s="653">
        <v>3497.6120000000001</v>
      </c>
      <c r="K289" s="655"/>
      <c r="L289" s="655"/>
      <c r="M289" s="655"/>
      <c r="N289" s="653">
        <v>2200</v>
      </c>
      <c r="O289" s="653">
        <v>4981.808</v>
      </c>
      <c r="P289" s="1310">
        <v>3700</v>
      </c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 s="2" customFormat="1" ht="39.75" customHeight="1" x14ac:dyDescent="0.25">
      <c r="A290" s="91">
        <v>7</v>
      </c>
      <c r="B290" s="132" t="s">
        <v>915</v>
      </c>
      <c r="C290" s="9"/>
      <c r="D290" s="34" t="s">
        <v>15</v>
      </c>
      <c r="E290" s="34" t="s">
        <v>32</v>
      </c>
      <c r="F290" s="34" t="s">
        <v>189</v>
      </c>
      <c r="G290" s="131"/>
      <c r="H290" s="131"/>
      <c r="I290" s="34"/>
      <c r="J290" s="51">
        <f>J291</f>
        <v>7617.2000000000007</v>
      </c>
      <c r="K290" s="131"/>
      <c r="L290" s="51">
        <f>L292+L295</f>
        <v>7617.2</v>
      </c>
      <c r="M290" s="693">
        <f>M292+M295</f>
        <v>7463.8</v>
      </c>
      <c r="N290" s="51">
        <f>N291</f>
        <v>44242.388999999996</v>
      </c>
      <c r="O290" s="51">
        <f>O291</f>
        <v>33058.639999999999</v>
      </c>
      <c r="P290" s="50">
        <f>P291</f>
        <v>34696.880000000005</v>
      </c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 s="2" customFormat="1" ht="56.5" customHeight="1" x14ac:dyDescent="0.25">
      <c r="A291" s="91"/>
      <c r="B291" s="337" t="s">
        <v>188</v>
      </c>
      <c r="C291" s="9"/>
      <c r="D291" s="34"/>
      <c r="E291" s="34"/>
      <c r="F291" s="9" t="s">
        <v>187</v>
      </c>
      <c r="G291" s="131"/>
      <c r="H291" s="131"/>
      <c r="I291" s="34"/>
      <c r="J291" s="47">
        <f>J292+J295</f>
        <v>7617.2000000000007</v>
      </c>
      <c r="K291" s="131"/>
      <c r="L291" s="51"/>
      <c r="M291" s="693"/>
      <c r="N291" s="47">
        <f>N292+N295</f>
        <v>44242.388999999996</v>
      </c>
      <c r="O291" s="47">
        <f>O292+O295</f>
        <v>33058.639999999999</v>
      </c>
      <c r="P291" s="46">
        <f>P292+P295</f>
        <v>34696.880000000005</v>
      </c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 s="2" customFormat="1" ht="39" x14ac:dyDescent="0.25">
      <c r="A292" s="32"/>
      <c r="B292" s="49" t="s">
        <v>186</v>
      </c>
      <c r="C292" s="9"/>
      <c r="D292" s="34" t="s">
        <v>15</v>
      </c>
      <c r="E292" s="34" t="s">
        <v>32</v>
      </c>
      <c r="F292" s="9" t="s">
        <v>185</v>
      </c>
      <c r="G292" s="9"/>
      <c r="H292" s="9"/>
      <c r="I292" s="34"/>
      <c r="J292" s="653">
        <f>J293</f>
        <v>5253.4660000000003</v>
      </c>
      <c r="K292" s="655"/>
      <c r="L292" s="655">
        <f>L293</f>
        <v>5406.2</v>
      </c>
      <c r="M292" s="655">
        <f>M293</f>
        <v>5230.3</v>
      </c>
      <c r="N292" s="653">
        <f>N293</f>
        <v>23803.393</v>
      </c>
      <c r="O292" s="653">
        <f>O293</f>
        <v>2500</v>
      </c>
      <c r="P292" s="1310">
        <f>P293</f>
        <v>2800</v>
      </c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 s="2" customFormat="1" ht="25.15" customHeight="1" x14ac:dyDescent="0.25">
      <c r="A293" s="32"/>
      <c r="B293" s="1312" t="s">
        <v>4</v>
      </c>
      <c r="C293" s="9"/>
      <c r="D293" s="9" t="s">
        <v>15</v>
      </c>
      <c r="E293" s="9" t="s">
        <v>32</v>
      </c>
      <c r="F293" s="9" t="s">
        <v>185</v>
      </c>
      <c r="G293" s="9" t="s">
        <v>1</v>
      </c>
      <c r="H293" s="9"/>
      <c r="I293" s="9"/>
      <c r="J293" s="653">
        <f>J294</f>
        <v>5253.4660000000003</v>
      </c>
      <c r="K293" s="655"/>
      <c r="L293" s="653">
        <v>5406.2</v>
      </c>
      <c r="M293" s="653">
        <v>5230.3</v>
      </c>
      <c r="N293" s="653">
        <f>N294</f>
        <v>23803.393</v>
      </c>
      <c r="O293" s="653">
        <f>O294</f>
        <v>2500</v>
      </c>
      <c r="P293" s="1310">
        <f>P294</f>
        <v>2800</v>
      </c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 s="2" customFormat="1" ht="13" x14ac:dyDescent="0.3">
      <c r="A294" s="32"/>
      <c r="B294" s="1287" t="s">
        <v>34</v>
      </c>
      <c r="C294" s="9"/>
      <c r="D294" s="9"/>
      <c r="E294" s="9"/>
      <c r="F294" s="9" t="s">
        <v>185</v>
      </c>
      <c r="G294" s="9" t="s">
        <v>1</v>
      </c>
      <c r="H294" s="9" t="s">
        <v>463</v>
      </c>
      <c r="I294" s="9" t="s">
        <v>495</v>
      </c>
      <c r="J294" s="653">
        <v>5253.4660000000003</v>
      </c>
      <c r="K294" s="655"/>
      <c r="L294" s="653"/>
      <c r="M294" s="653"/>
      <c r="N294" s="653">
        <v>23803.393</v>
      </c>
      <c r="O294" s="653">
        <v>2500</v>
      </c>
      <c r="P294" s="1310">
        <v>2800</v>
      </c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 s="2" customFormat="1" ht="39" x14ac:dyDescent="0.25">
      <c r="A295" s="32"/>
      <c r="B295" s="49" t="s">
        <v>184</v>
      </c>
      <c r="C295" s="9"/>
      <c r="D295" s="34" t="s">
        <v>15</v>
      </c>
      <c r="E295" s="34" t="s">
        <v>32</v>
      </c>
      <c r="F295" s="9" t="s">
        <v>183</v>
      </c>
      <c r="G295" s="9"/>
      <c r="H295" s="9"/>
      <c r="I295" s="34"/>
      <c r="J295" s="653">
        <f>J296</f>
        <v>2363.7339999999999</v>
      </c>
      <c r="K295" s="650"/>
      <c r="L295" s="650">
        <f>L296</f>
        <v>2211</v>
      </c>
      <c r="M295" s="650">
        <f>M296</f>
        <v>2233.5</v>
      </c>
      <c r="N295" s="653">
        <f>N296</f>
        <v>20438.995999999999</v>
      </c>
      <c r="O295" s="653">
        <f>O296</f>
        <v>30558.639999999999</v>
      </c>
      <c r="P295" s="1310">
        <f>P296</f>
        <v>31896.880000000001</v>
      </c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 s="2" customFormat="1" ht="25.15" customHeight="1" x14ac:dyDescent="0.25">
      <c r="A296" s="32"/>
      <c r="B296" s="1312" t="s">
        <v>4</v>
      </c>
      <c r="C296" s="9"/>
      <c r="D296" s="9" t="s">
        <v>15</v>
      </c>
      <c r="E296" s="9" t="s">
        <v>32</v>
      </c>
      <c r="F296" s="9" t="s">
        <v>183</v>
      </c>
      <c r="G296" s="9" t="s">
        <v>1</v>
      </c>
      <c r="H296" s="9"/>
      <c r="I296" s="9"/>
      <c r="J296" s="653">
        <f>J298</f>
        <v>2363.7339999999999</v>
      </c>
      <c r="K296" s="650"/>
      <c r="L296" s="650">
        <v>2211</v>
      </c>
      <c r="M296" s="650">
        <v>2233.5</v>
      </c>
      <c r="N296" s="653">
        <f>N298</f>
        <v>20438.995999999999</v>
      </c>
      <c r="O296" s="653">
        <f>O298</f>
        <v>30558.639999999999</v>
      </c>
      <c r="P296" s="1310">
        <f>P298</f>
        <v>31896.880000000001</v>
      </c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 s="2" customFormat="1" ht="18.649999999999999" hidden="1" customHeight="1" x14ac:dyDescent="0.3">
      <c r="A297" s="32"/>
      <c r="B297" s="1318"/>
      <c r="C297" s="9"/>
      <c r="D297" s="9"/>
      <c r="E297" s="9"/>
      <c r="F297" s="9"/>
      <c r="G297" s="9"/>
      <c r="H297" s="9"/>
      <c r="I297" s="9"/>
      <c r="J297" s="653"/>
      <c r="K297" s="650"/>
      <c r="L297" s="650"/>
      <c r="M297" s="650"/>
      <c r="N297" s="653"/>
      <c r="O297" s="653"/>
      <c r="P297" s="1310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 s="2" customFormat="1" ht="13" x14ac:dyDescent="0.3">
      <c r="A298" s="32"/>
      <c r="B298" s="1287" t="s">
        <v>34</v>
      </c>
      <c r="C298" s="9"/>
      <c r="D298" s="9"/>
      <c r="E298" s="9"/>
      <c r="F298" s="9" t="s">
        <v>183</v>
      </c>
      <c r="G298" s="9" t="s">
        <v>1</v>
      </c>
      <c r="H298" s="9" t="s">
        <v>463</v>
      </c>
      <c r="I298" s="9" t="s">
        <v>495</v>
      </c>
      <c r="J298" s="653">
        <v>2363.7339999999999</v>
      </c>
      <c r="K298" s="650"/>
      <c r="L298" s="650"/>
      <c r="M298" s="650"/>
      <c r="N298" s="653">
        <v>20438.995999999999</v>
      </c>
      <c r="O298" s="653">
        <v>30558.639999999999</v>
      </c>
      <c r="P298" s="1310">
        <v>31896.880000000001</v>
      </c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 s="2" customFormat="1" ht="65" x14ac:dyDescent="0.25">
      <c r="A299" s="91">
        <v>8</v>
      </c>
      <c r="B299" s="1330" t="s">
        <v>928</v>
      </c>
      <c r="C299" s="9"/>
      <c r="D299" s="9"/>
      <c r="E299" s="9"/>
      <c r="F299" s="34" t="s">
        <v>181</v>
      </c>
      <c r="G299" s="9"/>
      <c r="H299" s="9"/>
      <c r="I299" s="9"/>
      <c r="J299" s="653"/>
      <c r="K299" s="650"/>
      <c r="L299" s="650"/>
      <c r="M299" s="650"/>
      <c r="N299" s="650">
        <f>N300</f>
        <v>3648.4989999999998</v>
      </c>
      <c r="O299" s="650">
        <f>O300</f>
        <v>3608.5</v>
      </c>
      <c r="P299" s="1313">
        <f>P300</f>
        <v>3275.5</v>
      </c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 s="2" customFormat="1" ht="39" x14ac:dyDescent="0.25">
      <c r="A300" s="32"/>
      <c r="B300" s="347" t="s">
        <v>180</v>
      </c>
      <c r="C300" s="9"/>
      <c r="D300" s="9"/>
      <c r="E300" s="9"/>
      <c r="F300" s="9" t="s">
        <v>179</v>
      </c>
      <c r="G300" s="9"/>
      <c r="H300" s="9"/>
      <c r="I300" s="9"/>
      <c r="J300" s="653"/>
      <c r="K300" s="650"/>
      <c r="L300" s="650"/>
      <c r="M300" s="650"/>
      <c r="N300" s="653">
        <f>N304+N301</f>
        <v>3648.4989999999998</v>
      </c>
      <c r="O300" s="653">
        <f>O304+O301</f>
        <v>3608.5</v>
      </c>
      <c r="P300" s="1310">
        <f>P304+P301</f>
        <v>3275.5</v>
      </c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 s="2" customFormat="1" ht="39" x14ac:dyDescent="0.25">
      <c r="A301" s="32"/>
      <c r="B301" s="337" t="s">
        <v>23</v>
      </c>
      <c r="C301" s="9"/>
      <c r="D301" s="9"/>
      <c r="E301" s="9"/>
      <c r="F301" s="9" t="s">
        <v>178</v>
      </c>
      <c r="G301" s="9"/>
      <c r="H301" s="9"/>
      <c r="I301" s="9"/>
      <c r="J301" s="653"/>
      <c r="K301" s="650"/>
      <c r="L301" s="650"/>
      <c r="M301" s="650"/>
      <c r="N301" s="653">
        <f t="shared" ref="N301:P302" si="31">N302</f>
        <v>3282.5</v>
      </c>
      <c r="O301" s="653">
        <f t="shared" si="31"/>
        <v>3608.5</v>
      </c>
      <c r="P301" s="1310">
        <f t="shared" si="31"/>
        <v>3275.5</v>
      </c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 s="2" customFormat="1" ht="26" x14ac:dyDescent="0.25">
      <c r="A302" s="32"/>
      <c r="B302" s="1312" t="s">
        <v>4</v>
      </c>
      <c r="C302" s="9"/>
      <c r="D302" s="9"/>
      <c r="E302" s="9"/>
      <c r="F302" s="9" t="s">
        <v>178</v>
      </c>
      <c r="G302" s="9" t="s">
        <v>1</v>
      </c>
      <c r="H302" s="9"/>
      <c r="I302" s="9"/>
      <c r="J302" s="653"/>
      <c r="K302" s="650"/>
      <c r="L302" s="650"/>
      <c r="M302" s="650"/>
      <c r="N302" s="653">
        <f t="shared" si="31"/>
        <v>3282.5</v>
      </c>
      <c r="O302" s="653">
        <f t="shared" si="31"/>
        <v>3608.5</v>
      </c>
      <c r="P302" s="1310">
        <f t="shared" si="31"/>
        <v>3275.5</v>
      </c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 s="2" customFormat="1" ht="13" x14ac:dyDescent="0.3">
      <c r="A303" s="32"/>
      <c r="B303" s="1287" t="s">
        <v>39</v>
      </c>
      <c r="C303" s="9"/>
      <c r="D303" s="9"/>
      <c r="E303" s="9"/>
      <c r="F303" s="9" t="s">
        <v>178</v>
      </c>
      <c r="G303" s="9" t="s">
        <v>1</v>
      </c>
      <c r="H303" s="9" t="s">
        <v>463</v>
      </c>
      <c r="I303" s="9" t="s">
        <v>488</v>
      </c>
      <c r="J303" s="653"/>
      <c r="K303" s="650"/>
      <c r="L303" s="650"/>
      <c r="M303" s="650"/>
      <c r="N303" s="653">
        <f>3250+32.5</f>
        <v>3282.5</v>
      </c>
      <c r="O303" s="653">
        <v>3608.5</v>
      </c>
      <c r="P303" s="1310">
        <v>3275.5</v>
      </c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 s="2" customFormat="1" ht="26" x14ac:dyDescent="0.25">
      <c r="A304" s="32"/>
      <c r="B304" s="328" t="s">
        <v>40</v>
      </c>
      <c r="C304" s="9"/>
      <c r="D304" s="9"/>
      <c r="E304" s="9"/>
      <c r="F304" s="9" t="s">
        <v>177</v>
      </c>
      <c r="G304" s="9"/>
      <c r="H304" s="9"/>
      <c r="I304" s="9"/>
      <c r="J304" s="653"/>
      <c r="K304" s="650"/>
      <c r="L304" s="650"/>
      <c r="M304" s="650"/>
      <c r="N304" s="653">
        <f t="shared" ref="N304:P305" si="32">N305</f>
        <v>365.99900000000002</v>
      </c>
      <c r="O304" s="653">
        <f t="shared" si="32"/>
        <v>0</v>
      </c>
      <c r="P304" s="1310">
        <f t="shared" si="32"/>
        <v>0</v>
      </c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16" ht="26" x14ac:dyDescent="0.25">
      <c r="A305" s="32"/>
      <c r="B305" s="1312" t="s">
        <v>4</v>
      </c>
      <c r="C305" s="9"/>
      <c r="D305" s="9"/>
      <c r="E305" s="9"/>
      <c r="F305" s="9" t="s">
        <v>177</v>
      </c>
      <c r="G305" s="9" t="s">
        <v>1</v>
      </c>
      <c r="H305" s="9"/>
      <c r="I305" s="9"/>
      <c r="J305" s="653"/>
      <c r="K305" s="650"/>
      <c r="L305" s="650"/>
      <c r="M305" s="650"/>
      <c r="N305" s="653">
        <f t="shared" si="32"/>
        <v>365.99900000000002</v>
      </c>
      <c r="O305" s="653">
        <f t="shared" si="32"/>
        <v>0</v>
      </c>
      <c r="P305" s="1310">
        <f t="shared" si="32"/>
        <v>0</v>
      </c>
    </row>
    <row r="306" spans="1:16" ht="13" x14ac:dyDescent="0.3">
      <c r="A306" s="32"/>
      <c r="B306" s="1287" t="s">
        <v>39</v>
      </c>
      <c r="C306" s="9"/>
      <c r="D306" s="9"/>
      <c r="E306" s="9"/>
      <c r="F306" s="9" t="s">
        <v>177</v>
      </c>
      <c r="G306" s="9" t="s">
        <v>1</v>
      </c>
      <c r="H306" s="9" t="s">
        <v>463</v>
      </c>
      <c r="I306" s="9" t="s">
        <v>488</v>
      </c>
      <c r="J306" s="653"/>
      <c r="K306" s="650"/>
      <c r="L306" s="650"/>
      <c r="M306" s="650"/>
      <c r="N306" s="653">
        <f>85+280.199+0.8</f>
        <v>365.99900000000002</v>
      </c>
      <c r="O306" s="653"/>
      <c r="P306" s="1310"/>
    </row>
    <row r="307" spans="1:16" ht="55.15" hidden="1" customHeight="1" x14ac:dyDescent="0.25">
      <c r="A307" s="91">
        <v>9</v>
      </c>
      <c r="B307" s="134" t="s">
        <v>176</v>
      </c>
      <c r="C307" s="34"/>
      <c r="D307" s="94" t="s">
        <v>15</v>
      </c>
      <c r="E307" s="34" t="s">
        <v>32</v>
      </c>
      <c r="F307" s="34" t="s">
        <v>175</v>
      </c>
      <c r="G307" s="131"/>
      <c r="H307" s="131"/>
      <c r="I307" s="34"/>
      <c r="J307" s="51">
        <f>J308</f>
        <v>3000</v>
      </c>
      <c r="K307" s="51"/>
      <c r="L307" s="51">
        <f>L309</f>
        <v>6008.35</v>
      </c>
      <c r="M307" s="51">
        <f>M309</f>
        <v>8515.7049999999999</v>
      </c>
      <c r="N307" s="51">
        <f t="shared" ref="N307:P309" si="33">N308</f>
        <v>3000</v>
      </c>
      <c r="O307" s="51">
        <f t="shared" si="33"/>
        <v>0</v>
      </c>
      <c r="P307" s="50">
        <f t="shared" si="33"/>
        <v>0</v>
      </c>
    </row>
    <row r="308" spans="1:16" ht="39.5" hidden="1" thickBot="1" x14ac:dyDescent="0.3">
      <c r="A308" s="91"/>
      <c r="B308" s="337" t="s">
        <v>174</v>
      </c>
      <c r="C308" s="34"/>
      <c r="D308" s="94"/>
      <c r="E308" s="34"/>
      <c r="F308" s="9" t="s">
        <v>173</v>
      </c>
      <c r="G308" s="48"/>
      <c r="H308" s="48"/>
      <c r="I308" s="9"/>
      <c r="J308" s="47">
        <f>J309</f>
        <v>3000</v>
      </c>
      <c r="K308" s="51"/>
      <c r="L308" s="51"/>
      <c r="M308" s="51"/>
      <c r="N308" s="47">
        <f t="shared" si="33"/>
        <v>3000</v>
      </c>
      <c r="O308" s="47">
        <f t="shared" si="33"/>
        <v>0</v>
      </c>
      <c r="P308" s="46">
        <f t="shared" si="33"/>
        <v>0</v>
      </c>
    </row>
    <row r="309" spans="1:16" ht="26.5" hidden="1" thickBot="1" x14ac:dyDescent="0.3">
      <c r="A309" s="32"/>
      <c r="B309" s="133" t="s">
        <v>172</v>
      </c>
      <c r="C309" s="9"/>
      <c r="D309" s="88" t="s">
        <v>15</v>
      </c>
      <c r="E309" s="9" t="s">
        <v>32</v>
      </c>
      <c r="F309" s="9" t="s">
        <v>159</v>
      </c>
      <c r="G309" s="9"/>
      <c r="H309" s="9"/>
      <c r="I309" s="9"/>
      <c r="J309" s="653">
        <f>J310</f>
        <v>3000</v>
      </c>
      <c r="K309" s="655"/>
      <c r="L309" s="650">
        <f>L310</f>
        <v>6008.35</v>
      </c>
      <c r="M309" s="650">
        <f>M310</f>
        <v>8515.7049999999999</v>
      </c>
      <c r="N309" s="653">
        <f t="shared" si="33"/>
        <v>3000</v>
      </c>
      <c r="O309" s="653">
        <f t="shared" si="33"/>
        <v>0</v>
      </c>
      <c r="P309" s="1310">
        <f t="shared" si="33"/>
        <v>0</v>
      </c>
    </row>
    <row r="310" spans="1:16" ht="12.65" hidden="1" customHeight="1" x14ac:dyDescent="0.3">
      <c r="A310" s="32"/>
      <c r="B310" s="1318" t="s">
        <v>16</v>
      </c>
      <c r="C310" s="9"/>
      <c r="D310" s="88" t="s">
        <v>15</v>
      </c>
      <c r="E310" s="9" t="s">
        <v>32</v>
      </c>
      <c r="F310" s="9" t="s">
        <v>159</v>
      </c>
      <c r="G310" s="9" t="s">
        <v>1</v>
      </c>
      <c r="H310" s="9"/>
      <c r="I310" s="9"/>
      <c r="J310" s="653">
        <f>J316</f>
        <v>3000</v>
      </c>
      <c r="K310" s="655"/>
      <c r="L310" s="650">
        <v>6008.35</v>
      </c>
      <c r="M310" s="650">
        <v>8515.7049999999999</v>
      </c>
      <c r="N310" s="653">
        <f>N316</f>
        <v>3000</v>
      </c>
      <c r="O310" s="653">
        <f>O316</f>
        <v>0</v>
      </c>
      <c r="P310" s="1310">
        <f>P316</f>
        <v>0</v>
      </c>
    </row>
    <row r="311" spans="1:16" ht="44.25" hidden="1" customHeight="1" x14ac:dyDescent="0.25">
      <c r="A311" s="32"/>
      <c r="B311" s="52" t="s">
        <v>171</v>
      </c>
      <c r="C311" s="9"/>
      <c r="D311" s="34" t="s">
        <v>168</v>
      </c>
      <c r="E311" s="34" t="s">
        <v>166</v>
      </c>
      <c r="F311" s="34" t="s">
        <v>170</v>
      </c>
      <c r="G311" s="131"/>
      <c r="H311" s="131"/>
      <c r="I311" s="34" t="s">
        <v>166</v>
      </c>
      <c r="J311" s="48"/>
      <c r="K311" s="131"/>
      <c r="L311" s="2"/>
      <c r="M311" s="24"/>
      <c r="N311" s="48"/>
      <c r="O311" s="48"/>
      <c r="P311" s="46"/>
    </row>
    <row r="312" spans="1:16" ht="39.5" hidden="1" thickBot="1" x14ac:dyDescent="0.3">
      <c r="A312" s="32"/>
      <c r="B312" s="49" t="s">
        <v>169</v>
      </c>
      <c r="C312" s="9"/>
      <c r="D312" s="9" t="s">
        <v>168</v>
      </c>
      <c r="E312" s="9" t="s">
        <v>166</v>
      </c>
      <c r="F312" s="9" t="s">
        <v>167</v>
      </c>
      <c r="G312" s="88"/>
      <c r="H312" s="88"/>
      <c r="I312" s="9" t="s">
        <v>166</v>
      </c>
      <c r="J312" s="656"/>
      <c r="K312" s="656"/>
      <c r="L312" s="656"/>
      <c r="M312" s="656"/>
      <c r="N312" s="656"/>
      <c r="O312" s="656"/>
      <c r="P312" s="1310"/>
    </row>
    <row r="313" spans="1:16" ht="42.75" hidden="1" customHeight="1" x14ac:dyDescent="0.25">
      <c r="A313" s="32"/>
      <c r="B313" s="132" t="s">
        <v>165</v>
      </c>
      <c r="C313" s="34"/>
      <c r="D313" s="94" t="s">
        <v>15</v>
      </c>
      <c r="E313" s="34" t="s">
        <v>13</v>
      </c>
      <c r="F313" s="34" t="s">
        <v>164</v>
      </c>
      <c r="G313" s="131"/>
      <c r="H313" s="131"/>
      <c r="I313" s="34" t="s">
        <v>13</v>
      </c>
      <c r="J313" s="48"/>
      <c r="K313" s="130"/>
      <c r="L313" s="2"/>
      <c r="M313" s="13"/>
      <c r="N313" s="48"/>
      <c r="O313" s="48"/>
      <c r="P313" s="46"/>
    </row>
    <row r="314" spans="1:16" ht="72.75" hidden="1" customHeight="1" x14ac:dyDescent="0.25">
      <c r="A314" s="32"/>
      <c r="B314" s="49" t="s">
        <v>163</v>
      </c>
      <c r="C314" s="9"/>
      <c r="D314" s="88" t="s">
        <v>15</v>
      </c>
      <c r="E314" s="9" t="s">
        <v>13</v>
      </c>
      <c r="F314" s="9" t="s">
        <v>162</v>
      </c>
      <c r="G314" s="9"/>
      <c r="H314" s="9"/>
      <c r="I314" s="9" t="s">
        <v>13</v>
      </c>
      <c r="J314" s="656"/>
      <c r="K314" s="655"/>
      <c r="L314" s="655"/>
      <c r="M314" s="655"/>
      <c r="N314" s="656"/>
      <c r="O314" s="656"/>
      <c r="P314" s="1310"/>
    </row>
    <row r="315" spans="1:16" ht="57" hidden="1" customHeight="1" x14ac:dyDescent="0.25">
      <c r="A315" s="32"/>
      <c r="B315" s="58" t="s">
        <v>161</v>
      </c>
      <c r="C315" s="34"/>
      <c r="D315" s="88" t="s">
        <v>15</v>
      </c>
      <c r="E315" s="9" t="s">
        <v>13</v>
      </c>
      <c r="F315" s="9" t="s">
        <v>160</v>
      </c>
      <c r="G315" s="9"/>
      <c r="H315" s="9"/>
      <c r="I315" s="9" t="s">
        <v>13</v>
      </c>
      <c r="J315" s="656"/>
      <c r="K315" s="655"/>
      <c r="L315" s="655"/>
      <c r="M315" s="655"/>
      <c r="N315" s="656"/>
      <c r="O315" s="656"/>
      <c r="P315" s="1310"/>
    </row>
    <row r="316" spans="1:16" ht="13.5" hidden="1" thickBot="1" x14ac:dyDescent="0.35">
      <c r="A316" s="32"/>
      <c r="B316" s="1507" t="s">
        <v>34</v>
      </c>
      <c r="C316" s="1508"/>
      <c r="D316" s="1509" t="s">
        <v>15</v>
      </c>
      <c r="E316" s="1508" t="s">
        <v>32</v>
      </c>
      <c r="F316" s="1508" t="s">
        <v>159</v>
      </c>
      <c r="G316" s="1508" t="s">
        <v>1</v>
      </c>
      <c r="H316" s="1508"/>
      <c r="I316" s="1508" t="s">
        <v>32</v>
      </c>
      <c r="J316" s="653">
        <v>3000</v>
      </c>
      <c r="K316" s="655"/>
      <c r="L316" s="650">
        <v>6008.35</v>
      </c>
      <c r="M316" s="650">
        <v>8515.7049999999999</v>
      </c>
      <c r="N316" s="653">
        <v>3000</v>
      </c>
      <c r="O316" s="653">
        <v>0</v>
      </c>
      <c r="P316" s="1310">
        <v>0</v>
      </c>
    </row>
    <row r="317" spans="1:16" ht="52" x14ac:dyDescent="0.25">
      <c r="A317" s="1504">
        <v>9</v>
      </c>
      <c r="B317" s="1510" t="s">
        <v>949</v>
      </c>
      <c r="C317" s="9"/>
      <c r="D317" s="9"/>
      <c r="E317" s="9"/>
      <c r="F317" s="1511" t="s">
        <v>952</v>
      </c>
      <c r="G317" s="1511"/>
      <c r="H317" s="1511"/>
      <c r="I317" s="1511"/>
      <c r="J317" s="1087"/>
      <c r="K317" s="1064"/>
      <c r="L317" s="1064"/>
      <c r="M317" s="1064"/>
      <c r="N317" s="939">
        <f>N318+N323</f>
        <v>0</v>
      </c>
      <c r="O317" s="1286">
        <f>O318+O323</f>
        <v>1265</v>
      </c>
      <c r="P317" s="1310">
        <f>P318+P323</f>
        <v>1391.5</v>
      </c>
    </row>
    <row r="318" spans="1:16" ht="39" x14ac:dyDescent="0.25">
      <c r="A318" s="1505"/>
      <c r="B318" s="1512" t="s">
        <v>947</v>
      </c>
      <c r="C318" s="9"/>
      <c r="D318" s="9"/>
      <c r="E318" s="9"/>
      <c r="F318" s="1513" t="s">
        <v>953</v>
      </c>
      <c r="G318" s="1513"/>
      <c r="H318" s="1513"/>
      <c r="I318" s="1513"/>
      <c r="J318" s="1087"/>
      <c r="K318" s="1064"/>
      <c r="L318" s="1064"/>
      <c r="M318" s="1064"/>
      <c r="N318" s="939">
        <f t="shared" ref="N318:P321" si="34">N319</f>
        <v>0</v>
      </c>
      <c r="O318" s="1286">
        <f t="shared" si="34"/>
        <v>880</v>
      </c>
      <c r="P318" s="1310">
        <f t="shared" si="34"/>
        <v>968</v>
      </c>
    </row>
    <row r="319" spans="1:16" ht="34.5" x14ac:dyDescent="0.25">
      <c r="A319" s="1505"/>
      <c r="B319" s="35" t="s">
        <v>950</v>
      </c>
      <c r="C319" s="9"/>
      <c r="D319" s="9"/>
      <c r="E319" s="9"/>
      <c r="F319" s="1514" t="s">
        <v>954</v>
      </c>
      <c r="G319" s="1514"/>
      <c r="H319" s="1514"/>
      <c r="I319" s="1514"/>
      <c r="J319" s="1087"/>
      <c r="K319" s="1064"/>
      <c r="L319" s="1064"/>
      <c r="M319" s="1064"/>
      <c r="N319" s="939">
        <f t="shared" si="34"/>
        <v>0</v>
      </c>
      <c r="O319" s="1286">
        <f t="shared" si="34"/>
        <v>880</v>
      </c>
      <c r="P319" s="1310">
        <f t="shared" si="34"/>
        <v>968</v>
      </c>
    </row>
    <row r="320" spans="1:16" ht="23" x14ac:dyDescent="0.25">
      <c r="A320" s="1505"/>
      <c r="B320" s="1515" t="s">
        <v>948</v>
      </c>
      <c r="C320" s="9"/>
      <c r="D320" s="9"/>
      <c r="E320" s="9"/>
      <c r="F320" s="1514" t="s">
        <v>954</v>
      </c>
      <c r="G320" s="1514" t="s">
        <v>955</v>
      </c>
      <c r="H320" s="1514"/>
      <c r="I320" s="1514"/>
      <c r="J320" s="1087"/>
      <c r="K320" s="1064"/>
      <c r="L320" s="1064"/>
      <c r="M320" s="1064"/>
      <c r="N320" s="939">
        <f t="shared" si="34"/>
        <v>0</v>
      </c>
      <c r="O320" s="1286">
        <f t="shared" si="34"/>
        <v>880</v>
      </c>
      <c r="P320" s="1310">
        <f t="shared" si="34"/>
        <v>968</v>
      </c>
    </row>
    <row r="321" spans="1:24" ht="23" x14ac:dyDescent="0.25">
      <c r="A321" s="1505"/>
      <c r="B321" s="1516" t="s">
        <v>454</v>
      </c>
      <c r="C321" s="9"/>
      <c r="D321" s="9"/>
      <c r="E321" s="9"/>
      <c r="F321" s="1514" t="s">
        <v>954</v>
      </c>
      <c r="G321" s="1517" t="s">
        <v>1</v>
      </c>
      <c r="H321" s="1514"/>
      <c r="I321" s="1514"/>
      <c r="J321" s="1087"/>
      <c r="K321" s="1064"/>
      <c r="L321" s="1064"/>
      <c r="M321" s="1064"/>
      <c r="N321" s="939">
        <f t="shared" si="34"/>
        <v>0</v>
      </c>
      <c r="O321" s="1286">
        <f t="shared" si="34"/>
        <v>880</v>
      </c>
      <c r="P321" s="1310">
        <f t="shared" si="34"/>
        <v>968</v>
      </c>
    </row>
    <row r="322" spans="1:24" ht="13" x14ac:dyDescent="0.25">
      <c r="A322" s="1505"/>
      <c r="B322" s="1516" t="s">
        <v>34</v>
      </c>
      <c r="C322" s="9"/>
      <c r="D322" s="9"/>
      <c r="E322" s="9"/>
      <c r="F322" s="1514" t="s">
        <v>954</v>
      </c>
      <c r="G322" s="1517" t="s">
        <v>1</v>
      </c>
      <c r="H322" s="1514" t="s">
        <v>463</v>
      </c>
      <c r="I322" s="1514" t="s">
        <v>495</v>
      </c>
      <c r="J322" s="1087"/>
      <c r="K322" s="1064"/>
      <c r="L322" s="1064"/>
      <c r="M322" s="1064"/>
      <c r="N322" s="939"/>
      <c r="O322" s="1286">
        <v>880</v>
      </c>
      <c r="P322" s="1310">
        <v>968</v>
      </c>
    </row>
    <row r="323" spans="1:24" ht="39" x14ac:dyDescent="0.25">
      <c r="A323" s="1505"/>
      <c r="B323" s="1512" t="s">
        <v>951</v>
      </c>
      <c r="C323" s="9"/>
      <c r="D323" s="9"/>
      <c r="E323" s="9"/>
      <c r="F323" s="1513" t="s">
        <v>956</v>
      </c>
      <c r="G323" s="1513"/>
      <c r="H323" s="1513"/>
      <c r="I323" s="1513"/>
      <c r="J323" s="1087"/>
      <c r="K323" s="1064"/>
      <c r="L323" s="1064"/>
      <c r="M323" s="1064"/>
      <c r="N323" s="939">
        <f>N324</f>
        <v>0</v>
      </c>
      <c r="O323" s="1286">
        <f>O324</f>
        <v>385</v>
      </c>
      <c r="P323" s="1310">
        <f>P324</f>
        <v>423.5</v>
      </c>
    </row>
    <row r="324" spans="1:24" ht="34.5" x14ac:dyDescent="0.25">
      <c r="A324" s="1505"/>
      <c r="B324" s="1515" t="s">
        <v>950</v>
      </c>
      <c r="C324" s="9"/>
      <c r="D324" s="9"/>
      <c r="E324" s="9"/>
      <c r="F324" s="1514" t="s">
        <v>957</v>
      </c>
      <c r="G324" s="1514"/>
      <c r="H324" s="1514"/>
      <c r="I324" s="1514"/>
      <c r="J324" s="1087"/>
      <c r="K324" s="1064"/>
      <c r="L324" s="1064"/>
      <c r="M324" s="1064"/>
      <c r="N324" s="939">
        <f t="shared" ref="N324:P326" si="35">N325</f>
        <v>0</v>
      </c>
      <c r="O324" s="1286">
        <f t="shared" si="35"/>
        <v>385</v>
      </c>
      <c r="P324" s="1310">
        <f t="shared" si="35"/>
        <v>423.5</v>
      </c>
    </row>
    <row r="325" spans="1:24" ht="23" x14ac:dyDescent="0.25">
      <c r="A325" s="1505"/>
      <c r="B325" s="1515" t="s">
        <v>948</v>
      </c>
      <c r="C325" s="9"/>
      <c r="D325" s="9"/>
      <c r="E325" s="9"/>
      <c r="F325" s="1514" t="s">
        <v>957</v>
      </c>
      <c r="G325" s="1514" t="s">
        <v>955</v>
      </c>
      <c r="H325" s="1514"/>
      <c r="I325" s="1514"/>
      <c r="J325" s="1087"/>
      <c r="K325" s="1064"/>
      <c r="L325" s="1064"/>
      <c r="M325" s="1064"/>
      <c r="N325" s="939">
        <f t="shared" si="35"/>
        <v>0</v>
      </c>
      <c r="O325" s="1286">
        <f t="shared" si="35"/>
        <v>385</v>
      </c>
      <c r="P325" s="1310">
        <f t="shared" si="35"/>
        <v>423.5</v>
      </c>
    </row>
    <row r="326" spans="1:24" ht="23" x14ac:dyDescent="0.25">
      <c r="A326" s="1505"/>
      <c r="B326" s="1516" t="s">
        <v>454</v>
      </c>
      <c r="C326" s="9"/>
      <c r="D326" s="9"/>
      <c r="E326" s="9"/>
      <c r="F326" s="1514" t="s">
        <v>957</v>
      </c>
      <c r="G326" s="1517" t="s">
        <v>1</v>
      </c>
      <c r="H326" s="1514"/>
      <c r="I326" s="1514"/>
      <c r="J326" s="1087"/>
      <c r="K326" s="1064"/>
      <c r="L326" s="1064"/>
      <c r="M326" s="1064"/>
      <c r="N326" s="939">
        <f t="shared" si="35"/>
        <v>0</v>
      </c>
      <c r="O326" s="1286">
        <f t="shared" si="35"/>
        <v>385</v>
      </c>
      <c r="P326" s="1310">
        <f t="shared" si="35"/>
        <v>423.5</v>
      </c>
    </row>
    <row r="327" spans="1:24" ht="13" x14ac:dyDescent="0.25">
      <c r="A327" s="1505"/>
      <c r="B327" s="1516" t="s">
        <v>34</v>
      </c>
      <c r="C327" s="9"/>
      <c r="D327" s="9"/>
      <c r="E327" s="9"/>
      <c r="F327" s="1514" t="s">
        <v>957</v>
      </c>
      <c r="G327" s="1517" t="s">
        <v>1</v>
      </c>
      <c r="H327" s="1514" t="s">
        <v>463</v>
      </c>
      <c r="I327" s="1514" t="s">
        <v>495</v>
      </c>
      <c r="J327" s="1087"/>
      <c r="K327" s="1064"/>
      <c r="L327" s="1064"/>
      <c r="M327" s="1064"/>
      <c r="N327" s="939"/>
      <c r="O327" s="1286">
        <v>385</v>
      </c>
      <c r="P327" s="1310">
        <v>423.5</v>
      </c>
    </row>
    <row r="328" spans="1:24" ht="16.5" customHeight="1" x14ac:dyDescent="0.25">
      <c r="A328" s="1505"/>
      <c r="B328" s="1518" t="s">
        <v>158</v>
      </c>
      <c r="C328" s="34"/>
      <c r="D328" s="88"/>
      <c r="E328" s="9"/>
      <c r="F328" s="9"/>
      <c r="G328" s="9"/>
      <c r="H328" s="9"/>
      <c r="I328" s="9"/>
      <c r="J328" s="1506">
        <f>J329+J400+J410</f>
        <v>47038.588000000003</v>
      </c>
      <c r="K328" s="655"/>
      <c r="L328" s="650">
        <f>L329+L400+L410</f>
        <v>28148.264999999999</v>
      </c>
      <c r="M328" s="650">
        <f>M329+M400+M410</f>
        <v>29104.548000000003</v>
      </c>
      <c r="N328" s="1331">
        <f>N329+N400+N410</f>
        <v>31840.712</v>
      </c>
      <c r="O328" s="1331">
        <f>O334+O339+O340+O343+O345+O382+O384+O399+O405+O409+O418+O424+O436+O442+O484+O487+O489+O495+O498+O492+O479</f>
        <v>33462.57699999999</v>
      </c>
      <c r="P328" s="1332">
        <f>P334+P339+P340+P343+P345+P382+P384+P399+P405+P409+P418+P424+P436+P442+P484+P487+P489+P495+P498+P492+P479</f>
        <v>33633.748999999996</v>
      </c>
    </row>
    <row r="329" spans="1:24" s="83" customFormat="1" ht="39" x14ac:dyDescent="0.3">
      <c r="A329" s="91">
        <v>10</v>
      </c>
      <c r="B329" s="126" t="s">
        <v>126</v>
      </c>
      <c r="C329" s="118"/>
      <c r="D329" s="89" t="s">
        <v>69</v>
      </c>
      <c r="E329" s="89" t="s">
        <v>112</v>
      </c>
      <c r="F329" s="113" t="s">
        <v>157</v>
      </c>
      <c r="G329" s="118"/>
      <c r="H329" s="118"/>
      <c r="I329" s="89"/>
      <c r="J329" s="1283">
        <f>J336+J395+J366+J369+J373+J380+J377</f>
        <v>14363.046000000004</v>
      </c>
      <c r="K329" s="644"/>
      <c r="L329" s="644">
        <f>L336+L363+L366+L369+L373+L380+L387</f>
        <v>14872.082</v>
      </c>
      <c r="M329" s="644">
        <f>M336+M363+M366+M369+M373+M380+M387</f>
        <v>15828.365000000002</v>
      </c>
      <c r="N329" s="1283">
        <f>N339+N340+N343+N345+N352+N355+N360+N379+N382+N384+N399+N390</f>
        <v>18638.369000000002</v>
      </c>
      <c r="O329" s="1283">
        <f>O339+O340+O343+O345+O352+O355+O360+O379+O382+O384+O399+O390+O334</f>
        <v>22230.25</v>
      </c>
      <c r="P329" s="1311">
        <f>P339+P340+P343+P345+P352+P355+P360+P379+P382+P384+P399+P390+P334</f>
        <v>23019.338</v>
      </c>
      <c r="Q329" s="84"/>
      <c r="R329" s="84"/>
      <c r="S329" s="84"/>
      <c r="T329" s="84"/>
      <c r="U329" s="84"/>
      <c r="V329" s="84"/>
      <c r="W329" s="84"/>
      <c r="X329" s="84"/>
    </row>
    <row r="330" spans="1:24" s="83" customFormat="1" ht="30" x14ac:dyDescent="0.3">
      <c r="A330" s="91"/>
      <c r="B330" s="285" t="s">
        <v>866</v>
      </c>
      <c r="C330" s="118"/>
      <c r="D330" s="89"/>
      <c r="E330" s="89"/>
      <c r="F330" s="112" t="s">
        <v>598</v>
      </c>
      <c r="G330" s="119"/>
      <c r="H330" s="119"/>
      <c r="I330" s="33"/>
      <c r="J330" s="1283"/>
      <c r="K330" s="644"/>
      <c r="L330" s="644"/>
      <c r="M330" s="644"/>
      <c r="N330" s="1283"/>
      <c r="O330" s="1285">
        <f t="shared" ref="O330:P333" si="36">O331</f>
        <v>1764.761</v>
      </c>
      <c r="P330" s="1317">
        <f t="shared" si="36"/>
        <v>1832.232</v>
      </c>
      <c r="Q330" s="84"/>
      <c r="R330" s="84"/>
      <c r="S330" s="84"/>
      <c r="T330" s="84"/>
      <c r="U330" s="84"/>
      <c r="V330" s="84"/>
      <c r="W330" s="84"/>
      <c r="X330" s="84"/>
    </row>
    <row r="331" spans="1:24" s="83" customFormat="1" ht="13" x14ac:dyDescent="0.3">
      <c r="A331" s="91"/>
      <c r="B331" s="285" t="s">
        <v>582</v>
      </c>
      <c r="C331" s="118"/>
      <c r="D331" s="89"/>
      <c r="E331" s="89"/>
      <c r="F331" s="112" t="s">
        <v>597</v>
      </c>
      <c r="G331" s="119"/>
      <c r="H331" s="119"/>
      <c r="I331" s="33"/>
      <c r="J331" s="1283"/>
      <c r="K331" s="644"/>
      <c r="L331" s="644"/>
      <c r="M331" s="644"/>
      <c r="N331" s="1283"/>
      <c r="O331" s="1285">
        <f t="shared" si="36"/>
        <v>1764.761</v>
      </c>
      <c r="P331" s="1317">
        <f t="shared" si="36"/>
        <v>1832.232</v>
      </c>
      <c r="Q331" s="84"/>
      <c r="R331" s="84"/>
      <c r="S331" s="84"/>
      <c r="T331" s="84"/>
      <c r="U331" s="84"/>
      <c r="V331" s="84"/>
      <c r="W331" s="84"/>
      <c r="X331" s="84"/>
    </row>
    <row r="332" spans="1:24" s="83" customFormat="1" ht="20" x14ac:dyDescent="0.3">
      <c r="A332" s="91"/>
      <c r="B332" s="285" t="s">
        <v>867</v>
      </c>
      <c r="C332" s="118"/>
      <c r="D332" s="89"/>
      <c r="E332" s="89"/>
      <c r="F332" s="113" t="s">
        <v>593</v>
      </c>
      <c r="G332" s="119"/>
      <c r="H332" s="119"/>
      <c r="I332" s="33"/>
      <c r="J332" s="1283"/>
      <c r="K332" s="644"/>
      <c r="L332" s="644"/>
      <c r="M332" s="644"/>
      <c r="N332" s="1283"/>
      <c r="O332" s="1283">
        <f t="shared" si="36"/>
        <v>1764.761</v>
      </c>
      <c r="P332" s="1311">
        <f t="shared" si="36"/>
        <v>1832.232</v>
      </c>
      <c r="Q332" s="84"/>
      <c r="R332" s="84"/>
      <c r="S332" s="84"/>
      <c r="T332" s="84"/>
      <c r="U332" s="84"/>
      <c r="V332" s="84"/>
      <c r="W332" s="84"/>
      <c r="X332" s="84"/>
    </row>
    <row r="333" spans="1:24" s="83" customFormat="1" ht="13" x14ac:dyDescent="0.3">
      <c r="A333" s="91"/>
      <c r="B333" s="284" t="s">
        <v>571</v>
      </c>
      <c r="C333" s="118"/>
      <c r="D333" s="89"/>
      <c r="E333" s="89"/>
      <c r="F333" s="112" t="s">
        <v>593</v>
      </c>
      <c r="G333" s="119">
        <v>120</v>
      </c>
      <c r="H333" s="119"/>
      <c r="I333" s="33"/>
      <c r="J333" s="1283"/>
      <c r="K333" s="644"/>
      <c r="L333" s="644"/>
      <c r="M333" s="644"/>
      <c r="N333" s="1283"/>
      <c r="O333" s="1285">
        <f t="shared" si="36"/>
        <v>1764.761</v>
      </c>
      <c r="P333" s="1317">
        <f t="shared" si="36"/>
        <v>1832.232</v>
      </c>
      <c r="Q333" s="84"/>
      <c r="R333" s="84"/>
      <c r="S333" s="84"/>
      <c r="T333" s="84"/>
      <c r="U333" s="84"/>
      <c r="V333" s="84"/>
      <c r="W333" s="84"/>
      <c r="X333" s="84"/>
    </row>
    <row r="334" spans="1:24" s="83" customFormat="1" ht="20" x14ac:dyDescent="0.3">
      <c r="A334" s="91"/>
      <c r="B334" s="285" t="s">
        <v>600</v>
      </c>
      <c r="C334" s="118"/>
      <c r="D334" s="89"/>
      <c r="E334" s="89"/>
      <c r="F334" s="112" t="s">
        <v>593</v>
      </c>
      <c r="G334" s="119">
        <v>120</v>
      </c>
      <c r="H334" s="9" t="s">
        <v>456</v>
      </c>
      <c r="I334" s="33" t="s">
        <v>488</v>
      </c>
      <c r="J334" s="1283"/>
      <c r="K334" s="644"/>
      <c r="L334" s="644"/>
      <c r="M334" s="644"/>
      <c r="N334" s="1283"/>
      <c r="O334" s="647">
        <v>1764.761</v>
      </c>
      <c r="P334" s="1317">
        <v>1832.232</v>
      </c>
      <c r="Q334" s="84"/>
      <c r="R334" s="84"/>
      <c r="S334" s="84"/>
      <c r="T334" s="84"/>
      <c r="U334" s="84"/>
      <c r="V334" s="84"/>
      <c r="W334" s="84"/>
      <c r="X334" s="84"/>
    </row>
    <row r="335" spans="1:24" s="83" customFormat="1" ht="39" x14ac:dyDescent="0.3">
      <c r="A335" s="91"/>
      <c r="B335" s="347" t="s">
        <v>156</v>
      </c>
      <c r="C335" s="118"/>
      <c r="D335" s="89"/>
      <c r="E335" s="89"/>
      <c r="F335" s="112" t="s">
        <v>155</v>
      </c>
      <c r="G335" s="118"/>
      <c r="H335" s="118"/>
      <c r="I335" s="89"/>
      <c r="J335" s="1285">
        <f>J329</f>
        <v>14363.046000000004</v>
      </c>
      <c r="K335" s="644"/>
      <c r="L335" s="644"/>
      <c r="M335" s="644"/>
      <c r="N335" s="1285">
        <f>N329</f>
        <v>18638.369000000002</v>
      </c>
      <c r="O335" s="1285">
        <f>O329</f>
        <v>22230.25</v>
      </c>
      <c r="P335" s="1317">
        <f>P329</f>
        <v>23019.338</v>
      </c>
      <c r="Q335" s="84"/>
      <c r="R335" s="84"/>
      <c r="S335" s="84"/>
      <c r="T335" s="84"/>
      <c r="U335" s="84"/>
      <c r="V335" s="84"/>
      <c r="W335" s="84"/>
      <c r="X335" s="84"/>
    </row>
    <row r="336" spans="1:24" s="83" customFormat="1" ht="13" x14ac:dyDescent="0.3">
      <c r="A336" s="85"/>
      <c r="B336" s="347" t="s">
        <v>109</v>
      </c>
      <c r="C336" s="118"/>
      <c r="D336" s="33" t="s">
        <v>69</v>
      </c>
      <c r="E336" s="33" t="s">
        <v>112</v>
      </c>
      <c r="F336" s="112" t="s">
        <v>154</v>
      </c>
      <c r="G336" s="118"/>
      <c r="H336" s="118"/>
      <c r="I336" s="33"/>
      <c r="J336" s="646">
        <f>J338+J341+J351+J354+J359</f>
        <v>12462.203000000003</v>
      </c>
      <c r="K336" s="640"/>
      <c r="L336" s="644">
        <f>L338+L341</f>
        <v>12437.288999999999</v>
      </c>
      <c r="M336" s="644">
        <f>M338+M341</f>
        <v>13307.900000000001</v>
      </c>
      <c r="N336" s="646">
        <f>N338+N341+N351+N354+N359</f>
        <v>15801.2</v>
      </c>
      <c r="O336" s="646">
        <f>O338+O341+O351+O354+O359</f>
        <v>18236.385000000002</v>
      </c>
      <c r="P336" s="1317">
        <f>P338+P341+P351+P354+P359</f>
        <v>18895.078000000001</v>
      </c>
      <c r="Q336" s="84"/>
      <c r="R336" s="84"/>
      <c r="S336" s="84"/>
      <c r="T336" s="84"/>
      <c r="U336" s="84"/>
      <c r="V336" s="84"/>
      <c r="W336" s="84"/>
      <c r="X336" s="84"/>
    </row>
    <row r="337" spans="1:257" s="83" customFormat="1" ht="13" x14ac:dyDescent="0.3">
      <c r="A337" s="85"/>
      <c r="B337" s="1501" t="s">
        <v>153</v>
      </c>
      <c r="C337" s="118"/>
      <c r="D337" s="33"/>
      <c r="E337" s="33"/>
      <c r="F337" s="113" t="s">
        <v>152</v>
      </c>
      <c r="G337" s="118"/>
      <c r="H337" s="118"/>
      <c r="I337" s="89"/>
      <c r="J337" s="644">
        <f>J336</f>
        <v>12462.203000000003</v>
      </c>
      <c r="K337" s="640"/>
      <c r="L337" s="644"/>
      <c r="M337" s="644"/>
      <c r="N337" s="644">
        <f>N336</f>
        <v>15801.2</v>
      </c>
      <c r="O337" s="644">
        <f>O336</f>
        <v>18236.385000000002</v>
      </c>
      <c r="P337" s="1311">
        <f>P336</f>
        <v>18895.078000000001</v>
      </c>
      <c r="Q337" s="84"/>
      <c r="R337" s="84"/>
      <c r="S337" s="84"/>
      <c r="T337" s="84"/>
      <c r="U337" s="84"/>
      <c r="V337" s="84"/>
      <c r="W337" s="84"/>
      <c r="X337" s="84"/>
    </row>
    <row r="338" spans="1:257" s="83" customFormat="1" ht="22.15" customHeight="1" x14ac:dyDescent="0.3">
      <c r="A338" s="85"/>
      <c r="B338" s="1318" t="s">
        <v>7</v>
      </c>
      <c r="C338" s="118"/>
      <c r="D338" s="33"/>
      <c r="E338" s="33"/>
      <c r="F338" s="112" t="s">
        <v>152</v>
      </c>
      <c r="G338" s="119">
        <v>120</v>
      </c>
      <c r="H338" s="119"/>
      <c r="I338" s="89"/>
      <c r="J338" s="646">
        <f>J339+J340</f>
        <v>8197.5570000000007</v>
      </c>
      <c r="K338" s="640"/>
      <c r="L338" s="644">
        <f>L339+L340</f>
        <v>9181.8719999999994</v>
      </c>
      <c r="M338" s="644">
        <f>M339+M340</f>
        <v>9824.6040000000012</v>
      </c>
      <c r="N338" s="646">
        <f>N339+N340</f>
        <v>8858.7470000000012</v>
      </c>
      <c r="O338" s="646">
        <f>O339+O340</f>
        <v>15286.343000000001</v>
      </c>
      <c r="P338" s="1317">
        <f>P339+P340</f>
        <v>15897.791999999999</v>
      </c>
      <c r="Q338" s="84"/>
      <c r="R338" s="84"/>
      <c r="S338" s="84"/>
      <c r="T338" s="84"/>
      <c r="U338" s="84"/>
      <c r="V338" s="84"/>
      <c r="W338" s="84"/>
      <c r="X338" s="84"/>
    </row>
    <row r="339" spans="1:257" s="83" customFormat="1" ht="41.5" customHeight="1" x14ac:dyDescent="0.3">
      <c r="A339" s="85"/>
      <c r="B339" s="1320" t="s">
        <v>114</v>
      </c>
      <c r="C339" s="118"/>
      <c r="D339" s="33" t="s">
        <v>69</v>
      </c>
      <c r="E339" s="33" t="s">
        <v>112</v>
      </c>
      <c r="F339" s="112" t="s">
        <v>152</v>
      </c>
      <c r="G339" s="119">
        <v>120</v>
      </c>
      <c r="H339" s="9" t="s">
        <v>456</v>
      </c>
      <c r="I339" s="33" t="s">
        <v>495</v>
      </c>
      <c r="J339" s="646">
        <f>807.519+241.455</f>
        <v>1048.9739999999999</v>
      </c>
      <c r="K339" s="644"/>
      <c r="L339" s="653">
        <v>1378.2239999999999</v>
      </c>
      <c r="M339" s="121">
        <v>1474.6990000000001</v>
      </c>
      <c r="N339" s="646">
        <v>611.298</v>
      </c>
      <c r="O339" s="646">
        <v>994.03099999999995</v>
      </c>
      <c r="P339" s="1317">
        <v>1033.7919999999999</v>
      </c>
      <c r="Q339" s="913"/>
      <c r="R339" s="84"/>
      <c r="S339" s="84"/>
      <c r="T339" s="84"/>
      <c r="U339" s="84"/>
      <c r="V339" s="84"/>
      <c r="W339" s="84"/>
      <c r="X339" s="84"/>
    </row>
    <row r="340" spans="1:257" ht="41.5" customHeight="1" x14ac:dyDescent="0.3">
      <c r="A340" s="32"/>
      <c r="B340" s="1333" t="s">
        <v>105</v>
      </c>
      <c r="C340" s="88"/>
      <c r="D340" s="88" t="s">
        <v>69</v>
      </c>
      <c r="E340" s="88" t="s">
        <v>103</v>
      </c>
      <c r="F340" s="112" t="s">
        <v>152</v>
      </c>
      <c r="G340" s="88">
        <v>120</v>
      </c>
      <c r="H340" s="9" t="s">
        <v>456</v>
      </c>
      <c r="I340" s="33" t="s">
        <v>452</v>
      </c>
      <c r="J340" s="653">
        <f>5450.283+1.2+1697.1</f>
        <v>7148.5830000000005</v>
      </c>
      <c r="K340" s="653"/>
      <c r="L340" s="653">
        <v>7803.6480000000001</v>
      </c>
      <c r="M340" s="1334">
        <v>8349.9050000000007</v>
      </c>
      <c r="N340" s="653">
        <v>8247.4490000000005</v>
      </c>
      <c r="O340" s="653">
        <v>14292.312</v>
      </c>
      <c r="P340" s="1310">
        <v>14864</v>
      </c>
    </row>
    <row r="341" spans="1:257" s="83" customFormat="1" ht="29.5" customHeight="1" x14ac:dyDescent="0.3">
      <c r="A341" s="85"/>
      <c r="B341" s="1312" t="s">
        <v>4</v>
      </c>
      <c r="C341" s="118"/>
      <c r="D341" s="33" t="s">
        <v>69</v>
      </c>
      <c r="E341" s="33" t="s">
        <v>112</v>
      </c>
      <c r="F341" s="112" t="s">
        <v>152</v>
      </c>
      <c r="G341" s="119">
        <v>240</v>
      </c>
      <c r="H341" s="119"/>
      <c r="I341" s="89"/>
      <c r="J341" s="646">
        <f>J343+J345</f>
        <v>3612.3460000000005</v>
      </c>
      <c r="K341" s="640"/>
      <c r="L341" s="640">
        <f>L343+L345</f>
        <v>3255.4169999999999</v>
      </c>
      <c r="M341" s="640">
        <f>M343+M345</f>
        <v>3483.2959999999998</v>
      </c>
      <c r="N341" s="646">
        <f>N343+N345</f>
        <v>6392.893</v>
      </c>
      <c r="O341" s="646">
        <f>O343+O345</f>
        <v>2950.0419999999999</v>
      </c>
      <c r="P341" s="1317">
        <f>P343+P345</f>
        <v>2997.2860000000001</v>
      </c>
      <c r="Q341" s="84"/>
      <c r="R341" s="84"/>
      <c r="S341" s="84"/>
      <c r="T341" s="84"/>
      <c r="U341" s="84"/>
      <c r="V341" s="84"/>
      <c r="W341" s="84"/>
      <c r="X341" s="84"/>
    </row>
    <row r="342" spans="1:257" s="83" customFormat="1" ht="28.9" hidden="1" customHeight="1" x14ac:dyDescent="0.3">
      <c r="A342" s="85"/>
      <c r="B342" s="1312" t="s">
        <v>4</v>
      </c>
      <c r="C342" s="118"/>
      <c r="D342" s="33"/>
      <c r="E342" s="33"/>
      <c r="F342" s="112" t="s">
        <v>152</v>
      </c>
      <c r="G342" s="119">
        <v>240</v>
      </c>
      <c r="H342" s="119"/>
      <c r="I342" s="33"/>
      <c r="J342" s="646">
        <f>J343</f>
        <v>1338.8210000000001</v>
      </c>
      <c r="K342" s="640"/>
      <c r="L342" s="640"/>
      <c r="M342" s="640"/>
      <c r="N342" s="646">
        <f>N343</f>
        <v>1318.8209999999999</v>
      </c>
      <c r="O342" s="646"/>
      <c r="P342" s="1317"/>
      <c r="Q342" s="84"/>
      <c r="R342" s="84"/>
      <c r="S342" s="84"/>
      <c r="T342" s="84"/>
      <c r="U342" s="84"/>
      <c r="V342" s="84"/>
      <c r="W342" s="84"/>
      <c r="X342" s="84"/>
    </row>
    <row r="343" spans="1:257" s="83" customFormat="1" ht="43.15" customHeight="1" x14ac:dyDescent="0.3">
      <c r="A343" s="85"/>
      <c r="B343" s="1320" t="s">
        <v>114</v>
      </c>
      <c r="C343" s="118"/>
      <c r="D343" s="33"/>
      <c r="E343" s="33"/>
      <c r="F343" s="112" t="s">
        <v>152</v>
      </c>
      <c r="G343" s="119">
        <v>240</v>
      </c>
      <c r="H343" s="9" t="s">
        <v>456</v>
      </c>
      <c r="I343" s="33" t="s">
        <v>495</v>
      </c>
      <c r="J343" s="646">
        <f>2387.795-1048.974</f>
        <v>1338.8210000000001</v>
      </c>
      <c r="K343" s="640"/>
      <c r="L343" s="647">
        <v>906.91</v>
      </c>
      <c r="M343" s="647">
        <v>970.39300000000003</v>
      </c>
      <c r="N343" s="646">
        <v>1318.8209999999999</v>
      </c>
      <c r="O343" s="646">
        <v>964.28800000000001</v>
      </c>
      <c r="P343" s="1317">
        <v>1005.98</v>
      </c>
      <c r="Q343" s="84"/>
      <c r="R343" s="84"/>
      <c r="S343" s="84"/>
      <c r="T343" s="84"/>
      <c r="U343" s="84"/>
      <c r="V343" s="84"/>
      <c r="W343" s="84"/>
      <c r="X343" s="84"/>
    </row>
    <row r="344" spans="1:257" s="83" customFormat="1" ht="27" hidden="1" customHeight="1" x14ac:dyDescent="0.3">
      <c r="A344" s="85"/>
      <c r="B344" s="1312" t="s">
        <v>4</v>
      </c>
      <c r="C344" s="118"/>
      <c r="D344" s="33"/>
      <c r="E344" s="33"/>
      <c r="F344" s="112" t="s">
        <v>152</v>
      </c>
      <c r="G344" s="88">
        <v>240</v>
      </c>
      <c r="H344" s="88"/>
      <c r="I344" s="88"/>
      <c r="J344" s="653">
        <f>J345</f>
        <v>2273.5250000000001</v>
      </c>
      <c r="K344" s="640"/>
      <c r="L344" s="647"/>
      <c r="M344" s="647"/>
      <c r="N344" s="653">
        <f>N345</f>
        <v>5074.0720000000001</v>
      </c>
      <c r="O344" s="653">
        <f>O345</f>
        <v>1985.7539999999999</v>
      </c>
      <c r="P344" s="1310">
        <f>P345</f>
        <v>1991.306</v>
      </c>
      <c r="Q344" s="84"/>
      <c r="R344" s="84"/>
      <c r="S344" s="84"/>
      <c r="T344" s="84"/>
      <c r="U344" s="84"/>
      <c r="V344" s="84"/>
      <c r="W344" s="84"/>
      <c r="X344" s="84"/>
    </row>
    <row r="345" spans="1:257" ht="39" customHeight="1" x14ac:dyDescent="0.3">
      <c r="A345" s="32"/>
      <c r="B345" s="1333" t="s">
        <v>105</v>
      </c>
      <c r="C345" s="88"/>
      <c r="D345" s="88" t="s">
        <v>69</v>
      </c>
      <c r="E345" s="88" t="s">
        <v>103</v>
      </c>
      <c r="F345" s="112" t="s">
        <v>152</v>
      </c>
      <c r="G345" s="88">
        <v>240</v>
      </c>
      <c r="H345" s="9" t="s">
        <v>456</v>
      </c>
      <c r="I345" s="33" t="s">
        <v>452</v>
      </c>
      <c r="J345" s="653">
        <v>2273.5250000000001</v>
      </c>
      <c r="K345" s="653"/>
      <c r="L345" s="957">
        <v>2348.5070000000001</v>
      </c>
      <c r="M345" s="1335">
        <v>2512.9029999999998</v>
      </c>
      <c r="N345" s="653">
        <v>5074.0720000000001</v>
      </c>
      <c r="O345" s="653">
        <v>1985.7539999999999</v>
      </c>
      <c r="P345" s="1310">
        <v>1991.306</v>
      </c>
    </row>
    <row r="346" spans="1:257" ht="21" hidden="1" customHeight="1" x14ac:dyDescent="0.3">
      <c r="A346" s="32"/>
      <c r="B346" s="1318"/>
      <c r="C346" s="88"/>
      <c r="D346" s="88"/>
      <c r="E346" s="88"/>
      <c r="F346" s="88"/>
      <c r="G346" s="88"/>
      <c r="H346" s="88"/>
      <c r="I346" s="88"/>
      <c r="J346" s="653"/>
      <c r="K346" s="653"/>
      <c r="L346" s="653"/>
      <c r="M346" s="656"/>
      <c r="N346" s="653"/>
      <c r="O346" s="653"/>
      <c r="P346" s="1310"/>
    </row>
    <row r="347" spans="1:257" ht="21" hidden="1" customHeight="1" x14ac:dyDescent="0.3">
      <c r="A347" s="32"/>
      <c r="B347" s="1318" t="s">
        <v>16</v>
      </c>
      <c r="C347" s="88"/>
      <c r="D347" s="88" t="s">
        <v>69</v>
      </c>
      <c r="E347" s="88" t="s">
        <v>103</v>
      </c>
      <c r="F347" s="88">
        <v>9100004</v>
      </c>
      <c r="G347" s="88">
        <v>240</v>
      </c>
      <c r="H347" s="88"/>
      <c r="I347" s="88" t="s">
        <v>103</v>
      </c>
      <c r="J347" s="653">
        <v>2215.5729999999999</v>
      </c>
      <c r="K347" s="653"/>
      <c r="L347" s="653">
        <f>J347*106%</f>
        <v>2348.50738</v>
      </c>
      <c r="M347" s="656">
        <f>L347*107%</f>
        <v>2512.9028966000001</v>
      </c>
      <c r="N347" s="653">
        <v>2215.5729999999999</v>
      </c>
      <c r="O347" s="653">
        <v>2215.5729999999999</v>
      </c>
      <c r="P347" s="1310">
        <v>2215.5729999999999</v>
      </c>
    </row>
    <row r="348" spans="1:257" s="2" customFormat="1" ht="21" hidden="1" customHeight="1" x14ac:dyDescent="0.3">
      <c r="A348" s="32"/>
      <c r="B348" s="1318"/>
      <c r="C348" s="88"/>
      <c r="D348" s="88"/>
      <c r="E348" s="88"/>
      <c r="F348" s="88"/>
      <c r="G348" s="88"/>
      <c r="H348" s="88"/>
      <c r="I348" s="88"/>
      <c r="J348" s="653"/>
      <c r="K348" s="653"/>
      <c r="L348" s="653"/>
      <c r="M348" s="656"/>
      <c r="N348" s="653"/>
      <c r="O348" s="653"/>
      <c r="P348" s="1310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 s="2" customFormat="1" ht="21" hidden="1" customHeight="1" x14ac:dyDescent="0.3">
      <c r="A349" s="32"/>
      <c r="B349" s="1318"/>
      <c r="C349" s="88"/>
      <c r="D349" s="88"/>
      <c r="E349" s="88"/>
      <c r="F349" s="88">
        <v>9100004</v>
      </c>
      <c r="G349" s="88"/>
      <c r="H349" s="88"/>
      <c r="I349" s="88" t="s">
        <v>103</v>
      </c>
      <c r="J349" s="653" t="e">
        <f>#REF!+J345</f>
        <v>#REF!</v>
      </c>
      <c r="K349" s="653"/>
      <c r="L349" s="653" t="e">
        <f>#REF!+L345</f>
        <v>#REF!</v>
      </c>
      <c r="M349" s="656" t="e">
        <f>#REF!+M345</f>
        <v>#REF!</v>
      </c>
      <c r="N349" s="653" t="e">
        <f>#REF!+N345</f>
        <v>#REF!</v>
      </c>
      <c r="O349" s="653" t="e">
        <f>#REF!+O345</f>
        <v>#REF!</v>
      </c>
      <c r="P349" s="1310" t="e">
        <f>#REF!+P345</f>
        <v>#REF!</v>
      </c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 s="2" customFormat="1" ht="39" hidden="1" x14ac:dyDescent="0.3">
      <c r="A350" s="32"/>
      <c r="B350" s="1320" t="s">
        <v>151</v>
      </c>
      <c r="C350" s="88"/>
      <c r="D350" s="88"/>
      <c r="E350" s="88"/>
      <c r="F350" s="113" t="s">
        <v>150</v>
      </c>
      <c r="G350" s="94"/>
      <c r="H350" s="94"/>
      <c r="I350" s="94"/>
      <c r="J350" s="650">
        <f>J351</f>
        <v>179.7</v>
      </c>
      <c r="K350" s="650"/>
      <c r="L350" s="650"/>
      <c r="M350" s="655"/>
      <c r="N350" s="650">
        <f t="shared" ref="N350:P351" si="37">N351</f>
        <v>47.06</v>
      </c>
      <c r="O350" s="650">
        <f t="shared" si="37"/>
        <v>0</v>
      </c>
      <c r="P350" s="1313">
        <f t="shared" si="37"/>
        <v>0</v>
      </c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 s="2" customFormat="1" ht="13" hidden="1" x14ac:dyDescent="0.3">
      <c r="A351" s="32"/>
      <c r="B351" s="1320" t="s">
        <v>123</v>
      </c>
      <c r="C351" s="88"/>
      <c r="D351" s="88"/>
      <c r="E351" s="88"/>
      <c r="F351" s="112" t="s">
        <v>150</v>
      </c>
      <c r="G351" s="88">
        <v>540</v>
      </c>
      <c r="H351" s="88"/>
      <c r="I351" s="88"/>
      <c r="J351" s="653">
        <f>J352</f>
        <v>179.7</v>
      </c>
      <c r="K351" s="653"/>
      <c r="L351" s="653"/>
      <c r="M351" s="656"/>
      <c r="N351" s="653">
        <f t="shared" si="37"/>
        <v>47.06</v>
      </c>
      <c r="O351" s="653">
        <f t="shared" si="37"/>
        <v>0</v>
      </c>
      <c r="P351" s="1310">
        <f t="shared" si="37"/>
        <v>0</v>
      </c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 s="2" customFormat="1" ht="39" hidden="1" x14ac:dyDescent="0.3">
      <c r="A352" s="32"/>
      <c r="B352" s="1333" t="s">
        <v>105</v>
      </c>
      <c r="C352" s="88"/>
      <c r="D352" s="88"/>
      <c r="E352" s="88"/>
      <c r="F352" s="112" t="s">
        <v>150</v>
      </c>
      <c r="G352" s="88">
        <v>540</v>
      </c>
      <c r="H352" s="88"/>
      <c r="I352" s="88" t="s">
        <v>103</v>
      </c>
      <c r="J352" s="653">
        <v>179.7</v>
      </c>
      <c r="K352" s="653"/>
      <c r="L352" s="653"/>
      <c r="M352" s="656"/>
      <c r="N352" s="653">
        <v>47.06</v>
      </c>
      <c r="O352" s="653"/>
      <c r="P352" s="1310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 s="2" customFormat="1" ht="39" hidden="1" x14ac:dyDescent="0.25">
      <c r="A353" s="32"/>
      <c r="B353" s="1502" t="s">
        <v>149</v>
      </c>
      <c r="C353" s="88"/>
      <c r="D353" s="88"/>
      <c r="E353" s="88"/>
      <c r="F353" s="113" t="s">
        <v>148</v>
      </c>
      <c r="G353" s="94"/>
      <c r="H353" s="94"/>
      <c r="I353" s="94"/>
      <c r="J353" s="650">
        <f>J354</f>
        <v>303</v>
      </c>
      <c r="K353" s="650"/>
      <c r="L353" s="650"/>
      <c r="M353" s="655"/>
      <c r="N353" s="650">
        <f t="shared" ref="N353:P354" si="38">N354</f>
        <v>304.5</v>
      </c>
      <c r="O353" s="650">
        <f t="shared" si="38"/>
        <v>0</v>
      </c>
      <c r="P353" s="1313">
        <f t="shared" si="38"/>
        <v>0</v>
      </c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 s="2" customFormat="1" ht="13" hidden="1" x14ac:dyDescent="0.25">
      <c r="A354" s="32"/>
      <c r="B354" s="1502" t="s">
        <v>130</v>
      </c>
      <c r="C354" s="88"/>
      <c r="D354" s="88"/>
      <c r="E354" s="88"/>
      <c r="F354" s="112" t="s">
        <v>148</v>
      </c>
      <c r="G354" s="88">
        <v>540</v>
      </c>
      <c r="H354" s="88"/>
      <c r="I354" s="88"/>
      <c r="J354" s="653">
        <f>J355</f>
        <v>303</v>
      </c>
      <c r="K354" s="653"/>
      <c r="L354" s="653"/>
      <c r="M354" s="656"/>
      <c r="N354" s="653">
        <f t="shared" si="38"/>
        <v>304.5</v>
      </c>
      <c r="O354" s="653">
        <f t="shared" si="38"/>
        <v>0</v>
      </c>
      <c r="P354" s="1310">
        <f t="shared" si="38"/>
        <v>0</v>
      </c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 s="2" customFormat="1" ht="39" hidden="1" x14ac:dyDescent="0.3">
      <c r="A355" s="32"/>
      <c r="B355" s="1333" t="s">
        <v>105</v>
      </c>
      <c r="C355" s="88"/>
      <c r="D355" s="88"/>
      <c r="E355" s="88"/>
      <c r="F355" s="112" t="s">
        <v>148</v>
      </c>
      <c r="G355" s="88">
        <v>540</v>
      </c>
      <c r="H355" s="88"/>
      <c r="I355" s="88" t="s">
        <v>103</v>
      </c>
      <c r="J355" s="653">
        <v>303</v>
      </c>
      <c r="K355" s="653"/>
      <c r="L355" s="653"/>
      <c r="M355" s="656"/>
      <c r="N355" s="653">
        <v>304.5</v>
      </c>
      <c r="O355" s="653"/>
      <c r="P355" s="1310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 s="2" customFormat="1" ht="39" hidden="1" x14ac:dyDescent="0.25">
      <c r="A356" s="32"/>
      <c r="B356" s="337" t="s">
        <v>147</v>
      </c>
      <c r="C356" s="88"/>
      <c r="D356" s="88"/>
      <c r="E356" s="88"/>
      <c r="F356" s="112" t="s">
        <v>146</v>
      </c>
      <c r="G356" s="88">
        <v>540</v>
      </c>
      <c r="H356" s="88"/>
      <c r="I356" s="88"/>
      <c r="J356" s="653"/>
      <c r="K356" s="653"/>
      <c r="L356" s="653"/>
      <c r="M356" s="656"/>
      <c r="N356" s="653"/>
      <c r="O356" s="653"/>
      <c r="P356" s="1310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 s="2" customFormat="1" ht="39" hidden="1" x14ac:dyDescent="0.3">
      <c r="A357" s="32"/>
      <c r="B357" s="1333" t="s">
        <v>105</v>
      </c>
      <c r="C357" s="88"/>
      <c r="D357" s="88"/>
      <c r="E357" s="88"/>
      <c r="F357" s="112" t="s">
        <v>146</v>
      </c>
      <c r="G357" s="88">
        <v>540</v>
      </c>
      <c r="H357" s="88"/>
      <c r="I357" s="88" t="s">
        <v>103</v>
      </c>
      <c r="J357" s="653"/>
      <c r="K357" s="653"/>
      <c r="L357" s="653"/>
      <c r="M357" s="656"/>
      <c r="N357" s="653"/>
      <c r="O357" s="653"/>
      <c r="P357" s="1310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 s="2" customFormat="1" ht="65" hidden="1" x14ac:dyDescent="0.25">
      <c r="A358" s="32"/>
      <c r="B358" s="1336" t="s">
        <v>145</v>
      </c>
      <c r="C358" s="88"/>
      <c r="D358" s="88"/>
      <c r="E358" s="88"/>
      <c r="F358" s="113" t="s">
        <v>144</v>
      </c>
      <c r="G358" s="94"/>
      <c r="H358" s="94"/>
      <c r="I358" s="94"/>
      <c r="J358" s="650">
        <f>J359</f>
        <v>169.6</v>
      </c>
      <c r="K358" s="650"/>
      <c r="L358" s="650"/>
      <c r="M358" s="655"/>
      <c r="N358" s="650">
        <f t="shared" ref="N358:P359" si="39">N359</f>
        <v>198</v>
      </c>
      <c r="O358" s="650">
        <f t="shared" si="39"/>
        <v>0</v>
      </c>
      <c r="P358" s="1313">
        <f t="shared" si="39"/>
        <v>0</v>
      </c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 s="2" customFormat="1" ht="13" hidden="1" x14ac:dyDescent="0.25">
      <c r="A359" s="32"/>
      <c r="B359" s="1336" t="s">
        <v>130</v>
      </c>
      <c r="C359" s="88"/>
      <c r="D359" s="88"/>
      <c r="E359" s="88"/>
      <c r="F359" s="112" t="s">
        <v>144</v>
      </c>
      <c r="G359" s="88">
        <v>540</v>
      </c>
      <c r="H359" s="88"/>
      <c r="I359" s="88"/>
      <c r="J359" s="653">
        <f>J360</f>
        <v>169.6</v>
      </c>
      <c r="K359" s="653"/>
      <c r="L359" s="653"/>
      <c r="M359" s="656"/>
      <c r="N359" s="653">
        <f t="shared" si="39"/>
        <v>198</v>
      </c>
      <c r="O359" s="653">
        <f t="shared" si="39"/>
        <v>0</v>
      </c>
      <c r="P359" s="1310">
        <f t="shared" si="39"/>
        <v>0</v>
      </c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 s="2" customFormat="1" ht="39" hidden="1" x14ac:dyDescent="0.3">
      <c r="A360" s="32"/>
      <c r="B360" s="1333" t="s">
        <v>105</v>
      </c>
      <c r="C360" s="88"/>
      <c r="D360" s="88"/>
      <c r="E360" s="88"/>
      <c r="F360" s="112" t="s">
        <v>144</v>
      </c>
      <c r="G360" s="88">
        <v>540</v>
      </c>
      <c r="H360" s="88"/>
      <c r="I360" s="88" t="s">
        <v>103</v>
      </c>
      <c r="J360" s="653">
        <v>169.6</v>
      </c>
      <c r="K360" s="653"/>
      <c r="L360" s="653"/>
      <c r="M360" s="656"/>
      <c r="N360" s="653">
        <v>198</v>
      </c>
      <c r="O360" s="653"/>
      <c r="P360" s="1310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 s="2" customFormat="1" ht="52" hidden="1" x14ac:dyDescent="0.25">
      <c r="A361" s="32"/>
      <c r="B361" s="347" t="s">
        <v>111</v>
      </c>
      <c r="C361" s="88"/>
      <c r="D361" s="88"/>
      <c r="E361" s="88"/>
      <c r="F361" s="34" t="s">
        <v>110</v>
      </c>
      <c r="G361" s="88"/>
      <c r="H361" s="88"/>
      <c r="I361" s="88"/>
      <c r="J361" s="650">
        <f>J362</f>
        <v>0</v>
      </c>
      <c r="K361" s="653"/>
      <c r="L361" s="653"/>
      <c r="M361" s="656"/>
      <c r="N361" s="650">
        <f t="shared" ref="N361:P364" si="40">N362</f>
        <v>0</v>
      </c>
      <c r="O361" s="650">
        <f t="shared" si="40"/>
        <v>0</v>
      </c>
      <c r="P361" s="1313">
        <f t="shared" si="40"/>
        <v>0</v>
      </c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 s="2" customFormat="1" ht="21" hidden="1" customHeight="1" x14ac:dyDescent="0.25">
      <c r="A362" s="32"/>
      <c r="B362" s="347" t="s">
        <v>109</v>
      </c>
      <c r="C362" s="88"/>
      <c r="D362" s="88"/>
      <c r="E362" s="88"/>
      <c r="F362" s="9" t="s">
        <v>108</v>
      </c>
      <c r="G362" s="88"/>
      <c r="H362" s="88"/>
      <c r="I362" s="88"/>
      <c r="J362" s="653">
        <f>J363</f>
        <v>0</v>
      </c>
      <c r="K362" s="653"/>
      <c r="L362" s="653"/>
      <c r="M362" s="656"/>
      <c r="N362" s="653">
        <f t="shared" si="40"/>
        <v>0</v>
      </c>
      <c r="O362" s="653">
        <f t="shared" si="40"/>
        <v>0</v>
      </c>
      <c r="P362" s="1310">
        <f t="shared" si="40"/>
        <v>0</v>
      </c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 s="2" customFormat="1" ht="26" hidden="1" x14ac:dyDescent="0.25">
      <c r="A363" s="32"/>
      <c r="B363" s="49" t="s">
        <v>107</v>
      </c>
      <c r="C363" s="88" t="s">
        <v>106</v>
      </c>
      <c r="D363" s="88" t="s">
        <v>69</v>
      </c>
      <c r="E363" s="88" t="s">
        <v>103</v>
      </c>
      <c r="F363" s="9" t="s">
        <v>104</v>
      </c>
      <c r="G363" s="9"/>
      <c r="H363" s="9"/>
      <c r="I363" s="88"/>
      <c r="J363" s="646">
        <f>J364</f>
        <v>0</v>
      </c>
      <c r="K363" s="644"/>
      <c r="L363" s="644">
        <f>L364</f>
        <v>1223.8879999999999</v>
      </c>
      <c r="M363" s="640">
        <f>M364</f>
        <v>1309.56</v>
      </c>
      <c r="N363" s="646">
        <f t="shared" si="40"/>
        <v>0</v>
      </c>
      <c r="O363" s="646">
        <f t="shared" si="40"/>
        <v>0</v>
      </c>
      <c r="P363" s="1317">
        <f t="shared" si="40"/>
        <v>0</v>
      </c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 s="2" customFormat="1" ht="13" hidden="1" x14ac:dyDescent="0.3">
      <c r="A364" s="32"/>
      <c r="B364" s="1287" t="s">
        <v>7</v>
      </c>
      <c r="C364" s="88"/>
      <c r="D364" s="88" t="s">
        <v>69</v>
      </c>
      <c r="E364" s="88" t="s">
        <v>103</v>
      </c>
      <c r="F364" s="9" t="s">
        <v>104</v>
      </c>
      <c r="G364" s="88">
        <v>120</v>
      </c>
      <c r="H364" s="88"/>
      <c r="I364" s="88"/>
      <c r="J364" s="646">
        <f>J365</f>
        <v>0</v>
      </c>
      <c r="K364" s="646"/>
      <c r="L364" s="653">
        <v>1223.8879999999999</v>
      </c>
      <c r="M364" s="653">
        <v>1309.56</v>
      </c>
      <c r="N364" s="646">
        <f t="shared" si="40"/>
        <v>0</v>
      </c>
      <c r="O364" s="646">
        <f t="shared" si="40"/>
        <v>0</v>
      </c>
      <c r="P364" s="1317">
        <f t="shared" si="40"/>
        <v>0</v>
      </c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 s="2" customFormat="1" ht="39" hidden="1" x14ac:dyDescent="0.3">
      <c r="A365" s="32"/>
      <c r="B365" s="1333" t="s">
        <v>105</v>
      </c>
      <c r="C365" s="88"/>
      <c r="D365" s="88"/>
      <c r="E365" s="88"/>
      <c r="F365" s="9" t="s">
        <v>104</v>
      </c>
      <c r="G365" s="88">
        <v>120</v>
      </c>
      <c r="H365" s="88"/>
      <c r="I365" s="88" t="s">
        <v>103</v>
      </c>
      <c r="J365" s="646"/>
      <c r="K365" s="646"/>
      <c r="L365" s="653">
        <v>1223.8879999999999</v>
      </c>
      <c r="M365" s="653">
        <v>1309.56</v>
      </c>
      <c r="N365" s="646"/>
      <c r="O365" s="646"/>
      <c r="P365" s="1317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 s="2" customFormat="1" ht="52" hidden="1" x14ac:dyDescent="0.25">
      <c r="A366" s="32"/>
      <c r="B366" s="90" t="s">
        <v>143</v>
      </c>
      <c r="C366" s="88"/>
      <c r="D366" s="88" t="s">
        <v>69</v>
      </c>
      <c r="E366" s="88" t="s">
        <v>103</v>
      </c>
      <c r="F366" s="34" t="s">
        <v>141</v>
      </c>
      <c r="G366" s="9"/>
      <c r="H366" s="9"/>
      <c r="I366" s="88"/>
      <c r="J366" s="655">
        <f>J367</f>
        <v>0</v>
      </c>
      <c r="K366" s="655"/>
      <c r="L366" s="655">
        <f>L367</f>
        <v>171.8</v>
      </c>
      <c r="M366" s="655">
        <f>M367</f>
        <v>171.8</v>
      </c>
      <c r="N366" s="655">
        <f>N367</f>
        <v>0</v>
      </c>
      <c r="O366" s="655">
        <f>O367</f>
        <v>0</v>
      </c>
      <c r="P366" s="1313">
        <f>P367</f>
        <v>0</v>
      </c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 s="2" customFormat="1" ht="13" hidden="1" x14ac:dyDescent="0.3">
      <c r="A367" s="32"/>
      <c r="B367" s="1287" t="s">
        <v>142</v>
      </c>
      <c r="C367" s="88"/>
      <c r="D367" s="88" t="s">
        <v>69</v>
      </c>
      <c r="E367" s="88" t="s">
        <v>103</v>
      </c>
      <c r="F367" s="9" t="s">
        <v>141</v>
      </c>
      <c r="G367" s="9" t="s">
        <v>140</v>
      </c>
      <c r="H367" s="9"/>
      <c r="I367" s="88"/>
      <c r="J367" s="656">
        <f>J368</f>
        <v>0</v>
      </c>
      <c r="K367" s="656"/>
      <c r="L367" s="656">
        <v>171.8</v>
      </c>
      <c r="M367" s="656">
        <v>171.8</v>
      </c>
      <c r="N367" s="656">
        <f>N368</f>
        <v>0</v>
      </c>
      <c r="O367" s="656">
        <f>O368</f>
        <v>0</v>
      </c>
      <c r="P367" s="1310">
        <f>P368</f>
        <v>0</v>
      </c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 s="2" customFormat="1" ht="39" hidden="1" x14ac:dyDescent="0.3">
      <c r="A368" s="32"/>
      <c r="B368" s="1333" t="s">
        <v>105</v>
      </c>
      <c r="C368" s="88"/>
      <c r="D368" s="88"/>
      <c r="E368" s="88"/>
      <c r="F368" s="9" t="s">
        <v>141</v>
      </c>
      <c r="G368" s="9" t="s">
        <v>140</v>
      </c>
      <c r="H368" s="9"/>
      <c r="I368" s="88" t="s">
        <v>103</v>
      </c>
      <c r="J368" s="656"/>
      <c r="K368" s="656"/>
      <c r="L368" s="656">
        <v>171.8</v>
      </c>
      <c r="M368" s="656">
        <v>171.8</v>
      </c>
      <c r="N368" s="656"/>
      <c r="O368" s="656"/>
      <c r="P368" s="1310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57" s="2" customFormat="1" ht="75.650000000000006" hidden="1" customHeight="1" x14ac:dyDescent="0.25">
      <c r="A369" s="32"/>
      <c r="B369" s="111" t="s">
        <v>139</v>
      </c>
      <c r="C369" s="88"/>
      <c r="D369" s="9" t="s">
        <v>69</v>
      </c>
      <c r="E369" s="9" t="s">
        <v>103</v>
      </c>
      <c r="F369" s="34" t="s">
        <v>136</v>
      </c>
      <c r="G369" s="9"/>
      <c r="H369" s="9"/>
      <c r="I369" s="9"/>
      <c r="J369" s="655">
        <f>J371</f>
        <v>0</v>
      </c>
      <c r="K369" s="655"/>
      <c r="L369" s="655">
        <f>L371</f>
        <v>263</v>
      </c>
      <c r="M369" s="655">
        <f>M371</f>
        <v>263</v>
      </c>
      <c r="N369" s="655">
        <f>N371</f>
        <v>0</v>
      </c>
      <c r="O369" s="655">
        <f>O371</f>
        <v>0</v>
      </c>
      <c r="P369" s="1313">
        <f>P371</f>
        <v>0</v>
      </c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57" s="2" customFormat="1" ht="18" hidden="1" customHeight="1" x14ac:dyDescent="0.25">
      <c r="A370" s="32"/>
      <c r="B370" s="42" t="s">
        <v>138</v>
      </c>
      <c r="C370" s="9"/>
      <c r="D370" s="9" t="s">
        <v>69</v>
      </c>
      <c r="E370" s="9" t="s">
        <v>103</v>
      </c>
      <c r="F370" s="9" t="s">
        <v>137</v>
      </c>
      <c r="G370" s="9"/>
      <c r="H370" s="9"/>
      <c r="I370" s="9" t="s">
        <v>103</v>
      </c>
      <c r="J370" s="647"/>
      <c r="K370" s="647"/>
      <c r="L370" s="647"/>
      <c r="M370" s="647"/>
      <c r="N370" s="647"/>
      <c r="O370" s="647"/>
      <c r="P370" s="1317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57" s="2" customFormat="1" ht="15" hidden="1" customHeight="1" x14ac:dyDescent="0.3">
      <c r="A371" s="32"/>
      <c r="B371" s="1287" t="s">
        <v>123</v>
      </c>
      <c r="C371" s="9"/>
      <c r="D371" s="9" t="s">
        <v>69</v>
      </c>
      <c r="E371" s="9" t="s">
        <v>103</v>
      </c>
      <c r="F371" s="9" t="s">
        <v>136</v>
      </c>
      <c r="G371" s="9" t="s">
        <v>120</v>
      </c>
      <c r="H371" s="9"/>
      <c r="I371" s="9"/>
      <c r="J371" s="647">
        <f>J372</f>
        <v>0</v>
      </c>
      <c r="K371" s="647"/>
      <c r="L371" s="647">
        <v>263</v>
      </c>
      <c r="M371" s="647">
        <v>263</v>
      </c>
      <c r="N371" s="647">
        <f>N372</f>
        <v>0</v>
      </c>
      <c r="O371" s="647">
        <f>O372</f>
        <v>0</v>
      </c>
      <c r="P371" s="1317">
        <f>P372</f>
        <v>0</v>
      </c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57" s="2" customFormat="1" ht="42" hidden="1" customHeight="1" x14ac:dyDescent="0.3">
      <c r="A372" s="32"/>
      <c r="B372" s="1333" t="s">
        <v>105</v>
      </c>
      <c r="C372" s="9"/>
      <c r="D372" s="9"/>
      <c r="E372" s="9"/>
      <c r="F372" s="9" t="s">
        <v>136</v>
      </c>
      <c r="G372" s="9" t="s">
        <v>120</v>
      </c>
      <c r="H372" s="9"/>
      <c r="I372" s="9" t="s">
        <v>103</v>
      </c>
      <c r="J372" s="647"/>
      <c r="K372" s="647"/>
      <c r="L372" s="647">
        <v>263</v>
      </c>
      <c r="M372" s="647">
        <v>263</v>
      </c>
      <c r="N372" s="647"/>
      <c r="O372" s="647"/>
      <c r="P372" s="1317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57" s="2" customFormat="1" ht="99" hidden="1" customHeight="1" x14ac:dyDescent="0.25">
      <c r="A373" s="32"/>
      <c r="B373" s="110" t="s">
        <v>135</v>
      </c>
      <c r="C373" s="9"/>
      <c r="D373" s="9" t="s">
        <v>69</v>
      </c>
      <c r="E373" s="9" t="s">
        <v>103</v>
      </c>
      <c r="F373" s="34" t="s">
        <v>132</v>
      </c>
      <c r="G373" s="9"/>
      <c r="H373" s="9"/>
      <c r="I373" s="9"/>
      <c r="J373" s="640">
        <f>J374</f>
        <v>0</v>
      </c>
      <c r="K373" s="640"/>
      <c r="L373" s="640">
        <f>L374</f>
        <v>130.1</v>
      </c>
      <c r="M373" s="640">
        <f>M374</f>
        <v>130.1</v>
      </c>
      <c r="N373" s="640">
        <f>N374</f>
        <v>0</v>
      </c>
      <c r="O373" s="640">
        <f>O374</f>
        <v>0</v>
      </c>
      <c r="P373" s="1311">
        <f>P374</f>
        <v>0</v>
      </c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57" s="2" customFormat="1" ht="15" hidden="1" customHeight="1" x14ac:dyDescent="0.3">
      <c r="A374" s="32"/>
      <c r="B374" s="1287" t="s">
        <v>123</v>
      </c>
      <c r="C374" s="9"/>
      <c r="D374" s="9" t="s">
        <v>69</v>
      </c>
      <c r="E374" s="9" t="s">
        <v>103</v>
      </c>
      <c r="F374" s="9" t="s">
        <v>132</v>
      </c>
      <c r="G374" s="9" t="s">
        <v>120</v>
      </c>
      <c r="H374" s="9"/>
      <c r="I374" s="9"/>
      <c r="J374" s="647">
        <f>J376</f>
        <v>0</v>
      </c>
      <c r="K374" s="647"/>
      <c r="L374" s="647">
        <v>130.1</v>
      </c>
      <c r="M374" s="647">
        <v>130.1</v>
      </c>
      <c r="N374" s="647">
        <f>N376</f>
        <v>0</v>
      </c>
      <c r="O374" s="647">
        <f>O376</f>
        <v>0</v>
      </c>
      <c r="P374" s="1317">
        <f>P376</f>
        <v>0</v>
      </c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57" s="2" customFormat="1" ht="60.65" hidden="1" customHeight="1" x14ac:dyDescent="0.25">
      <c r="A375" s="32"/>
      <c r="B375" s="109" t="s">
        <v>134</v>
      </c>
      <c r="C375" s="88"/>
      <c r="D375" s="88" t="s">
        <v>69</v>
      </c>
      <c r="E375" s="88" t="s">
        <v>103</v>
      </c>
      <c r="F375" s="9" t="s">
        <v>133</v>
      </c>
      <c r="G375" s="9"/>
      <c r="H375" s="9"/>
      <c r="I375" s="88" t="s">
        <v>103</v>
      </c>
      <c r="J375" s="647"/>
      <c r="K375" s="647"/>
      <c r="L375" s="647"/>
      <c r="M375" s="647"/>
      <c r="N375" s="647"/>
      <c r="O375" s="647"/>
      <c r="P375" s="1317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57" s="2" customFormat="1" ht="40.15" hidden="1" customHeight="1" x14ac:dyDescent="0.3">
      <c r="A376" s="32"/>
      <c r="B376" s="1319" t="s">
        <v>105</v>
      </c>
      <c r="C376" s="88"/>
      <c r="D376" s="88"/>
      <c r="E376" s="88"/>
      <c r="F376" s="9" t="s">
        <v>132</v>
      </c>
      <c r="G376" s="9" t="s">
        <v>120</v>
      </c>
      <c r="H376" s="9"/>
      <c r="I376" s="9" t="s">
        <v>103</v>
      </c>
      <c r="J376" s="647"/>
      <c r="K376" s="647"/>
      <c r="L376" s="647">
        <v>130.1</v>
      </c>
      <c r="M376" s="647">
        <v>130.1</v>
      </c>
      <c r="N376" s="647"/>
      <c r="O376" s="647"/>
      <c r="P376" s="1317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57" s="2" customFormat="1" ht="40.15" hidden="1" customHeight="1" x14ac:dyDescent="0.3">
      <c r="A377" s="32"/>
      <c r="B377" s="1320" t="s">
        <v>131</v>
      </c>
      <c r="C377" s="88"/>
      <c r="D377" s="88"/>
      <c r="E377" s="88"/>
      <c r="F377" s="34" t="s">
        <v>129</v>
      </c>
      <c r="G377" s="34"/>
      <c r="H377" s="34"/>
      <c r="I377" s="34"/>
      <c r="J377" s="640">
        <f>J379</f>
        <v>170.1</v>
      </c>
      <c r="K377" s="640"/>
      <c r="L377" s="640"/>
      <c r="M377" s="640"/>
      <c r="N377" s="640">
        <f>N379</f>
        <v>188.2</v>
      </c>
      <c r="O377" s="640">
        <f>O379</f>
        <v>0</v>
      </c>
      <c r="P377" s="1311">
        <f>P379</f>
        <v>0</v>
      </c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57" s="2" customFormat="1" ht="13" hidden="1" x14ac:dyDescent="0.25">
      <c r="A378" s="32"/>
      <c r="B378" s="1336" t="s">
        <v>130</v>
      </c>
      <c r="C378" s="88"/>
      <c r="D378" s="88"/>
      <c r="E378" s="88"/>
      <c r="F378" s="9" t="s">
        <v>129</v>
      </c>
      <c r="G378" s="9" t="s">
        <v>120</v>
      </c>
      <c r="H378" s="9"/>
      <c r="I378" s="9"/>
      <c r="J378" s="647"/>
      <c r="K378" s="647"/>
      <c r="L378" s="647"/>
      <c r="M378" s="647"/>
      <c r="N378" s="647">
        <f>N379</f>
        <v>188.2</v>
      </c>
      <c r="O378" s="647">
        <f>O379</f>
        <v>0</v>
      </c>
      <c r="P378" s="1317">
        <f>P379</f>
        <v>0</v>
      </c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57" s="2" customFormat="1" ht="26" hidden="1" x14ac:dyDescent="0.3">
      <c r="A379" s="32"/>
      <c r="B379" s="1319" t="s">
        <v>122</v>
      </c>
      <c r="C379" s="88"/>
      <c r="D379" s="88"/>
      <c r="E379" s="88"/>
      <c r="F379" s="9" t="s">
        <v>129</v>
      </c>
      <c r="G379" s="9" t="s">
        <v>120</v>
      </c>
      <c r="H379" s="9"/>
      <c r="I379" s="9" t="s">
        <v>119</v>
      </c>
      <c r="J379" s="647">
        <v>170.1</v>
      </c>
      <c r="K379" s="647"/>
      <c r="L379" s="647"/>
      <c r="M379" s="647"/>
      <c r="N379" s="647">
        <v>188.2</v>
      </c>
      <c r="O379" s="647"/>
      <c r="P379" s="1317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57" s="2" customFormat="1" ht="39" x14ac:dyDescent="0.25">
      <c r="A380" s="32"/>
      <c r="B380" s="107" t="s">
        <v>834</v>
      </c>
      <c r="C380" s="88"/>
      <c r="D380" s="88" t="s">
        <v>69</v>
      </c>
      <c r="E380" s="88" t="s">
        <v>103</v>
      </c>
      <c r="F380" s="34" t="s">
        <v>127</v>
      </c>
      <c r="G380" s="9"/>
      <c r="H380" s="9"/>
      <c r="I380" s="88"/>
      <c r="J380" s="640">
        <f>J381+J383</f>
        <v>547.5</v>
      </c>
      <c r="K380" s="640"/>
      <c r="L380" s="640">
        <f>L381+L383</f>
        <v>546.70000000000005</v>
      </c>
      <c r="M380" s="640">
        <f>M381+M383</f>
        <v>546.70000000000005</v>
      </c>
      <c r="N380" s="640">
        <f>N381+N383</f>
        <v>598.5</v>
      </c>
      <c r="O380" s="640">
        <f>O381+O383</f>
        <v>656</v>
      </c>
      <c r="P380" s="1311">
        <f>P381+P383</f>
        <v>656</v>
      </c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</row>
    <row r="381" spans="1:257" s="2" customFormat="1" ht="13" x14ac:dyDescent="0.3">
      <c r="A381" s="32"/>
      <c r="B381" s="1337" t="s">
        <v>7</v>
      </c>
      <c r="C381" s="88"/>
      <c r="D381" s="88" t="s">
        <v>69</v>
      </c>
      <c r="E381" s="88" t="s">
        <v>103</v>
      </c>
      <c r="F381" s="9" t="s">
        <v>127</v>
      </c>
      <c r="G381" s="9" t="s">
        <v>5</v>
      </c>
      <c r="H381" s="9"/>
      <c r="I381" s="88"/>
      <c r="J381" s="647">
        <f>J382</f>
        <v>510.3</v>
      </c>
      <c r="K381" s="647"/>
      <c r="L381" s="647">
        <f>546.7-45.2</f>
        <v>501.50000000000006</v>
      </c>
      <c r="M381" s="647">
        <f>546.7-45.2</f>
        <v>501.50000000000006</v>
      </c>
      <c r="N381" s="647">
        <f>N382</f>
        <v>561.29999999999995</v>
      </c>
      <c r="O381" s="647">
        <f>O382</f>
        <v>618.79999999999995</v>
      </c>
      <c r="P381" s="1317">
        <f>P382</f>
        <v>618.79999999999995</v>
      </c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</row>
    <row r="382" spans="1:257" s="2" customFormat="1" ht="39" x14ac:dyDescent="0.25">
      <c r="A382" s="32"/>
      <c r="B382" s="52" t="s">
        <v>833</v>
      </c>
      <c r="C382" s="88"/>
      <c r="D382" s="88"/>
      <c r="E382" s="88"/>
      <c r="F382" s="9" t="s">
        <v>127</v>
      </c>
      <c r="G382" s="9" t="s">
        <v>5</v>
      </c>
      <c r="H382" s="9" t="s">
        <v>495</v>
      </c>
      <c r="I382" s="9" t="s">
        <v>832</v>
      </c>
      <c r="J382" s="647">
        <f>392.863+117.437</f>
        <v>510.3</v>
      </c>
      <c r="K382" s="647"/>
      <c r="L382" s="647">
        <f>546.7-45.2</f>
        <v>501.50000000000006</v>
      </c>
      <c r="M382" s="647">
        <f>546.7-45.2</f>
        <v>501.50000000000006</v>
      </c>
      <c r="N382" s="647">
        <v>561.29999999999995</v>
      </c>
      <c r="O382" s="647">
        <v>618.79999999999995</v>
      </c>
      <c r="P382" s="1317">
        <v>618.79999999999995</v>
      </c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</row>
    <row r="383" spans="1:257" s="2" customFormat="1" ht="26" x14ac:dyDescent="0.25">
      <c r="A383" s="32"/>
      <c r="B383" s="1312" t="s">
        <v>4</v>
      </c>
      <c r="C383" s="88"/>
      <c r="D383" s="88"/>
      <c r="E383" s="88"/>
      <c r="F383" s="9" t="s">
        <v>127</v>
      </c>
      <c r="G383" s="9" t="s">
        <v>1</v>
      </c>
      <c r="H383" s="9"/>
      <c r="I383" s="88"/>
      <c r="J383" s="647">
        <f>J384</f>
        <v>37.200000000000003</v>
      </c>
      <c r="K383" s="647"/>
      <c r="L383" s="647">
        <v>45.2</v>
      </c>
      <c r="M383" s="647">
        <v>45.2</v>
      </c>
      <c r="N383" s="647">
        <f>N384</f>
        <v>37.200000000000003</v>
      </c>
      <c r="O383" s="647">
        <f>O384</f>
        <v>37.200000000000003</v>
      </c>
      <c r="P383" s="1317">
        <f>P384</f>
        <v>37.200000000000003</v>
      </c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</row>
    <row r="384" spans="1:257" s="2" customFormat="1" ht="39" x14ac:dyDescent="0.25">
      <c r="A384" s="32"/>
      <c r="B384" s="52" t="s">
        <v>833</v>
      </c>
      <c r="C384" s="88"/>
      <c r="D384" s="88"/>
      <c r="E384" s="88"/>
      <c r="F384" s="9" t="s">
        <v>127</v>
      </c>
      <c r="G384" s="9" t="s">
        <v>1</v>
      </c>
      <c r="H384" s="9" t="s">
        <v>495</v>
      </c>
      <c r="I384" s="9" t="s">
        <v>832</v>
      </c>
      <c r="J384" s="647">
        <f>17.5+15.7+4</f>
        <v>37.200000000000003</v>
      </c>
      <c r="K384" s="647"/>
      <c r="L384" s="647">
        <v>45.2</v>
      </c>
      <c r="M384" s="647">
        <v>45.2</v>
      </c>
      <c r="N384" s="647">
        <v>37.200000000000003</v>
      </c>
      <c r="O384" s="647">
        <v>37.200000000000003</v>
      </c>
      <c r="P384" s="1317">
        <v>37.200000000000003</v>
      </c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</row>
    <row r="385" spans="1:257" s="2" customFormat="1" ht="42" hidden="1" customHeight="1" x14ac:dyDescent="0.25">
      <c r="A385" s="32"/>
      <c r="B385" s="52" t="s">
        <v>122</v>
      </c>
      <c r="C385" s="9"/>
      <c r="D385" s="94" t="s">
        <v>69</v>
      </c>
      <c r="E385" s="34" t="s">
        <v>119</v>
      </c>
      <c r="F385" s="94" t="s">
        <v>71</v>
      </c>
      <c r="G385" s="94" t="s">
        <v>71</v>
      </c>
      <c r="H385" s="94"/>
      <c r="I385" s="34"/>
      <c r="J385" s="655">
        <f>J386</f>
        <v>0</v>
      </c>
      <c r="K385" s="655"/>
      <c r="L385" s="655">
        <f t="shared" ref="L385:P387" si="41">L386</f>
        <v>99.305000000000007</v>
      </c>
      <c r="M385" s="655">
        <f t="shared" si="41"/>
        <v>99.305000000000007</v>
      </c>
      <c r="N385" s="655">
        <f t="shared" si="41"/>
        <v>0</v>
      </c>
      <c r="O385" s="655">
        <f t="shared" si="41"/>
        <v>0</v>
      </c>
      <c r="P385" s="1313">
        <f t="shared" si="41"/>
        <v>0</v>
      </c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</row>
    <row r="386" spans="1:257" s="2" customFormat="1" ht="39" hidden="1" x14ac:dyDescent="0.25">
      <c r="A386" s="32"/>
      <c r="B386" s="52" t="s">
        <v>126</v>
      </c>
      <c r="C386" s="9"/>
      <c r="D386" s="94" t="s">
        <v>69</v>
      </c>
      <c r="E386" s="94" t="s">
        <v>119</v>
      </c>
      <c r="F386" s="34" t="s">
        <v>125</v>
      </c>
      <c r="G386" s="79"/>
      <c r="H386" s="79"/>
      <c r="I386" s="94"/>
      <c r="J386" s="655">
        <f>J387</f>
        <v>0</v>
      </c>
      <c r="K386" s="655"/>
      <c r="L386" s="655">
        <f t="shared" si="41"/>
        <v>99.305000000000007</v>
      </c>
      <c r="M386" s="655">
        <f t="shared" si="41"/>
        <v>99.305000000000007</v>
      </c>
      <c r="N386" s="655">
        <f t="shared" si="41"/>
        <v>0</v>
      </c>
      <c r="O386" s="655">
        <f t="shared" si="41"/>
        <v>0</v>
      </c>
      <c r="P386" s="1313">
        <f t="shared" si="41"/>
        <v>0</v>
      </c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</row>
    <row r="387" spans="1:257" s="2" customFormat="1" ht="68.5" hidden="1" customHeight="1" x14ac:dyDescent="0.25">
      <c r="A387" s="32"/>
      <c r="B387" s="105" t="s">
        <v>124</v>
      </c>
      <c r="C387" s="9"/>
      <c r="D387" s="88" t="s">
        <v>69</v>
      </c>
      <c r="E387" s="88" t="s">
        <v>119</v>
      </c>
      <c r="F387" s="34" t="s">
        <v>121</v>
      </c>
      <c r="G387" s="9"/>
      <c r="H387" s="9"/>
      <c r="I387" s="88"/>
      <c r="J387" s="647">
        <f>J388</f>
        <v>0</v>
      </c>
      <c r="K387" s="647"/>
      <c r="L387" s="647">
        <f t="shared" si="41"/>
        <v>99.305000000000007</v>
      </c>
      <c r="M387" s="647">
        <f t="shared" si="41"/>
        <v>99.305000000000007</v>
      </c>
      <c r="N387" s="647">
        <f t="shared" si="41"/>
        <v>0</v>
      </c>
      <c r="O387" s="647">
        <f t="shared" si="41"/>
        <v>0</v>
      </c>
      <c r="P387" s="1317">
        <f t="shared" si="41"/>
        <v>0</v>
      </c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</row>
    <row r="388" spans="1:257" s="2" customFormat="1" ht="13.9" hidden="1" customHeight="1" x14ac:dyDescent="0.3">
      <c r="A388" s="32"/>
      <c r="B388" s="1318" t="s">
        <v>123</v>
      </c>
      <c r="C388" s="9"/>
      <c r="D388" s="88" t="s">
        <v>69</v>
      </c>
      <c r="E388" s="88" t="s">
        <v>119</v>
      </c>
      <c r="F388" s="9" t="s">
        <v>121</v>
      </c>
      <c r="G388" s="9" t="s">
        <v>120</v>
      </c>
      <c r="H388" s="9"/>
      <c r="I388" s="88"/>
      <c r="J388" s="647">
        <f>J389</f>
        <v>0</v>
      </c>
      <c r="K388" s="647"/>
      <c r="L388" s="647">
        <v>99.305000000000007</v>
      </c>
      <c r="M388" s="647">
        <v>99.305000000000007</v>
      </c>
      <c r="N388" s="647">
        <f>N389</f>
        <v>0</v>
      </c>
      <c r="O388" s="647">
        <f>O389</f>
        <v>0</v>
      </c>
      <c r="P388" s="1317">
        <f>P389</f>
        <v>0</v>
      </c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</row>
    <row r="389" spans="1:257" s="2" customFormat="1" ht="28.15" hidden="1" customHeight="1" x14ac:dyDescent="0.3">
      <c r="A389" s="32"/>
      <c r="B389" s="1319" t="s">
        <v>122</v>
      </c>
      <c r="C389" s="9"/>
      <c r="D389" s="88"/>
      <c r="E389" s="88"/>
      <c r="F389" s="9" t="s">
        <v>121</v>
      </c>
      <c r="G389" s="9" t="s">
        <v>120</v>
      </c>
      <c r="H389" s="9"/>
      <c r="I389" s="88" t="s">
        <v>119</v>
      </c>
      <c r="J389" s="647"/>
      <c r="K389" s="647"/>
      <c r="L389" s="647">
        <v>99.305000000000007</v>
      </c>
      <c r="M389" s="647">
        <v>99.305000000000007</v>
      </c>
      <c r="N389" s="647"/>
      <c r="O389" s="647"/>
      <c r="P389" s="1317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</row>
    <row r="390" spans="1:257" s="2" customFormat="1" ht="54.65" hidden="1" customHeight="1" x14ac:dyDescent="0.25">
      <c r="A390" s="32"/>
      <c r="B390" s="347" t="s">
        <v>118</v>
      </c>
      <c r="C390" s="9"/>
      <c r="D390" s="88"/>
      <c r="E390" s="88"/>
      <c r="F390" s="34" t="s">
        <v>117</v>
      </c>
      <c r="G390" s="9"/>
      <c r="H390" s="9"/>
      <c r="I390" s="88"/>
      <c r="J390" s="647"/>
      <c r="K390" s="647"/>
      <c r="L390" s="647"/>
      <c r="M390" s="647"/>
      <c r="N390" s="647">
        <f t="shared" ref="N390:N393" si="42">N391</f>
        <v>599.60299999999995</v>
      </c>
      <c r="O390" s="647"/>
      <c r="P390" s="1317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</row>
    <row r="391" spans="1:257" s="2" customFormat="1" ht="28.15" hidden="1" customHeight="1" x14ac:dyDescent="0.25">
      <c r="A391" s="32"/>
      <c r="B391" s="347" t="s">
        <v>109</v>
      </c>
      <c r="C391" s="9"/>
      <c r="D391" s="88"/>
      <c r="E391" s="88"/>
      <c r="F391" s="9" t="s">
        <v>116</v>
      </c>
      <c r="G391" s="9"/>
      <c r="H391" s="9"/>
      <c r="I391" s="88"/>
      <c r="J391" s="647"/>
      <c r="K391" s="647"/>
      <c r="L391" s="647"/>
      <c r="M391" s="647"/>
      <c r="N391" s="647">
        <f t="shared" si="42"/>
        <v>599.60299999999995</v>
      </c>
      <c r="O391" s="647"/>
      <c r="P391" s="1317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</row>
    <row r="392" spans="1:257" s="2" customFormat="1" ht="28.15" hidden="1" customHeight="1" x14ac:dyDescent="0.25">
      <c r="A392" s="32"/>
      <c r="B392" s="1501" t="s">
        <v>115</v>
      </c>
      <c r="C392" s="9"/>
      <c r="D392" s="88"/>
      <c r="E392" s="88"/>
      <c r="F392" s="9" t="s">
        <v>113</v>
      </c>
      <c r="G392" s="9"/>
      <c r="H392" s="9"/>
      <c r="I392" s="88"/>
      <c r="J392" s="647"/>
      <c r="K392" s="647"/>
      <c r="L392" s="647"/>
      <c r="M392" s="647"/>
      <c r="N392" s="647">
        <f t="shared" si="42"/>
        <v>599.60299999999995</v>
      </c>
      <c r="O392" s="647"/>
      <c r="P392" s="1317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</row>
    <row r="393" spans="1:257" s="2" customFormat="1" ht="16.149999999999999" hidden="1" customHeight="1" x14ac:dyDescent="0.3">
      <c r="A393" s="32"/>
      <c r="B393" s="1287" t="s">
        <v>7</v>
      </c>
      <c r="C393" s="9"/>
      <c r="D393" s="88"/>
      <c r="E393" s="88"/>
      <c r="F393" s="9" t="s">
        <v>113</v>
      </c>
      <c r="G393" s="9" t="s">
        <v>5</v>
      </c>
      <c r="H393" s="9"/>
      <c r="I393" s="88"/>
      <c r="J393" s="647"/>
      <c r="K393" s="647"/>
      <c r="L393" s="647"/>
      <c r="M393" s="647"/>
      <c r="N393" s="647">
        <f t="shared" si="42"/>
        <v>599.60299999999995</v>
      </c>
      <c r="O393" s="647"/>
      <c r="P393" s="1317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</row>
    <row r="394" spans="1:257" s="2" customFormat="1" ht="40.15" hidden="1" customHeight="1" x14ac:dyDescent="0.3">
      <c r="A394" s="32"/>
      <c r="B394" s="1320" t="s">
        <v>114</v>
      </c>
      <c r="C394" s="9"/>
      <c r="D394" s="88"/>
      <c r="E394" s="88"/>
      <c r="F394" s="9" t="s">
        <v>113</v>
      </c>
      <c r="G394" s="9" t="s">
        <v>5</v>
      </c>
      <c r="H394" s="9" t="s">
        <v>456</v>
      </c>
      <c r="I394" s="9" t="s">
        <v>495</v>
      </c>
      <c r="J394" s="647"/>
      <c r="K394" s="647"/>
      <c r="L394" s="647"/>
      <c r="M394" s="647"/>
      <c r="N394" s="647">
        <v>599.60299999999995</v>
      </c>
      <c r="P394" s="833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</row>
    <row r="395" spans="1:257" s="2" customFormat="1" ht="52" x14ac:dyDescent="0.25">
      <c r="A395" s="32"/>
      <c r="B395" s="347" t="s">
        <v>111</v>
      </c>
      <c r="C395" s="88"/>
      <c r="D395" s="88"/>
      <c r="E395" s="88"/>
      <c r="F395" s="34" t="s">
        <v>110</v>
      </c>
      <c r="G395" s="88"/>
      <c r="H395" s="88"/>
      <c r="I395" s="88"/>
      <c r="J395" s="650">
        <f>J396</f>
        <v>1183.2429999999999</v>
      </c>
      <c r="K395" s="653"/>
      <c r="L395" s="653"/>
      <c r="M395" s="656"/>
      <c r="N395" s="650">
        <f t="shared" ref="N395:P398" si="43">N396</f>
        <v>1450.866</v>
      </c>
      <c r="O395" s="650">
        <f t="shared" si="43"/>
        <v>1573.104</v>
      </c>
      <c r="P395" s="1313">
        <f t="shared" si="43"/>
        <v>1636.028</v>
      </c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</row>
    <row r="396" spans="1:257" ht="21" customHeight="1" x14ac:dyDescent="0.25">
      <c r="A396" s="32"/>
      <c r="B396" s="347" t="s">
        <v>109</v>
      </c>
      <c r="C396" s="88"/>
      <c r="D396" s="88"/>
      <c r="E396" s="88"/>
      <c r="F396" s="9" t="s">
        <v>108</v>
      </c>
      <c r="G396" s="88"/>
      <c r="H396" s="88"/>
      <c r="I396" s="88"/>
      <c r="J396" s="653">
        <f>J397</f>
        <v>1183.2429999999999</v>
      </c>
      <c r="K396" s="653"/>
      <c r="L396" s="653"/>
      <c r="M396" s="656"/>
      <c r="N396" s="653">
        <f t="shared" si="43"/>
        <v>1450.866</v>
      </c>
      <c r="O396" s="653">
        <f t="shared" si="43"/>
        <v>1573.104</v>
      </c>
      <c r="P396" s="1310">
        <f t="shared" si="43"/>
        <v>1636.028</v>
      </c>
    </row>
    <row r="397" spans="1:257" ht="26" x14ac:dyDescent="0.25">
      <c r="A397" s="32"/>
      <c r="B397" s="49" t="s">
        <v>107</v>
      </c>
      <c r="C397" s="88" t="s">
        <v>106</v>
      </c>
      <c r="D397" s="88" t="s">
        <v>69</v>
      </c>
      <c r="E397" s="88" t="s">
        <v>103</v>
      </c>
      <c r="F397" s="9" t="s">
        <v>104</v>
      </c>
      <c r="G397" s="9"/>
      <c r="H397" s="9"/>
      <c r="I397" s="88"/>
      <c r="J397" s="646">
        <f>J398</f>
        <v>1183.2429999999999</v>
      </c>
      <c r="K397" s="644"/>
      <c r="L397" s="644">
        <f>L398</f>
        <v>1223.8879999999999</v>
      </c>
      <c r="M397" s="640">
        <f>M398</f>
        <v>1309.56</v>
      </c>
      <c r="N397" s="646">
        <f t="shared" si="43"/>
        <v>1450.866</v>
      </c>
      <c r="O397" s="646">
        <f t="shared" si="43"/>
        <v>1573.104</v>
      </c>
      <c r="P397" s="1317">
        <f t="shared" si="43"/>
        <v>1636.028</v>
      </c>
    </row>
    <row r="398" spans="1:257" ht="13" x14ac:dyDescent="0.3">
      <c r="A398" s="32"/>
      <c r="B398" s="1287" t="s">
        <v>7</v>
      </c>
      <c r="C398" s="88"/>
      <c r="D398" s="88" t="s">
        <v>69</v>
      </c>
      <c r="E398" s="88" t="s">
        <v>103</v>
      </c>
      <c r="F398" s="9" t="s">
        <v>104</v>
      </c>
      <c r="G398" s="88">
        <v>120</v>
      </c>
      <c r="H398" s="88"/>
      <c r="I398" s="88"/>
      <c r="J398" s="646">
        <f>J399</f>
        <v>1183.2429999999999</v>
      </c>
      <c r="K398" s="646"/>
      <c r="L398" s="653">
        <v>1223.8879999999999</v>
      </c>
      <c r="M398" s="653">
        <v>1309.56</v>
      </c>
      <c r="N398" s="646">
        <f t="shared" si="43"/>
        <v>1450.866</v>
      </c>
      <c r="O398" s="646">
        <f t="shared" si="43"/>
        <v>1573.104</v>
      </c>
      <c r="P398" s="1317">
        <f t="shared" si="43"/>
        <v>1636.028</v>
      </c>
    </row>
    <row r="399" spans="1:257" ht="39" x14ac:dyDescent="0.3">
      <c r="A399" s="32"/>
      <c r="B399" s="1333" t="s">
        <v>105</v>
      </c>
      <c r="C399" s="88"/>
      <c r="D399" s="88"/>
      <c r="E399" s="88"/>
      <c r="F399" s="9" t="s">
        <v>104</v>
      </c>
      <c r="G399" s="88">
        <v>120</v>
      </c>
      <c r="H399" s="9" t="s">
        <v>456</v>
      </c>
      <c r="I399" s="9" t="s">
        <v>452</v>
      </c>
      <c r="J399" s="646">
        <f>946.688+236.555</f>
        <v>1183.2429999999999</v>
      </c>
      <c r="K399" s="646"/>
      <c r="L399" s="653">
        <v>1223.8879999999999</v>
      </c>
      <c r="M399" s="653">
        <v>1309.56</v>
      </c>
      <c r="N399" s="646">
        <v>1450.866</v>
      </c>
      <c r="O399" s="646">
        <v>1573.104</v>
      </c>
      <c r="P399" s="1317">
        <v>1636.028</v>
      </c>
    </row>
    <row r="400" spans="1:257" ht="26" x14ac:dyDescent="0.25">
      <c r="A400" s="91">
        <v>11</v>
      </c>
      <c r="B400" s="52" t="s">
        <v>102</v>
      </c>
      <c r="C400" s="34"/>
      <c r="D400" s="34" t="s">
        <v>69</v>
      </c>
      <c r="E400" s="34" t="s">
        <v>90</v>
      </c>
      <c r="F400" s="34" t="s">
        <v>101</v>
      </c>
      <c r="G400" s="34"/>
      <c r="H400" s="34"/>
      <c r="I400" s="34"/>
      <c r="J400" s="655">
        <f>J402</f>
        <v>213.2</v>
      </c>
      <c r="K400" s="655"/>
      <c r="L400" s="655">
        <f>L403</f>
        <v>108</v>
      </c>
      <c r="M400" s="655">
        <f>M403</f>
        <v>108</v>
      </c>
      <c r="N400" s="655">
        <f t="shared" ref="N400:P401" si="44">N401</f>
        <v>293.2</v>
      </c>
      <c r="O400" s="655">
        <f t="shared" si="44"/>
        <v>500</v>
      </c>
      <c r="P400" s="1313">
        <f t="shared" si="44"/>
        <v>600</v>
      </c>
    </row>
    <row r="401" spans="1:24" ht="13" x14ac:dyDescent="0.25">
      <c r="A401" s="91"/>
      <c r="B401" s="49" t="s">
        <v>83</v>
      </c>
      <c r="C401" s="34"/>
      <c r="D401" s="34"/>
      <c r="E401" s="34"/>
      <c r="F401" s="9" t="s">
        <v>100</v>
      </c>
      <c r="G401" s="34"/>
      <c r="H401" s="34"/>
      <c r="I401" s="34"/>
      <c r="J401" s="655"/>
      <c r="K401" s="655"/>
      <c r="L401" s="655"/>
      <c r="M401" s="655"/>
      <c r="N401" s="656">
        <f t="shared" si="44"/>
        <v>293.2</v>
      </c>
      <c r="O401" s="656">
        <f t="shared" si="44"/>
        <v>500</v>
      </c>
      <c r="P401" s="1310">
        <f t="shared" si="44"/>
        <v>600</v>
      </c>
    </row>
    <row r="402" spans="1:24" ht="13" x14ac:dyDescent="0.25">
      <c r="A402" s="91"/>
      <c r="B402" s="49" t="s">
        <v>83</v>
      </c>
      <c r="C402" s="34"/>
      <c r="D402" s="34"/>
      <c r="E402" s="34"/>
      <c r="F402" s="9" t="s">
        <v>99</v>
      </c>
      <c r="G402" s="34"/>
      <c r="H402" s="34"/>
      <c r="I402" s="34"/>
      <c r="J402" s="656">
        <f>J405+J409</f>
        <v>213.2</v>
      </c>
      <c r="K402" s="655"/>
      <c r="L402" s="655"/>
      <c r="M402" s="655"/>
      <c r="N402" s="656">
        <f>N405+N409</f>
        <v>293.2</v>
      </c>
      <c r="O402" s="656">
        <f>O405+O409</f>
        <v>500</v>
      </c>
      <c r="P402" s="1310">
        <f>P405+P409</f>
        <v>600</v>
      </c>
    </row>
    <row r="403" spans="1:24" ht="13" x14ac:dyDescent="0.25">
      <c r="A403" s="32"/>
      <c r="B403" s="49" t="s">
        <v>98</v>
      </c>
      <c r="C403" s="34"/>
      <c r="D403" s="9" t="s">
        <v>69</v>
      </c>
      <c r="E403" s="9" t="s">
        <v>90</v>
      </c>
      <c r="F403" s="9" t="s">
        <v>92</v>
      </c>
      <c r="G403" s="34"/>
      <c r="H403" s="34"/>
      <c r="I403" s="9"/>
      <c r="J403" s="656">
        <f>J404</f>
        <v>198.2</v>
      </c>
      <c r="K403" s="656"/>
      <c r="L403" s="656">
        <f>L404+L408</f>
        <v>108</v>
      </c>
      <c r="M403" s="656">
        <f>M404+M408</f>
        <v>108</v>
      </c>
      <c r="N403" s="656">
        <f t="shared" ref="N403:P404" si="45">N404</f>
        <v>260</v>
      </c>
      <c r="O403" s="656">
        <f>O404+O408</f>
        <v>500</v>
      </c>
      <c r="P403" s="1310">
        <f>P404+P408</f>
        <v>600</v>
      </c>
    </row>
    <row r="404" spans="1:24" ht="26" x14ac:dyDescent="0.25">
      <c r="A404" s="32"/>
      <c r="B404" s="1312" t="s">
        <v>4</v>
      </c>
      <c r="C404" s="34"/>
      <c r="D404" s="9" t="s">
        <v>69</v>
      </c>
      <c r="E404" s="9" t="s">
        <v>90</v>
      </c>
      <c r="F404" s="9" t="s">
        <v>92</v>
      </c>
      <c r="G404" s="9" t="s">
        <v>1</v>
      </c>
      <c r="H404" s="9"/>
      <c r="I404" s="9"/>
      <c r="J404" s="656">
        <f>J405</f>
        <v>198.2</v>
      </c>
      <c r="K404" s="656"/>
      <c r="L404" s="656">
        <v>105</v>
      </c>
      <c r="M404" s="656">
        <v>105</v>
      </c>
      <c r="N404" s="656">
        <f t="shared" si="45"/>
        <v>260</v>
      </c>
      <c r="O404" s="656">
        <f t="shared" si="45"/>
        <v>400</v>
      </c>
      <c r="P404" s="1310">
        <f t="shared" si="45"/>
        <v>500</v>
      </c>
    </row>
    <row r="405" spans="1:24" ht="13" x14ac:dyDescent="0.25">
      <c r="A405" s="32"/>
      <c r="B405" s="52" t="s">
        <v>93</v>
      </c>
      <c r="C405" s="34"/>
      <c r="D405" s="9"/>
      <c r="E405" s="9"/>
      <c r="F405" s="9" t="s">
        <v>92</v>
      </c>
      <c r="G405" s="9" t="s">
        <v>1</v>
      </c>
      <c r="H405" s="9" t="s">
        <v>456</v>
      </c>
      <c r="I405" s="9" t="s">
        <v>573</v>
      </c>
      <c r="J405" s="656">
        <v>198.2</v>
      </c>
      <c r="K405" s="656"/>
      <c r="L405" s="656">
        <v>105</v>
      </c>
      <c r="M405" s="656">
        <v>105</v>
      </c>
      <c r="N405" s="656">
        <v>260</v>
      </c>
      <c r="O405" s="656">
        <v>400</v>
      </c>
      <c r="P405" s="1310">
        <v>500</v>
      </c>
    </row>
    <row r="406" spans="1:24" ht="13" hidden="1" x14ac:dyDescent="0.25">
      <c r="A406" s="32"/>
      <c r="B406" s="99" t="s">
        <v>97</v>
      </c>
      <c r="C406" s="34"/>
      <c r="D406" s="9" t="s">
        <v>69</v>
      </c>
      <c r="E406" s="9" t="s">
        <v>90</v>
      </c>
      <c r="F406" s="9" t="s">
        <v>96</v>
      </c>
      <c r="G406" s="9" t="s">
        <v>95</v>
      </c>
      <c r="H406" s="9"/>
      <c r="I406" s="656"/>
      <c r="J406" s="656">
        <f>J407</f>
        <v>0</v>
      </c>
      <c r="K406" s="656"/>
      <c r="L406" s="656"/>
      <c r="M406" s="2"/>
      <c r="N406" s="656">
        <f>N407</f>
        <v>0</v>
      </c>
      <c r="O406" s="656">
        <f>O407</f>
        <v>0</v>
      </c>
      <c r="P406" s="1310">
        <f>P407</f>
        <v>0</v>
      </c>
      <c r="Q406" s="1338"/>
    </row>
    <row r="407" spans="1:24" ht="13" hidden="1" x14ac:dyDescent="0.25">
      <c r="A407" s="32"/>
      <c r="B407" s="52" t="s">
        <v>93</v>
      </c>
      <c r="C407" s="34"/>
      <c r="D407" s="9"/>
      <c r="E407" s="9"/>
      <c r="F407" s="9" t="s">
        <v>96</v>
      </c>
      <c r="G407" s="9" t="s">
        <v>95</v>
      </c>
      <c r="H407" s="9"/>
      <c r="I407" s="9" t="s">
        <v>90</v>
      </c>
      <c r="J407" s="656"/>
      <c r="K407" s="656"/>
      <c r="L407" s="656"/>
      <c r="M407" s="656"/>
      <c r="N407" s="656"/>
      <c r="O407" s="656"/>
      <c r="P407" s="1310"/>
    </row>
    <row r="408" spans="1:24" ht="13" x14ac:dyDescent="0.3">
      <c r="A408" s="32"/>
      <c r="B408" s="1318" t="s">
        <v>94</v>
      </c>
      <c r="C408" s="34"/>
      <c r="D408" s="9" t="s">
        <v>69</v>
      </c>
      <c r="E408" s="9" t="s">
        <v>90</v>
      </c>
      <c r="F408" s="9" t="s">
        <v>92</v>
      </c>
      <c r="G408" s="9" t="s">
        <v>91</v>
      </c>
      <c r="H408" s="9"/>
      <c r="I408" s="9"/>
      <c r="J408" s="656">
        <f>J409</f>
        <v>15</v>
      </c>
      <c r="K408" s="656"/>
      <c r="L408" s="656">
        <v>3</v>
      </c>
      <c r="M408" s="656">
        <v>3</v>
      </c>
      <c r="N408" s="656">
        <f>N409</f>
        <v>33.200000000000003</v>
      </c>
      <c r="O408" s="656">
        <f>O409</f>
        <v>100</v>
      </c>
      <c r="P408" s="1310">
        <f>P409</f>
        <v>100</v>
      </c>
    </row>
    <row r="409" spans="1:24" ht="13" x14ac:dyDescent="0.25">
      <c r="A409" s="32"/>
      <c r="B409" s="52" t="s">
        <v>93</v>
      </c>
      <c r="C409" s="34"/>
      <c r="D409" s="9"/>
      <c r="E409" s="9"/>
      <c r="F409" s="9" t="s">
        <v>92</v>
      </c>
      <c r="G409" s="9" t="s">
        <v>91</v>
      </c>
      <c r="H409" s="9" t="s">
        <v>456</v>
      </c>
      <c r="I409" s="9" t="s">
        <v>573</v>
      </c>
      <c r="J409" s="656">
        <f>13+2</f>
        <v>15</v>
      </c>
      <c r="K409" s="656"/>
      <c r="L409" s="656">
        <v>3</v>
      </c>
      <c r="M409" s="656">
        <v>3</v>
      </c>
      <c r="N409" s="656">
        <v>33.200000000000003</v>
      </c>
      <c r="O409" s="656">
        <v>100</v>
      </c>
      <c r="P409" s="1310">
        <v>100</v>
      </c>
    </row>
    <row r="410" spans="1:24" s="83" customFormat="1" ht="39" x14ac:dyDescent="0.3">
      <c r="A410" s="91">
        <v>12</v>
      </c>
      <c r="B410" s="52" t="s">
        <v>25</v>
      </c>
      <c r="C410" s="9"/>
      <c r="D410" s="94" t="s">
        <v>69</v>
      </c>
      <c r="E410" s="34" t="s">
        <v>66</v>
      </c>
      <c r="F410" s="94" t="s">
        <v>89</v>
      </c>
      <c r="G410" s="94"/>
      <c r="H410" s="94"/>
      <c r="I410" s="34"/>
      <c r="J410" s="680">
        <f>J422+J434+J437+J440+J444+J463+J466+J474+J417+J452+J431+J419+J457+J460+J411+J427+J428+J482</f>
        <v>32462.342000000001</v>
      </c>
      <c r="K410" s="653"/>
      <c r="L410" s="650">
        <f>L422+L434+L437+L440+L444+L463+L466+L485+L417+L452</f>
        <v>13168.182999999999</v>
      </c>
      <c r="M410" s="650">
        <f>M422+M434+M437+M440+M444+M463+M466+M485+M417+M452</f>
        <v>13168.182999999999</v>
      </c>
      <c r="N410" s="680">
        <f>N418+N424+N442+N451+N453+N456+N465+N476+N478+N484</f>
        <v>12909.142999999998</v>
      </c>
      <c r="O410" s="680">
        <f>O418+O424+O436+O442+O484+O487+O489+O495+O498</f>
        <v>8754.527</v>
      </c>
      <c r="P410" s="1313">
        <f>P418+P424+P436+P442+P484+P487+P489+P495+P498</f>
        <v>8036.6110000000008</v>
      </c>
      <c r="Q410" s="84"/>
      <c r="R410" s="84"/>
      <c r="S410" s="84"/>
      <c r="T410" s="84"/>
      <c r="U410" s="84"/>
      <c r="V410" s="84"/>
      <c r="W410" s="84"/>
      <c r="X410" s="84"/>
    </row>
    <row r="411" spans="1:24" s="83" customFormat="1" ht="26" hidden="1" x14ac:dyDescent="0.3">
      <c r="A411" s="91"/>
      <c r="B411" s="1320" t="s">
        <v>88</v>
      </c>
      <c r="C411" s="9"/>
      <c r="D411" s="94"/>
      <c r="E411" s="34"/>
      <c r="F411" s="34" t="s">
        <v>86</v>
      </c>
      <c r="G411" s="94"/>
      <c r="H411" s="94"/>
      <c r="I411" s="34"/>
      <c r="J411" s="646"/>
      <c r="K411" s="653"/>
      <c r="L411" s="650"/>
      <c r="M411" s="650"/>
      <c r="N411" s="646"/>
      <c r="O411" s="646"/>
      <c r="P411" s="1317"/>
      <c r="Q411" s="84"/>
      <c r="R411" s="84"/>
      <c r="S411" s="84"/>
      <c r="T411" s="84"/>
      <c r="U411" s="84"/>
      <c r="V411" s="84"/>
      <c r="W411" s="84"/>
      <c r="X411" s="84"/>
    </row>
    <row r="412" spans="1:24" s="83" customFormat="1" ht="26" hidden="1" x14ac:dyDescent="0.3">
      <c r="A412" s="91"/>
      <c r="B412" s="1312" t="s">
        <v>4</v>
      </c>
      <c r="C412" s="9"/>
      <c r="D412" s="94"/>
      <c r="E412" s="34"/>
      <c r="F412" s="9" t="s">
        <v>86</v>
      </c>
      <c r="G412" s="9" t="s">
        <v>1</v>
      </c>
      <c r="H412" s="9"/>
      <c r="I412" s="34"/>
      <c r="J412" s="646"/>
      <c r="K412" s="653"/>
      <c r="L412" s="650"/>
      <c r="M412" s="650"/>
      <c r="N412" s="646"/>
      <c r="O412" s="646"/>
      <c r="P412" s="1317"/>
      <c r="Q412" s="84"/>
      <c r="R412" s="84"/>
      <c r="S412" s="84"/>
      <c r="T412" s="84"/>
      <c r="U412" s="84"/>
      <c r="V412" s="84"/>
      <c r="W412" s="84"/>
      <c r="X412" s="84"/>
    </row>
    <row r="413" spans="1:24" s="83" customFormat="1" ht="13" hidden="1" x14ac:dyDescent="0.3">
      <c r="A413" s="91"/>
      <c r="B413" s="49" t="s">
        <v>87</v>
      </c>
      <c r="C413" s="9"/>
      <c r="D413" s="94"/>
      <c r="E413" s="34"/>
      <c r="F413" s="9" t="s">
        <v>86</v>
      </c>
      <c r="G413" s="9" t="s">
        <v>1</v>
      </c>
      <c r="H413" s="9"/>
      <c r="I413" s="33" t="s">
        <v>85</v>
      </c>
      <c r="J413" s="646"/>
      <c r="K413" s="653"/>
      <c r="L413" s="650"/>
      <c r="M413" s="650"/>
      <c r="N413" s="646"/>
      <c r="O413" s="646"/>
      <c r="P413" s="1317"/>
      <c r="Q413" s="84"/>
      <c r="R413" s="84"/>
      <c r="S413" s="84"/>
      <c r="T413" s="84"/>
      <c r="U413" s="84"/>
      <c r="V413" s="84"/>
      <c r="W413" s="84"/>
      <c r="X413" s="84"/>
    </row>
    <row r="414" spans="1:24" s="83" customFormat="1" ht="13" x14ac:dyDescent="0.3">
      <c r="A414" s="91"/>
      <c r="B414" s="49" t="s">
        <v>83</v>
      </c>
      <c r="C414" s="9"/>
      <c r="D414" s="94"/>
      <c r="E414" s="34"/>
      <c r="F414" s="88" t="s">
        <v>84</v>
      </c>
      <c r="G414" s="9"/>
      <c r="H414" s="9"/>
      <c r="I414" s="33"/>
      <c r="J414" s="646">
        <f>J415</f>
        <v>32462.342000000001</v>
      </c>
      <c r="K414" s="653"/>
      <c r="L414" s="650"/>
      <c r="M414" s="650"/>
      <c r="N414" s="646">
        <f>N415</f>
        <v>12909.142999999998</v>
      </c>
      <c r="O414" s="646">
        <f>O415</f>
        <v>8754.527</v>
      </c>
      <c r="P414" s="1317">
        <f>P415</f>
        <v>8036.6110000000008</v>
      </c>
      <c r="Q414" s="84"/>
      <c r="R414" s="84"/>
      <c r="S414" s="84"/>
      <c r="T414" s="84"/>
      <c r="U414" s="84"/>
      <c r="V414" s="84"/>
      <c r="W414" s="84"/>
      <c r="X414" s="84"/>
    </row>
    <row r="415" spans="1:24" s="83" customFormat="1" ht="13" x14ac:dyDescent="0.3">
      <c r="A415" s="91"/>
      <c r="B415" s="49" t="s">
        <v>83</v>
      </c>
      <c r="C415" s="9"/>
      <c r="D415" s="94"/>
      <c r="E415" s="34"/>
      <c r="F415" s="88" t="s">
        <v>82</v>
      </c>
      <c r="G415" s="9"/>
      <c r="H415" s="9"/>
      <c r="I415" s="33"/>
      <c r="J415" s="646">
        <f>J410</f>
        <v>32462.342000000001</v>
      </c>
      <c r="K415" s="653"/>
      <c r="L415" s="650"/>
      <c r="M415" s="650"/>
      <c r="N415" s="646">
        <f>N410</f>
        <v>12909.142999999998</v>
      </c>
      <c r="O415" s="646">
        <f>O410</f>
        <v>8754.527</v>
      </c>
      <c r="P415" s="1317">
        <f>P410</f>
        <v>8036.6110000000008</v>
      </c>
      <c r="Q415" s="84"/>
      <c r="R415" s="84"/>
      <c r="S415" s="84"/>
      <c r="T415" s="84"/>
      <c r="U415" s="84"/>
      <c r="V415" s="84"/>
      <c r="W415" s="84"/>
      <c r="X415" s="84"/>
    </row>
    <row r="416" spans="1:24" s="83" customFormat="1" ht="13" x14ac:dyDescent="0.3">
      <c r="A416" s="91"/>
      <c r="B416" s="262" t="s">
        <v>81</v>
      </c>
      <c r="C416" s="9"/>
      <c r="D416" s="94"/>
      <c r="E416" s="34"/>
      <c r="F416" s="79" t="s">
        <v>78</v>
      </c>
      <c r="G416" s="9"/>
      <c r="H416" s="9"/>
      <c r="I416" s="33"/>
      <c r="J416" s="646">
        <f>J417</f>
        <v>48</v>
      </c>
      <c r="K416" s="653"/>
      <c r="L416" s="650"/>
      <c r="M416" s="650"/>
      <c r="N416" s="644">
        <f t="shared" ref="N416:P417" si="46">N417</f>
        <v>883.69100000000003</v>
      </c>
      <c r="O416" s="644">
        <f t="shared" si="46"/>
        <v>639.61699999999996</v>
      </c>
      <c r="P416" s="1311">
        <f t="shared" si="46"/>
        <v>665.20100000000002</v>
      </c>
      <c r="Q416" s="84"/>
      <c r="R416" s="84"/>
      <c r="S416" s="84"/>
      <c r="T416" s="84"/>
      <c r="U416" s="84"/>
      <c r="V416" s="84"/>
      <c r="W416" s="84"/>
      <c r="X416" s="84"/>
    </row>
    <row r="417" spans="1:24" s="83" customFormat="1" ht="23.5" customHeight="1" x14ac:dyDescent="0.3">
      <c r="A417" s="91"/>
      <c r="B417" s="1319" t="s">
        <v>80</v>
      </c>
      <c r="C417" s="89"/>
      <c r="D417" s="9" t="s">
        <v>44</v>
      </c>
      <c r="E417" s="9" t="s">
        <v>76</v>
      </c>
      <c r="F417" s="77" t="s">
        <v>78</v>
      </c>
      <c r="G417" s="33" t="s">
        <v>77</v>
      </c>
      <c r="H417" s="33"/>
      <c r="I417" s="89"/>
      <c r="J417" s="656">
        <f>J418</f>
        <v>48</v>
      </c>
      <c r="K417" s="656">
        <f>K418</f>
        <v>240.5</v>
      </c>
      <c r="L417" s="656">
        <f>L418</f>
        <v>240.5</v>
      </c>
      <c r="M417" s="656">
        <f>M418</f>
        <v>240.5</v>
      </c>
      <c r="N417" s="656">
        <f t="shared" si="46"/>
        <v>883.69100000000003</v>
      </c>
      <c r="O417" s="656">
        <f t="shared" si="46"/>
        <v>639.61699999999996</v>
      </c>
      <c r="P417" s="1310">
        <f t="shared" si="46"/>
        <v>665.20100000000002</v>
      </c>
      <c r="Q417" s="84"/>
      <c r="R417" s="84"/>
      <c r="S417" s="84"/>
      <c r="T417" s="84"/>
      <c r="U417" s="84"/>
      <c r="V417" s="84"/>
      <c r="W417" s="84"/>
      <c r="X417" s="84"/>
    </row>
    <row r="418" spans="1:24" s="83" customFormat="1" ht="13" x14ac:dyDescent="0.3">
      <c r="A418" s="91"/>
      <c r="B418" s="90" t="s">
        <v>79</v>
      </c>
      <c r="C418" s="89"/>
      <c r="D418" s="9" t="s">
        <v>44</v>
      </c>
      <c r="E418" s="9" t="s">
        <v>76</v>
      </c>
      <c r="F418" s="77" t="s">
        <v>78</v>
      </c>
      <c r="G418" s="33" t="s">
        <v>77</v>
      </c>
      <c r="H418" s="33" t="s">
        <v>496</v>
      </c>
      <c r="I418" s="33" t="s">
        <v>456</v>
      </c>
      <c r="J418" s="656">
        <v>48</v>
      </c>
      <c r="K418" s="656">
        <v>240.5</v>
      </c>
      <c r="L418" s="656">
        <v>240.5</v>
      </c>
      <c r="M418" s="656">
        <v>240.5</v>
      </c>
      <c r="N418" s="656">
        <v>883.69100000000003</v>
      </c>
      <c r="O418" s="656">
        <v>639.61699999999996</v>
      </c>
      <c r="P418" s="1310">
        <v>665.20100000000002</v>
      </c>
      <c r="Q418" s="84"/>
      <c r="R418" s="84"/>
      <c r="S418" s="84"/>
      <c r="T418" s="84"/>
      <c r="U418" s="84"/>
      <c r="V418" s="84"/>
      <c r="W418" s="84"/>
      <c r="X418" s="84"/>
    </row>
    <row r="419" spans="1:24" s="83" customFormat="1" ht="39" hidden="1" x14ac:dyDescent="0.3">
      <c r="A419" s="91"/>
      <c r="B419" s="49" t="s">
        <v>75</v>
      </c>
      <c r="C419" s="9"/>
      <c r="D419" s="9" t="s">
        <v>15</v>
      </c>
      <c r="E419" s="9" t="s">
        <v>13</v>
      </c>
      <c r="F419" s="34" t="s">
        <v>73</v>
      </c>
      <c r="G419" s="33"/>
      <c r="H419" s="33"/>
      <c r="I419" s="33"/>
      <c r="J419" s="47"/>
      <c r="K419" s="656"/>
      <c r="L419" s="656"/>
      <c r="M419" s="656"/>
      <c r="N419" s="47"/>
      <c r="O419" s="47"/>
      <c r="P419" s="46"/>
      <c r="Q419" s="84"/>
      <c r="R419" s="84"/>
      <c r="S419" s="84"/>
      <c r="T419" s="84"/>
      <c r="U419" s="84"/>
      <c r="V419" s="84"/>
      <c r="W419" s="84"/>
      <c r="X419" s="84"/>
    </row>
    <row r="420" spans="1:24" s="83" customFormat="1" ht="13" hidden="1" x14ac:dyDescent="0.3">
      <c r="A420" s="91"/>
      <c r="B420" s="58" t="s">
        <v>28</v>
      </c>
      <c r="C420" s="9"/>
      <c r="D420" s="9"/>
      <c r="E420" s="9"/>
      <c r="F420" s="9" t="s">
        <v>73</v>
      </c>
      <c r="G420" s="9" t="s">
        <v>74</v>
      </c>
      <c r="H420" s="9"/>
      <c r="I420" s="33"/>
      <c r="J420" s="47"/>
      <c r="K420" s="656"/>
      <c r="L420" s="656"/>
      <c r="M420" s="656"/>
      <c r="N420" s="47"/>
      <c r="O420" s="47"/>
      <c r="P420" s="46"/>
      <c r="Q420" s="84"/>
      <c r="R420" s="84"/>
      <c r="S420" s="84"/>
      <c r="T420" s="84"/>
      <c r="U420" s="84"/>
      <c r="V420" s="84"/>
      <c r="W420" s="84"/>
      <c r="X420" s="84"/>
    </row>
    <row r="421" spans="1:24" s="83" customFormat="1" ht="13" hidden="1" x14ac:dyDescent="0.3">
      <c r="A421" s="91"/>
      <c r="B421" s="49" t="s">
        <v>39</v>
      </c>
      <c r="C421" s="9"/>
      <c r="D421" s="9"/>
      <c r="E421" s="9"/>
      <c r="F421" s="9" t="s">
        <v>73</v>
      </c>
      <c r="G421" s="9" t="s">
        <v>26</v>
      </c>
      <c r="H421" s="9"/>
      <c r="I421" s="9" t="s">
        <v>13</v>
      </c>
      <c r="J421" s="47"/>
      <c r="K421" s="656"/>
      <c r="L421" s="656"/>
      <c r="M421" s="656"/>
      <c r="N421" s="47"/>
      <c r="O421" s="47"/>
      <c r="P421" s="46"/>
      <c r="Q421" s="84"/>
      <c r="R421" s="84"/>
      <c r="S421" s="84"/>
      <c r="T421" s="84"/>
      <c r="U421" s="84"/>
      <c r="V421" s="84"/>
      <c r="W421" s="84"/>
      <c r="X421" s="84"/>
    </row>
    <row r="422" spans="1:24" ht="30" customHeight="1" x14ac:dyDescent="0.25">
      <c r="A422" s="32"/>
      <c r="B422" s="49" t="s">
        <v>72</v>
      </c>
      <c r="C422" s="9"/>
      <c r="D422" s="88" t="s">
        <v>69</v>
      </c>
      <c r="E422" s="9" t="s">
        <v>66</v>
      </c>
      <c r="F422" s="34" t="s">
        <v>67</v>
      </c>
      <c r="G422" s="88" t="s">
        <v>71</v>
      </c>
      <c r="H422" s="88"/>
      <c r="I422" s="9"/>
      <c r="J422" s="653">
        <f>J423</f>
        <v>2173</v>
      </c>
      <c r="K422" s="653"/>
      <c r="L422" s="653">
        <f>L423</f>
        <v>2000</v>
      </c>
      <c r="M422" s="653">
        <f>M423</f>
        <v>2000</v>
      </c>
      <c r="N422" s="650">
        <f>N423</f>
        <v>3045.93</v>
      </c>
      <c r="O422" s="650">
        <f>O423</f>
        <v>2900</v>
      </c>
      <c r="P422" s="1313">
        <f>P423</f>
        <v>2980</v>
      </c>
    </row>
    <row r="423" spans="1:24" ht="13" x14ac:dyDescent="0.3">
      <c r="A423" s="32"/>
      <c r="B423" s="1287" t="s">
        <v>70</v>
      </c>
      <c r="C423" s="9"/>
      <c r="D423" s="88" t="s">
        <v>69</v>
      </c>
      <c r="E423" s="9" t="s">
        <v>66</v>
      </c>
      <c r="F423" s="9" t="s">
        <v>67</v>
      </c>
      <c r="G423" s="88">
        <v>870</v>
      </c>
      <c r="H423" s="88"/>
      <c r="I423" s="9"/>
      <c r="J423" s="653">
        <f>J424</f>
        <v>2173</v>
      </c>
      <c r="K423" s="653"/>
      <c r="L423" s="653">
        <v>2000</v>
      </c>
      <c r="M423" s="653">
        <v>2000</v>
      </c>
      <c r="N423" s="653">
        <f>N424</f>
        <v>3045.93</v>
      </c>
      <c r="O423" s="653">
        <f>O424</f>
        <v>2900</v>
      </c>
      <c r="P423" s="1310">
        <f>P424</f>
        <v>2980</v>
      </c>
    </row>
    <row r="424" spans="1:24" ht="13" x14ac:dyDescent="0.3">
      <c r="A424" s="32"/>
      <c r="B424" s="1318" t="s">
        <v>68</v>
      </c>
      <c r="C424" s="9"/>
      <c r="D424" s="88"/>
      <c r="E424" s="9"/>
      <c r="F424" s="9" t="s">
        <v>67</v>
      </c>
      <c r="G424" s="88">
        <v>870</v>
      </c>
      <c r="H424" s="9" t="s">
        <v>456</v>
      </c>
      <c r="I424" s="9" t="s">
        <v>464</v>
      </c>
      <c r="J424" s="653">
        <f>2175-2</f>
        <v>2173</v>
      </c>
      <c r="K424" s="653"/>
      <c r="L424" s="653">
        <v>2000</v>
      </c>
      <c r="M424" s="653">
        <v>2000</v>
      </c>
      <c r="N424" s="653">
        <v>3045.93</v>
      </c>
      <c r="O424" s="653">
        <v>2900</v>
      </c>
      <c r="P424" s="1310">
        <v>2980</v>
      </c>
    </row>
    <row r="425" spans="1:24" ht="39" hidden="1" x14ac:dyDescent="0.25">
      <c r="A425" s="32"/>
      <c r="B425" s="1312" t="s">
        <v>65</v>
      </c>
      <c r="C425" s="9"/>
      <c r="D425" s="88"/>
      <c r="E425" s="9"/>
      <c r="F425" s="34" t="s">
        <v>63</v>
      </c>
      <c r="G425" s="88"/>
      <c r="H425" s="88"/>
      <c r="I425" s="9"/>
      <c r="J425" s="653"/>
      <c r="K425" s="653"/>
      <c r="L425" s="653"/>
      <c r="M425" s="1339"/>
      <c r="N425" s="653"/>
      <c r="O425" s="653"/>
      <c r="P425" s="1310"/>
    </row>
    <row r="426" spans="1:24" ht="26" hidden="1" x14ac:dyDescent="0.25">
      <c r="A426" s="32"/>
      <c r="B426" s="1312" t="s">
        <v>4</v>
      </c>
      <c r="C426" s="9"/>
      <c r="D426" s="88"/>
      <c r="E426" s="9"/>
      <c r="F426" s="9" t="s">
        <v>63</v>
      </c>
      <c r="G426" s="9" t="s">
        <v>1</v>
      </c>
      <c r="H426" s="9"/>
      <c r="I426" s="9"/>
      <c r="J426" s="653"/>
      <c r="K426" s="653"/>
      <c r="L426" s="653"/>
      <c r="M426" s="1339"/>
      <c r="N426" s="653"/>
      <c r="O426" s="653"/>
      <c r="P426" s="1310"/>
    </row>
    <row r="427" spans="1:24" ht="13" hidden="1" x14ac:dyDescent="0.25">
      <c r="A427" s="32"/>
      <c r="B427" s="49" t="s">
        <v>64</v>
      </c>
      <c r="C427" s="9"/>
      <c r="D427" s="88"/>
      <c r="E427" s="9"/>
      <c r="F427" s="9" t="s">
        <v>63</v>
      </c>
      <c r="G427" s="9" t="s">
        <v>1</v>
      </c>
      <c r="H427" s="9"/>
      <c r="I427" s="9" t="s">
        <v>62</v>
      </c>
      <c r="J427" s="653"/>
      <c r="K427" s="653"/>
      <c r="L427" s="653"/>
      <c r="M427" s="1339"/>
      <c r="N427" s="653"/>
      <c r="O427" s="653"/>
      <c r="P427" s="1310"/>
    </row>
    <row r="428" spans="1:24" ht="26" hidden="1" x14ac:dyDescent="0.25">
      <c r="A428" s="32"/>
      <c r="B428" s="58" t="s">
        <v>29</v>
      </c>
      <c r="C428" s="9"/>
      <c r="D428" s="9" t="s">
        <v>15</v>
      </c>
      <c r="E428" s="9" t="s">
        <v>9</v>
      </c>
      <c r="F428" s="34" t="s">
        <v>27</v>
      </c>
      <c r="G428" s="48"/>
      <c r="H428" s="48"/>
      <c r="I428" s="9"/>
      <c r="J428" s="57">
        <f>J430</f>
        <v>0</v>
      </c>
      <c r="K428" s="653"/>
      <c r="L428" s="653"/>
      <c r="M428" s="1339"/>
      <c r="N428" s="57">
        <f>N430</f>
        <v>0</v>
      </c>
      <c r="O428" s="57">
        <f>O430</f>
        <v>0</v>
      </c>
      <c r="P428" s="56">
        <f>P430</f>
        <v>0</v>
      </c>
    </row>
    <row r="429" spans="1:24" ht="13" hidden="1" x14ac:dyDescent="0.25">
      <c r="A429" s="32"/>
      <c r="B429" s="1340" t="s">
        <v>28</v>
      </c>
      <c r="C429" s="9"/>
      <c r="D429" s="9"/>
      <c r="E429" s="9"/>
      <c r="F429" s="9" t="s">
        <v>27</v>
      </c>
      <c r="G429" s="9" t="s">
        <v>26</v>
      </c>
      <c r="H429" s="9"/>
      <c r="I429" s="9"/>
      <c r="J429" s="653"/>
      <c r="K429" s="653"/>
      <c r="L429" s="653"/>
      <c r="M429" s="1339"/>
      <c r="N429" s="653"/>
      <c r="O429" s="653"/>
      <c r="P429" s="1310"/>
    </row>
    <row r="430" spans="1:24" ht="13" hidden="1" x14ac:dyDescent="0.3">
      <c r="A430" s="32"/>
      <c r="B430" s="1287" t="s">
        <v>11</v>
      </c>
      <c r="C430" s="9"/>
      <c r="D430" s="9" t="s">
        <v>15</v>
      </c>
      <c r="E430" s="9" t="s">
        <v>9</v>
      </c>
      <c r="F430" s="9" t="s">
        <v>27</v>
      </c>
      <c r="G430" s="9" t="s">
        <v>26</v>
      </c>
      <c r="H430" s="9"/>
      <c r="I430" s="9" t="s">
        <v>9</v>
      </c>
      <c r="J430" s="653"/>
      <c r="K430" s="653"/>
      <c r="L430" s="653"/>
      <c r="M430" s="1339"/>
      <c r="N430" s="653"/>
      <c r="O430" s="653"/>
      <c r="P430" s="1310"/>
    </row>
    <row r="431" spans="1:24" ht="52" hidden="1" x14ac:dyDescent="0.25">
      <c r="A431" s="32"/>
      <c r="B431" s="1312" t="s">
        <v>61</v>
      </c>
      <c r="C431" s="9"/>
      <c r="D431" s="88"/>
      <c r="E431" s="9"/>
      <c r="F431" s="34" t="s">
        <v>59</v>
      </c>
      <c r="G431" s="88"/>
      <c r="H431" s="88"/>
      <c r="I431" s="9"/>
      <c r="J431" s="653"/>
      <c r="K431" s="653"/>
      <c r="L431" s="653"/>
      <c r="M431" s="1339"/>
      <c r="N431" s="653"/>
      <c r="O431" s="653"/>
      <c r="P431" s="1310"/>
    </row>
    <row r="432" spans="1:24" ht="26" hidden="1" x14ac:dyDescent="0.3">
      <c r="A432" s="32"/>
      <c r="B432" s="1312" t="s">
        <v>4</v>
      </c>
      <c r="C432" s="89"/>
      <c r="D432" s="9" t="s">
        <v>52</v>
      </c>
      <c r="E432" s="9" t="s">
        <v>58</v>
      </c>
      <c r="F432" s="9" t="s">
        <v>59</v>
      </c>
      <c r="G432" s="88">
        <v>240</v>
      </c>
      <c r="H432" s="88"/>
      <c r="I432" s="656"/>
      <c r="J432" s="653"/>
      <c r="K432" s="656"/>
      <c r="L432" s="656"/>
      <c r="M432" s="84"/>
      <c r="N432" s="653"/>
      <c r="O432" s="653"/>
      <c r="P432" s="1310"/>
      <c r="Q432" s="1339"/>
    </row>
    <row r="433" spans="1:24" ht="13" hidden="1" x14ac:dyDescent="0.3">
      <c r="A433" s="32"/>
      <c r="B433" s="90" t="s">
        <v>60</v>
      </c>
      <c r="C433" s="89"/>
      <c r="D433" s="9"/>
      <c r="E433" s="9"/>
      <c r="F433" s="9" t="s">
        <v>59</v>
      </c>
      <c r="G433" s="88">
        <v>240</v>
      </c>
      <c r="H433" s="88"/>
      <c r="I433" s="9" t="s">
        <v>58</v>
      </c>
      <c r="J433" s="653"/>
      <c r="K433" s="656"/>
      <c r="L433" s="656"/>
      <c r="M433" s="84"/>
      <c r="N433" s="653"/>
      <c r="O433" s="653"/>
      <c r="P433" s="1310"/>
      <c r="Q433" s="1339"/>
    </row>
    <row r="434" spans="1:24" s="83" customFormat="1" ht="13" x14ac:dyDescent="0.3">
      <c r="A434" s="85"/>
      <c r="B434" s="49" t="s">
        <v>57</v>
      </c>
      <c r="C434" s="9"/>
      <c r="D434" s="9" t="s">
        <v>52</v>
      </c>
      <c r="E434" s="9" t="s">
        <v>49</v>
      </c>
      <c r="F434" s="34" t="s">
        <v>536</v>
      </c>
      <c r="G434" s="34"/>
      <c r="H434" s="34"/>
      <c r="I434" s="9"/>
      <c r="J434" s="655">
        <f>J435</f>
        <v>0</v>
      </c>
      <c r="K434" s="655"/>
      <c r="L434" s="655">
        <f>L435</f>
        <v>0</v>
      </c>
      <c r="M434" s="655">
        <f>M435</f>
        <v>0</v>
      </c>
      <c r="N434" s="655">
        <f>N435</f>
        <v>0</v>
      </c>
      <c r="O434" s="650">
        <f>O435</f>
        <v>1054.5</v>
      </c>
      <c r="P434" s="1341">
        <f>P435</f>
        <v>586.79999999999995</v>
      </c>
      <c r="Q434" s="84"/>
      <c r="R434" s="84"/>
      <c r="S434" s="84"/>
      <c r="T434" s="84"/>
      <c r="U434" s="84"/>
      <c r="V434" s="84"/>
      <c r="W434" s="84"/>
      <c r="X434" s="84"/>
    </row>
    <row r="435" spans="1:24" s="83" customFormat="1" ht="26" x14ac:dyDescent="0.3">
      <c r="A435" s="85"/>
      <c r="B435" s="1312" t="s">
        <v>4</v>
      </c>
      <c r="C435" s="9"/>
      <c r="D435" s="9" t="s">
        <v>52</v>
      </c>
      <c r="E435" s="9" t="s">
        <v>49</v>
      </c>
      <c r="F435" s="9" t="s">
        <v>536</v>
      </c>
      <c r="G435" s="9" t="s">
        <v>1</v>
      </c>
      <c r="H435" s="9"/>
      <c r="I435" s="9"/>
      <c r="J435" s="656">
        <f>J436</f>
        <v>0</v>
      </c>
      <c r="K435" s="656"/>
      <c r="L435" s="656"/>
      <c r="M435" s="656"/>
      <c r="N435" s="656">
        <f>N436</f>
        <v>0</v>
      </c>
      <c r="O435" s="653">
        <f>O436</f>
        <v>1054.5</v>
      </c>
      <c r="P435" s="1310">
        <f>P436</f>
        <v>586.79999999999995</v>
      </c>
      <c r="Q435" s="84"/>
      <c r="R435" s="84"/>
      <c r="S435" s="84"/>
      <c r="T435" s="84"/>
      <c r="U435" s="84"/>
      <c r="V435" s="84"/>
      <c r="W435" s="84"/>
      <c r="X435" s="84"/>
    </row>
    <row r="436" spans="1:24" s="83" customFormat="1" ht="13" x14ac:dyDescent="0.3">
      <c r="A436" s="85"/>
      <c r="B436" s="1318" t="s">
        <v>51</v>
      </c>
      <c r="C436" s="9"/>
      <c r="D436" s="9"/>
      <c r="E436" s="9"/>
      <c r="F436" s="9" t="s">
        <v>536</v>
      </c>
      <c r="G436" s="9" t="s">
        <v>1</v>
      </c>
      <c r="H436" s="9" t="s">
        <v>452</v>
      </c>
      <c r="I436" s="9" t="s">
        <v>534</v>
      </c>
      <c r="J436" s="656"/>
      <c r="K436" s="656"/>
      <c r="L436" s="656"/>
      <c r="M436" s="656"/>
      <c r="N436" s="656"/>
      <c r="O436" s="653">
        <v>1054.5</v>
      </c>
      <c r="P436" s="1310">
        <v>586.79999999999995</v>
      </c>
      <c r="Q436" s="84"/>
      <c r="R436" s="84"/>
      <c r="S436" s="84"/>
      <c r="T436" s="84"/>
      <c r="U436" s="84"/>
      <c r="V436" s="84"/>
      <c r="W436" s="84"/>
      <c r="X436" s="84"/>
    </row>
    <row r="437" spans="1:24" s="83" customFormat="1" ht="13" hidden="1" x14ac:dyDescent="0.3">
      <c r="A437" s="85"/>
      <c r="B437" s="49" t="s">
        <v>55</v>
      </c>
      <c r="C437" s="9"/>
      <c r="D437" s="9" t="s">
        <v>52</v>
      </c>
      <c r="E437" s="9" t="s">
        <v>49</v>
      </c>
      <c r="F437" s="34" t="s">
        <v>54</v>
      </c>
      <c r="G437" s="9"/>
      <c r="H437" s="9"/>
      <c r="I437" s="9"/>
      <c r="J437" s="655">
        <f>J438</f>
        <v>94.8</v>
      </c>
      <c r="K437" s="655"/>
      <c r="L437" s="655">
        <f>L438</f>
        <v>64.8</v>
      </c>
      <c r="M437" s="655">
        <f>M438</f>
        <v>64.8</v>
      </c>
      <c r="N437" s="655">
        <f>N438</f>
        <v>0</v>
      </c>
      <c r="O437" s="655">
        <f>O438</f>
        <v>0</v>
      </c>
      <c r="P437" s="1313">
        <f>P438</f>
        <v>0</v>
      </c>
      <c r="Q437" s="84"/>
      <c r="R437" s="84"/>
      <c r="S437" s="84"/>
      <c r="T437" s="84"/>
      <c r="U437" s="84"/>
      <c r="V437" s="84"/>
      <c r="W437" s="84"/>
      <c r="X437" s="84"/>
    </row>
    <row r="438" spans="1:24" s="83" customFormat="1" ht="26" hidden="1" x14ac:dyDescent="0.3">
      <c r="A438" s="85"/>
      <c r="B438" s="1312" t="s">
        <v>4</v>
      </c>
      <c r="C438" s="9"/>
      <c r="D438" s="9" t="s">
        <v>52</v>
      </c>
      <c r="E438" s="9" t="s">
        <v>49</v>
      </c>
      <c r="F438" s="9" t="s">
        <v>54</v>
      </c>
      <c r="G438" s="9" t="s">
        <v>1</v>
      </c>
      <c r="H438" s="9"/>
      <c r="I438" s="9"/>
      <c r="J438" s="656">
        <f>J439</f>
        <v>94.8</v>
      </c>
      <c r="K438" s="656"/>
      <c r="L438" s="656">
        <v>64.8</v>
      </c>
      <c r="M438" s="656">
        <v>64.8</v>
      </c>
      <c r="N438" s="656">
        <f>N439</f>
        <v>0</v>
      </c>
      <c r="O438" s="656">
        <f>O439</f>
        <v>0</v>
      </c>
      <c r="P438" s="1310">
        <f>P439</f>
        <v>0</v>
      </c>
      <c r="Q438" s="84"/>
      <c r="R438" s="84"/>
      <c r="S438" s="84"/>
      <c r="T438" s="84"/>
      <c r="U438" s="84"/>
      <c r="V438" s="84"/>
      <c r="W438" s="84"/>
      <c r="X438" s="84"/>
    </row>
    <row r="439" spans="1:24" s="83" customFormat="1" ht="13" hidden="1" x14ac:dyDescent="0.3">
      <c r="A439" s="85"/>
      <c r="B439" s="1318" t="s">
        <v>51</v>
      </c>
      <c r="C439" s="9"/>
      <c r="D439" s="9"/>
      <c r="E439" s="9"/>
      <c r="F439" s="9" t="s">
        <v>54</v>
      </c>
      <c r="G439" s="9" t="s">
        <v>1</v>
      </c>
      <c r="H439" s="9"/>
      <c r="I439" s="9" t="s">
        <v>49</v>
      </c>
      <c r="J439" s="656">
        <v>94.8</v>
      </c>
      <c r="K439" s="656"/>
      <c r="L439" s="656">
        <v>64.8</v>
      </c>
      <c r="M439" s="656">
        <v>64.8</v>
      </c>
      <c r="N439" s="656"/>
      <c r="O439" s="656"/>
      <c r="P439" s="1310"/>
      <c r="Q439" s="84"/>
      <c r="R439" s="84"/>
      <c r="S439" s="84"/>
      <c r="T439" s="84"/>
      <c r="U439" s="84"/>
      <c r="V439" s="84"/>
      <c r="W439" s="84"/>
      <c r="X439" s="84"/>
    </row>
    <row r="440" spans="1:24" s="83" customFormat="1" ht="13" x14ac:dyDescent="0.3">
      <c r="A440" s="85"/>
      <c r="B440" s="49" t="s">
        <v>53</v>
      </c>
      <c r="C440" s="9"/>
      <c r="D440" s="9" t="s">
        <v>52</v>
      </c>
      <c r="E440" s="9" t="s">
        <v>49</v>
      </c>
      <c r="F440" s="34" t="s">
        <v>50</v>
      </c>
      <c r="G440" s="9"/>
      <c r="H440" s="9"/>
      <c r="I440" s="9"/>
      <c r="J440" s="650">
        <f>J441</f>
        <v>3163.5070000000001</v>
      </c>
      <c r="K440" s="655"/>
      <c r="L440" s="655">
        <f>L441</f>
        <v>0</v>
      </c>
      <c r="M440" s="655">
        <f>M441</f>
        <v>0</v>
      </c>
      <c r="N440" s="650">
        <f>N441</f>
        <v>1831.94</v>
      </c>
      <c r="O440" s="650">
        <f>O441</f>
        <v>504</v>
      </c>
      <c r="P440" s="1313">
        <f>P441</f>
        <v>904</v>
      </c>
      <c r="Q440" s="84"/>
      <c r="R440" s="84"/>
      <c r="S440" s="84"/>
      <c r="T440" s="84"/>
      <c r="U440" s="84"/>
      <c r="V440" s="84"/>
      <c r="W440" s="84"/>
      <c r="X440" s="84"/>
    </row>
    <row r="441" spans="1:24" s="83" customFormat="1" ht="13" x14ac:dyDescent="0.3">
      <c r="A441" s="85"/>
      <c r="B441" s="1287" t="s">
        <v>16</v>
      </c>
      <c r="C441" s="9"/>
      <c r="D441" s="9" t="s">
        <v>52</v>
      </c>
      <c r="E441" s="9" t="s">
        <v>49</v>
      </c>
      <c r="F441" s="9" t="s">
        <v>50</v>
      </c>
      <c r="G441" s="9" t="s">
        <v>1</v>
      </c>
      <c r="H441" s="9"/>
      <c r="I441" s="9"/>
      <c r="J441" s="653">
        <f>J442</f>
        <v>3163.5070000000001</v>
      </c>
      <c r="K441" s="655"/>
      <c r="L441" s="655"/>
      <c r="M441" s="655"/>
      <c r="N441" s="653">
        <f>N442</f>
        <v>1831.94</v>
      </c>
      <c r="O441" s="653">
        <f>O442</f>
        <v>504</v>
      </c>
      <c r="P441" s="1310">
        <f>P442</f>
        <v>904</v>
      </c>
      <c r="Q441" s="84"/>
      <c r="R441" s="84"/>
      <c r="S441" s="84"/>
      <c r="T441" s="84"/>
      <c r="U441" s="84"/>
      <c r="V441" s="84"/>
      <c r="W441" s="84"/>
      <c r="X441" s="84"/>
    </row>
    <row r="442" spans="1:24" s="83" customFormat="1" ht="13" x14ac:dyDescent="0.3">
      <c r="A442" s="85"/>
      <c r="B442" s="1318" t="s">
        <v>51</v>
      </c>
      <c r="C442" s="9"/>
      <c r="D442" s="9"/>
      <c r="E442" s="9"/>
      <c r="F442" s="9" t="s">
        <v>50</v>
      </c>
      <c r="G442" s="9" t="s">
        <v>1</v>
      </c>
      <c r="H442" s="9" t="s">
        <v>452</v>
      </c>
      <c r="I442" s="9" t="s">
        <v>534</v>
      </c>
      <c r="J442" s="653">
        <v>3163.5070000000001</v>
      </c>
      <c r="K442" s="655"/>
      <c r="L442" s="655"/>
      <c r="M442" s="655"/>
      <c r="N442" s="653">
        <v>1831.94</v>
      </c>
      <c r="O442" s="653">
        <v>504</v>
      </c>
      <c r="P442" s="1310">
        <v>904</v>
      </c>
      <c r="Q442" s="84"/>
      <c r="R442" s="84"/>
      <c r="S442" s="84"/>
      <c r="T442" s="84"/>
      <c r="U442" s="84"/>
      <c r="V442" s="84"/>
      <c r="W442" s="84"/>
      <c r="X442" s="84"/>
    </row>
    <row r="443" spans="1:24" s="83" customFormat="1" ht="39" hidden="1" x14ac:dyDescent="0.3">
      <c r="A443" s="85"/>
      <c r="B443" s="52" t="s">
        <v>25</v>
      </c>
      <c r="C443" s="9"/>
      <c r="D443" s="34" t="s">
        <v>15</v>
      </c>
      <c r="E443" s="34" t="s">
        <v>13</v>
      </c>
      <c r="F443" s="34" t="s">
        <v>24</v>
      </c>
      <c r="G443" s="48"/>
      <c r="H443" s="48"/>
      <c r="I443" s="34"/>
      <c r="J443" s="51">
        <f>J444</f>
        <v>182.53199999999998</v>
      </c>
      <c r="K443" s="51"/>
      <c r="L443" s="51">
        <f>L444</f>
        <v>85</v>
      </c>
      <c r="M443" s="51">
        <f>M444</f>
        <v>85</v>
      </c>
      <c r="N443" s="51">
        <f>N444</f>
        <v>0</v>
      </c>
      <c r="O443" s="51">
        <f>O444</f>
        <v>0</v>
      </c>
      <c r="P443" s="50">
        <f>P444</f>
        <v>0</v>
      </c>
      <c r="Q443" s="84"/>
      <c r="R443" s="84"/>
      <c r="S443" s="84"/>
      <c r="T443" s="84"/>
      <c r="U443" s="84"/>
      <c r="V443" s="84"/>
      <c r="W443" s="84"/>
      <c r="X443" s="84"/>
    </row>
    <row r="444" spans="1:24" s="83" customFormat="1" ht="39" hidden="1" x14ac:dyDescent="0.3">
      <c r="A444" s="85"/>
      <c r="B444" s="49" t="s">
        <v>23</v>
      </c>
      <c r="C444" s="9"/>
      <c r="D444" s="9" t="s">
        <v>15</v>
      </c>
      <c r="E444" s="9" t="s">
        <v>13</v>
      </c>
      <c r="F444" s="34" t="s">
        <v>48</v>
      </c>
      <c r="G444" s="48"/>
      <c r="H444" s="48"/>
      <c r="I444" s="9"/>
      <c r="J444" s="51">
        <f>J447</f>
        <v>182.53199999999998</v>
      </c>
      <c r="K444" s="51"/>
      <c r="L444" s="51">
        <f>L447</f>
        <v>85</v>
      </c>
      <c r="M444" s="51">
        <f>M447</f>
        <v>85</v>
      </c>
      <c r="N444" s="51">
        <f>N447</f>
        <v>0</v>
      </c>
      <c r="O444" s="51">
        <f>O447</f>
        <v>0</v>
      </c>
      <c r="P444" s="50">
        <f>P447</f>
        <v>0</v>
      </c>
      <c r="Q444" s="84"/>
      <c r="R444" s="84"/>
      <c r="S444" s="84"/>
      <c r="T444" s="84"/>
      <c r="U444" s="84"/>
      <c r="V444" s="84"/>
      <c r="W444" s="84"/>
      <c r="X444" s="84"/>
    </row>
    <row r="445" spans="1:24" s="83" customFormat="1" ht="26" hidden="1" x14ac:dyDescent="0.3">
      <c r="A445" s="85"/>
      <c r="B445" s="42" t="s">
        <v>22</v>
      </c>
      <c r="C445" s="31"/>
      <c r="D445" s="31" t="s">
        <v>15</v>
      </c>
      <c r="E445" s="31" t="s">
        <v>13</v>
      </c>
      <c r="F445" s="31" t="s">
        <v>21</v>
      </c>
      <c r="G445" s="3373" t="s">
        <v>20</v>
      </c>
      <c r="H445" s="3374"/>
      <c r="I445" s="3374"/>
      <c r="J445" s="3375"/>
      <c r="K445" s="45"/>
      <c r="L445" s="44"/>
      <c r="M445" s="43"/>
      <c r="N445" s="84"/>
      <c r="O445" s="84"/>
      <c r="P445" s="432"/>
      <c r="Q445" s="84"/>
      <c r="R445" s="84"/>
      <c r="S445" s="84"/>
      <c r="T445" s="84"/>
      <c r="U445" s="84"/>
      <c r="V445" s="84"/>
      <c r="W445" s="84"/>
      <c r="X445" s="84"/>
    </row>
    <row r="446" spans="1:24" ht="39.65" hidden="1" customHeight="1" x14ac:dyDescent="0.25">
      <c r="A446" s="32"/>
      <c r="B446" s="42" t="s">
        <v>19</v>
      </c>
      <c r="C446" s="31"/>
      <c r="D446" s="31" t="s">
        <v>15</v>
      </c>
      <c r="E446" s="31" t="s">
        <v>13</v>
      </c>
      <c r="F446" s="31" t="s">
        <v>18</v>
      </c>
      <c r="G446" s="3373" t="s">
        <v>17</v>
      </c>
      <c r="H446" s="3374"/>
      <c r="I446" s="3374"/>
      <c r="J446" s="3375"/>
      <c r="K446" s="41"/>
      <c r="L446" s="2"/>
      <c r="M446" s="40"/>
      <c r="N446" s="2"/>
      <c r="O446" s="2"/>
      <c r="P446" s="433"/>
    </row>
    <row r="447" spans="1:24" ht="26" hidden="1" x14ac:dyDescent="0.3">
      <c r="A447" s="32"/>
      <c r="B447" s="1312" t="s">
        <v>4</v>
      </c>
      <c r="C447" s="31"/>
      <c r="D447" s="9" t="s">
        <v>15</v>
      </c>
      <c r="E447" s="9" t="s">
        <v>13</v>
      </c>
      <c r="F447" s="9" t="s">
        <v>48</v>
      </c>
      <c r="G447" s="33" t="s">
        <v>1</v>
      </c>
      <c r="H447" s="33"/>
      <c r="I447" s="9"/>
      <c r="J447" s="28">
        <f>J448</f>
        <v>182.53199999999998</v>
      </c>
      <c r="K447" s="30"/>
      <c r="L447" s="29">
        <v>85</v>
      </c>
      <c r="M447" s="28">
        <v>85</v>
      </c>
      <c r="N447" s="28">
        <f>N448</f>
        <v>0</v>
      </c>
      <c r="O447" s="28">
        <f>O448</f>
        <v>0</v>
      </c>
      <c r="P447" s="27">
        <f>P448</f>
        <v>0</v>
      </c>
    </row>
    <row r="448" spans="1:24" ht="13" hidden="1" x14ac:dyDescent="0.3">
      <c r="A448" s="32"/>
      <c r="B448" s="1287" t="s">
        <v>39</v>
      </c>
      <c r="C448" s="31"/>
      <c r="D448" s="9"/>
      <c r="E448" s="9"/>
      <c r="F448" s="9" t="s">
        <v>48</v>
      </c>
      <c r="G448" s="33" t="s">
        <v>1</v>
      </c>
      <c r="H448" s="33"/>
      <c r="I448" s="9" t="s">
        <v>13</v>
      </c>
      <c r="J448" s="28">
        <f>85+97.532</f>
        <v>182.53199999999998</v>
      </c>
      <c r="K448" s="30"/>
      <c r="L448" s="29">
        <v>85</v>
      </c>
      <c r="M448" s="28">
        <v>85</v>
      </c>
      <c r="N448" s="28"/>
      <c r="O448" s="28"/>
      <c r="P448" s="27"/>
    </row>
    <row r="449" spans="1:257" ht="13" hidden="1" x14ac:dyDescent="0.3">
      <c r="A449" s="32"/>
      <c r="B449" s="1319" t="s">
        <v>47</v>
      </c>
      <c r="C449" s="1500"/>
      <c r="D449" s="9"/>
      <c r="E449" s="9"/>
      <c r="F449" s="79" t="s">
        <v>43</v>
      </c>
      <c r="G449" s="33"/>
      <c r="H449" s="33"/>
      <c r="I449" s="9"/>
      <c r="J449" s="28">
        <f>J452</f>
        <v>153.32</v>
      </c>
      <c r="K449" s="30"/>
      <c r="L449" s="29"/>
      <c r="M449" s="28"/>
      <c r="N449" s="81">
        <f>N452+N450</f>
        <v>160.31</v>
      </c>
      <c r="O449" s="81">
        <f>O452+O450</f>
        <v>0</v>
      </c>
      <c r="P449" s="80">
        <f>P452+P450</f>
        <v>0</v>
      </c>
    </row>
    <row r="450" spans="1:257" ht="13" hidden="1" x14ac:dyDescent="0.3">
      <c r="A450" s="32"/>
      <c r="B450" s="1287" t="s">
        <v>16</v>
      </c>
      <c r="C450" s="1500"/>
      <c r="D450" s="9"/>
      <c r="E450" s="9"/>
      <c r="F450" s="77" t="s">
        <v>43</v>
      </c>
      <c r="G450" s="33" t="s">
        <v>1</v>
      </c>
      <c r="H450" s="33"/>
      <c r="I450" s="9"/>
      <c r="J450" s="28"/>
      <c r="K450" s="30"/>
      <c r="L450" s="29"/>
      <c r="M450" s="28"/>
      <c r="N450" s="28">
        <f>N451</f>
        <v>28.454999999999998</v>
      </c>
      <c r="O450" s="28">
        <f>O451</f>
        <v>0</v>
      </c>
      <c r="P450" s="27">
        <f>P451</f>
        <v>0</v>
      </c>
    </row>
    <row r="451" spans="1:257" ht="13" hidden="1" x14ac:dyDescent="0.3">
      <c r="A451" s="32"/>
      <c r="B451" s="76" t="s">
        <v>45</v>
      </c>
      <c r="C451" s="1500"/>
      <c r="D451" s="9"/>
      <c r="E451" s="9"/>
      <c r="F451" s="77" t="s">
        <v>43</v>
      </c>
      <c r="G451" s="33" t="s">
        <v>1</v>
      </c>
      <c r="H451" s="33" t="s">
        <v>496</v>
      </c>
      <c r="I451" s="9" t="s">
        <v>495</v>
      </c>
      <c r="J451" s="28"/>
      <c r="K451" s="30"/>
      <c r="L451" s="29"/>
      <c r="M451" s="28"/>
      <c r="N451" s="28">
        <v>28.454999999999998</v>
      </c>
      <c r="O451" s="28">
        <v>0</v>
      </c>
      <c r="P451" s="27">
        <v>0</v>
      </c>
    </row>
    <row r="452" spans="1:257" ht="13" hidden="1" x14ac:dyDescent="0.3">
      <c r="A452" s="32"/>
      <c r="B452" s="1287" t="s">
        <v>46</v>
      </c>
      <c r="C452" s="70"/>
      <c r="D452" s="9" t="s">
        <v>44</v>
      </c>
      <c r="E452" s="9" t="s">
        <v>41</v>
      </c>
      <c r="F452" s="77" t="s">
        <v>43</v>
      </c>
      <c r="G452" s="33" t="s">
        <v>42</v>
      </c>
      <c r="H452" s="33"/>
      <c r="I452" s="9"/>
      <c r="J452" s="656">
        <f t="shared" ref="J452:P452" si="47">J453</f>
        <v>153.32</v>
      </c>
      <c r="K452" s="656">
        <f t="shared" si="47"/>
        <v>172</v>
      </c>
      <c r="L452" s="656">
        <f t="shared" si="47"/>
        <v>172</v>
      </c>
      <c r="M452" s="656">
        <f t="shared" si="47"/>
        <v>172</v>
      </c>
      <c r="N452" s="656">
        <f t="shared" si="47"/>
        <v>131.85499999999999</v>
      </c>
      <c r="O452" s="656">
        <f t="shared" si="47"/>
        <v>0</v>
      </c>
      <c r="P452" s="1310">
        <f t="shared" si="47"/>
        <v>0</v>
      </c>
    </row>
    <row r="453" spans="1:257" ht="13" hidden="1" x14ac:dyDescent="0.25">
      <c r="A453" s="32"/>
      <c r="B453" s="76" t="s">
        <v>45</v>
      </c>
      <c r="C453" s="70"/>
      <c r="D453" s="9" t="s">
        <v>44</v>
      </c>
      <c r="E453" s="9" t="s">
        <v>41</v>
      </c>
      <c r="F453" s="77" t="s">
        <v>43</v>
      </c>
      <c r="G453" s="33" t="s">
        <v>42</v>
      </c>
      <c r="H453" s="33" t="s">
        <v>496</v>
      </c>
      <c r="I453" s="9" t="s">
        <v>495</v>
      </c>
      <c r="J453" s="656">
        <v>153.32</v>
      </c>
      <c r="K453" s="656">
        <v>172</v>
      </c>
      <c r="L453" s="656">
        <v>172</v>
      </c>
      <c r="M453" s="656">
        <v>172</v>
      </c>
      <c r="N453" s="656">
        <v>131.85499999999999</v>
      </c>
      <c r="O453" s="656">
        <v>0</v>
      </c>
      <c r="P453" s="1310">
        <v>0</v>
      </c>
    </row>
    <row r="454" spans="1:257" ht="26" hidden="1" x14ac:dyDescent="0.25">
      <c r="A454" s="32"/>
      <c r="B454" s="328" t="s">
        <v>40</v>
      </c>
      <c r="C454" s="70"/>
      <c r="D454" s="9"/>
      <c r="E454" s="9"/>
      <c r="F454" s="79" t="s">
        <v>38</v>
      </c>
      <c r="G454" s="33"/>
      <c r="H454" s="33"/>
      <c r="I454" s="9"/>
      <c r="J454" s="656">
        <f>J455</f>
        <v>0</v>
      </c>
      <c r="K454" s="1342"/>
      <c r="L454" s="740"/>
      <c r="M454" s="740"/>
      <c r="N454" s="655">
        <f t="shared" ref="N454:P455" si="48">N455</f>
        <v>4460.87</v>
      </c>
      <c r="O454" s="655">
        <f t="shared" si="48"/>
        <v>0</v>
      </c>
      <c r="P454" s="1313">
        <f t="shared" si="48"/>
        <v>0</v>
      </c>
    </row>
    <row r="455" spans="1:257" ht="13" hidden="1" x14ac:dyDescent="0.25">
      <c r="A455" s="32"/>
      <c r="B455" s="58" t="s">
        <v>28</v>
      </c>
      <c r="C455" s="70"/>
      <c r="D455" s="9"/>
      <c r="E455" s="9"/>
      <c r="F455" s="77" t="s">
        <v>38</v>
      </c>
      <c r="G455" s="33" t="s">
        <v>26</v>
      </c>
      <c r="H455" s="33"/>
      <c r="I455" s="9"/>
      <c r="J455" s="656">
        <f>J456</f>
        <v>0</v>
      </c>
      <c r="K455" s="1342"/>
      <c r="L455" s="740"/>
      <c r="M455" s="740"/>
      <c r="N455" s="656">
        <f t="shared" si="48"/>
        <v>4460.87</v>
      </c>
      <c r="O455" s="656">
        <f t="shared" si="48"/>
        <v>0</v>
      </c>
      <c r="P455" s="1310">
        <f t="shared" si="48"/>
        <v>0</v>
      </c>
    </row>
    <row r="456" spans="1:257" ht="13" hidden="1" x14ac:dyDescent="0.3">
      <c r="A456" s="32"/>
      <c r="B456" s="1287" t="s">
        <v>39</v>
      </c>
      <c r="C456" s="70"/>
      <c r="D456" s="9"/>
      <c r="E456" s="9"/>
      <c r="F456" s="77" t="s">
        <v>38</v>
      </c>
      <c r="G456" s="33" t="s">
        <v>26</v>
      </c>
      <c r="H456" s="33"/>
      <c r="I456" s="9" t="s">
        <v>13</v>
      </c>
      <c r="J456" s="656"/>
      <c r="K456" s="1342"/>
      <c r="L456" s="740"/>
      <c r="M456" s="740"/>
      <c r="N456" s="656">
        <v>4460.87</v>
      </c>
      <c r="O456" s="656"/>
      <c r="P456" s="1310"/>
    </row>
    <row r="457" spans="1:257" ht="26" hidden="1" x14ac:dyDescent="0.25">
      <c r="A457" s="32"/>
      <c r="B457" s="76" t="s">
        <v>37</v>
      </c>
      <c r="C457" s="70"/>
      <c r="D457" s="9"/>
      <c r="E457" s="9"/>
      <c r="F457" s="34" t="s">
        <v>36</v>
      </c>
      <c r="G457" s="33"/>
      <c r="H457" s="33"/>
      <c r="I457" s="9"/>
      <c r="J457" s="1343">
        <f>J458</f>
        <v>17908.526000000002</v>
      </c>
      <c r="K457" s="1342"/>
      <c r="L457" s="740"/>
      <c r="M457" s="740"/>
      <c r="N457" s="1343">
        <f t="shared" ref="N457:P458" si="49">N458</f>
        <v>0</v>
      </c>
      <c r="O457" s="1343">
        <f t="shared" si="49"/>
        <v>0</v>
      </c>
      <c r="P457" s="1344">
        <f t="shared" si="49"/>
        <v>0</v>
      </c>
    </row>
    <row r="458" spans="1:257" ht="26" hidden="1" x14ac:dyDescent="0.25">
      <c r="A458" s="32"/>
      <c r="B458" s="1312" t="s">
        <v>4</v>
      </c>
      <c r="C458" s="70"/>
      <c r="D458" s="9"/>
      <c r="E458" s="9"/>
      <c r="F458" s="9" t="s">
        <v>36</v>
      </c>
      <c r="G458" s="33" t="s">
        <v>1</v>
      </c>
      <c r="H458" s="33"/>
      <c r="I458" s="9"/>
      <c r="J458" s="1343">
        <f>J459</f>
        <v>17908.526000000002</v>
      </c>
      <c r="K458" s="1342"/>
      <c r="L458" s="740"/>
      <c r="M458" s="740"/>
      <c r="N458" s="1343">
        <f t="shared" si="49"/>
        <v>0</v>
      </c>
      <c r="O458" s="1343">
        <f t="shared" si="49"/>
        <v>0</v>
      </c>
      <c r="P458" s="1344">
        <f t="shared" si="49"/>
        <v>0</v>
      </c>
      <c r="Q458" s="75"/>
      <c r="R458" s="75"/>
      <c r="S458" s="75"/>
      <c r="T458" s="75"/>
      <c r="U458" s="1339"/>
      <c r="V458" s="73"/>
      <c r="W458" s="72"/>
      <c r="X458" s="72"/>
      <c r="AC458" s="690">
        <f>AC459</f>
        <v>672.10500000000002</v>
      </c>
    </row>
    <row r="459" spans="1:257" ht="13" hidden="1" x14ac:dyDescent="0.25">
      <c r="A459" s="32"/>
      <c r="B459" s="49" t="s">
        <v>34</v>
      </c>
      <c r="C459" s="70"/>
      <c r="D459" s="9"/>
      <c r="E459" s="9"/>
      <c r="F459" s="9" t="s">
        <v>36</v>
      </c>
      <c r="G459" s="33" t="s">
        <v>1</v>
      </c>
      <c r="H459" s="33"/>
      <c r="I459" s="9" t="s">
        <v>32</v>
      </c>
      <c r="J459" s="1343">
        <v>17908.526000000002</v>
      </c>
      <c r="K459" s="1342"/>
      <c r="L459" s="740"/>
      <c r="M459" s="740"/>
      <c r="N459" s="1343"/>
      <c r="O459" s="1343"/>
      <c r="P459" s="1344"/>
      <c r="Q459" s="75"/>
      <c r="R459" s="75"/>
      <c r="S459" s="75"/>
      <c r="T459" s="75"/>
      <c r="U459" s="1339"/>
      <c r="V459" s="73"/>
      <c r="W459" s="72"/>
      <c r="X459" s="72"/>
      <c r="AC459" s="690">
        <v>672.10500000000002</v>
      </c>
    </row>
    <row r="460" spans="1:257" s="2" customFormat="1" ht="39" hidden="1" x14ac:dyDescent="0.25">
      <c r="A460" s="32"/>
      <c r="B460" s="1312" t="s">
        <v>35</v>
      </c>
      <c r="C460" s="70"/>
      <c r="D460" s="9"/>
      <c r="E460" s="9"/>
      <c r="F460" s="34" t="s">
        <v>33</v>
      </c>
      <c r="G460" s="33"/>
      <c r="H460" s="33"/>
      <c r="I460" s="9"/>
      <c r="J460" s="1343">
        <f>J461</f>
        <v>7028.6390000000001</v>
      </c>
      <c r="K460" s="1342"/>
      <c r="L460" s="740"/>
      <c r="M460" s="740"/>
      <c r="N460" s="1343">
        <f t="shared" ref="N460:P461" si="50">N461</f>
        <v>0</v>
      </c>
      <c r="O460" s="1343">
        <f t="shared" si="50"/>
        <v>0</v>
      </c>
      <c r="P460" s="1344">
        <f t="shared" si="50"/>
        <v>0</v>
      </c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</row>
    <row r="461" spans="1:257" s="2" customFormat="1" ht="26" hidden="1" x14ac:dyDescent="0.25">
      <c r="A461" s="32"/>
      <c r="B461" s="1312" t="s">
        <v>4</v>
      </c>
      <c r="C461" s="70"/>
      <c r="D461" s="9"/>
      <c r="E461" s="9"/>
      <c r="F461" s="9" t="s">
        <v>33</v>
      </c>
      <c r="G461" s="33" t="s">
        <v>1</v>
      </c>
      <c r="H461" s="33"/>
      <c r="I461" s="9"/>
      <c r="J461" s="1343">
        <f>J462</f>
        <v>7028.6390000000001</v>
      </c>
      <c r="K461" s="1342"/>
      <c r="L461" s="740"/>
      <c r="M461" s="740"/>
      <c r="N461" s="1343">
        <f t="shared" si="50"/>
        <v>0</v>
      </c>
      <c r="O461" s="1343">
        <f t="shared" si="50"/>
        <v>0</v>
      </c>
      <c r="P461" s="1344">
        <f t="shared" si="50"/>
        <v>0</v>
      </c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</row>
    <row r="462" spans="1:257" s="2" customFormat="1" ht="13" hidden="1" x14ac:dyDescent="0.25">
      <c r="A462" s="32"/>
      <c r="B462" s="49" t="s">
        <v>34</v>
      </c>
      <c r="C462" s="70"/>
      <c r="D462" s="9"/>
      <c r="E462" s="9"/>
      <c r="F462" s="9" t="s">
        <v>33</v>
      </c>
      <c r="G462" s="33" t="s">
        <v>1</v>
      </c>
      <c r="H462" s="33"/>
      <c r="I462" s="9" t="s">
        <v>32</v>
      </c>
      <c r="J462" s="1343">
        <f>838.062+6190.577</f>
        <v>7028.6390000000001</v>
      </c>
      <c r="K462" s="1342"/>
      <c r="L462" s="740"/>
      <c r="M462" s="740"/>
      <c r="N462" s="1343"/>
      <c r="O462" s="1343"/>
      <c r="P462" s="1344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</row>
    <row r="463" spans="1:257" s="2" customFormat="1" ht="26" hidden="1" x14ac:dyDescent="0.25">
      <c r="A463" s="32"/>
      <c r="B463" s="328" t="s">
        <v>31</v>
      </c>
      <c r="C463" s="31"/>
      <c r="D463" s="9"/>
      <c r="E463" s="9"/>
      <c r="F463" s="34" t="s">
        <v>30</v>
      </c>
      <c r="G463" s="33"/>
      <c r="H463" s="33"/>
      <c r="I463" s="9"/>
      <c r="J463" s="64"/>
      <c r="K463" s="65"/>
      <c r="L463" s="64">
        <f>L464</f>
        <v>0</v>
      </c>
      <c r="M463" s="64">
        <f>M464</f>
        <v>0</v>
      </c>
      <c r="N463" s="63">
        <f>N464</f>
        <v>1172.7070000000001</v>
      </c>
      <c r="O463" s="63">
        <f>O464</f>
        <v>0</v>
      </c>
      <c r="P463" s="62">
        <f>P464</f>
        <v>0</v>
      </c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</row>
    <row r="464" spans="1:257" s="2" customFormat="1" ht="26" hidden="1" x14ac:dyDescent="0.25">
      <c r="A464" s="32"/>
      <c r="B464" s="1312" t="s">
        <v>4</v>
      </c>
      <c r="C464" s="9"/>
      <c r="D464" s="9" t="s">
        <v>15</v>
      </c>
      <c r="E464" s="9" t="s">
        <v>9</v>
      </c>
      <c r="F464" s="9" t="s">
        <v>30</v>
      </c>
      <c r="G464" s="9" t="s">
        <v>1</v>
      </c>
      <c r="H464" s="9"/>
      <c r="I464" s="9"/>
      <c r="J464" s="57"/>
      <c r="K464" s="61"/>
      <c r="L464" s="60"/>
      <c r="M464" s="59"/>
      <c r="N464" s="57">
        <f>N465</f>
        <v>1172.7070000000001</v>
      </c>
      <c r="O464" s="57">
        <f>O465</f>
        <v>0</v>
      </c>
      <c r="P464" s="56">
        <f>P465</f>
        <v>0</v>
      </c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</row>
    <row r="465" spans="1:257" s="2" customFormat="1" ht="13" hidden="1" x14ac:dyDescent="0.3">
      <c r="A465" s="32"/>
      <c r="B465" s="1287" t="s">
        <v>11</v>
      </c>
      <c r="C465" s="9"/>
      <c r="D465" s="9"/>
      <c r="E465" s="9"/>
      <c r="F465" s="9" t="s">
        <v>30</v>
      </c>
      <c r="G465" s="9" t="s">
        <v>1</v>
      </c>
      <c r="H465" s="9"/>
      <c r="I465" s="9" t="s">
        <v>9</v>
      </c>
      <c r="J465" s="57"/>
      <c r="K465" s="61"/>
      <c r="L465" s="60"/>
      <c r="M465" s="59"/>
      <c r="N465" s="57">
        <v>1172.7070000000001</v>
      </c>
      <c r="O465" s="57"/>
      <c r="P465" s="56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</row>
    <row r="466" spans="1:257" s="2" customFormat="1" ht="27" hidden="1" customHeight="1" x14ac:dyDescent="0.25">
      <c r="A466" s="32"/>
      <c r="B466" s="58" t="s">
        <v>29</v>
      </c>
      <c r="C466" s="9"/>
      <c r="D466" s="9" t="s">
        <v>15</v>
      </c>
      <c r="E466" s="9" t="s">
        <v>9</v>
      </c>
      <c r="F466" s="34" t="s">
        <v>27</v>
      </c>
      <c r="G466" s="48"/>
      <c r="H466" s="48"/>
      <c r="I466" s="9"/>
      <c r="J466" s="57"/>
      <c r="K466" s="47"/>
      <c r="L466" s="57">
        <f>L468</f>
        <v>10000</v>
      </c>
      <c r="M466" s="57">
        <f>M468</f>
        <v>10000</v>
      </c>
      <c r="N466" s="57"/>
      <c r="O466" s="57"/>
      <c r="P466" s="56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</row>
    <row r="467" spans="1:257" s="2" customFormat="1" ht="25.15" hidden="1" customHeight="1" x14ac:dyDescent="0.25">
      <c r="A467" s="32"/>
      <c r="B467" s="1340" t="s">
        <v>28</v>
      </c>
      <c r="C467" s="9"/>
      <c r="D467" s="9"/>
      <c r="E467" s="9"/>
      <c r="F467" s="9" t="s">
        <v>27</v>
      </c>
      <c r="G467" s="9" t="s">
        <v>26</v>
      </c>
      <c r="H467" s="9"/>
      <c r="I467" s="9"/>
      <c r="J467" s="653"/>
      <c r="K467" s="48"/>
      <c r="L467" s="54">
        <v>10000</v>
      </c>
      <c r="M467" s="54">
        <v>10000</v>
      </c>
      <c r="N467" s="653"/>
      <c r="O467" s="653"/>
      <c r="P467" s="1310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</row>
    <row r="468" spans="1:257" s="2" customFormat="1" ht="17.5" hidden="1" customHeight="1" x14ac:dyDescent="0.3">
      <c r="A468" s="32"/>
      <c r="B468" s="1287" t="s">
        <v>11</v>
      </c>
      <c r="C468" s="9"/>
      <c r="D468" s="9" t="s">
        <v>15</v>
      </c>
      <c r="E468" s="9" t="s">
        <v>9</v>
      </c>
      <c r="F468" s="9" t="s">
        <v>27</v>
      </c>
      <c r="G468" s="9" t="s">
        <v>26</v>
      </c>
      <c r="H468" s="9"/>
      <c r="I468" s="9" t="s">
        <v>9</v>
      </c>
      <c r="J468" s="653"/>
      <c r="K468" s="48"/>
      <c r="L468" s="54">
        <v>10000</v>
      </c>
      <c r="M468" s="54">
        <v>10000</v>
      </c>
      <c r="N468" s="653"/>
      <c r="O468" s="653"/>
      <c r="P468" s="1310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</row>
    <row r="469" spans="1:257" s="2" customFormat="1" ht="39.65" hidden="1" customHeight="1" x14ac:dyDescent="0.25">
      <c r="A469" s="32"/>
      <c r="B469" s="52" t="s">
        <v>25</v>
      </c>
      <c r="C469" s="9"/>
      <c r="D469" s="34" t="s">
        <v>15</v>
      </c>
      <c r="E469" s="34" t="s">
        <v>13</v>
      </c>
      <c r="F469" s="34" t="s">
        <v>24</v>
      </c>
      <c r="G469" s="48"/>
      <c r="H469" s="48"/>
      <c r="I469" s="34"/>
      <c r="J469" s="51">
        <f>J470</f>
        <v>0</v>
      </c>
      <c r="K469" s="51"/>
      <c r="L469" s="51">
        <f>L470</f>
        <v>85</v>
      </c>
      <c r="M469" s="51">
        <f>M470</f>
        <v>85</v>
      </c>
      <c r="N469" s="51">
        <f>N470</f>
        <v>0</v>
      </c>
      <c r="O469" s="51">
        <f>O470</f>
        <v>0</v>
      </c>
      <c r="P469" s="50">
        <f>P470</f>
        <v>0</v>
      </c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</row>
    <row r="470" spans="1:257" s="2" customFormat="1" ht="43.5" hidden="1" customHeight="1" x14ac:dyDescent="0.25">
      <c r="A470" s="32"/>
      <c r="B470" s="49" t="s">
        <v>23</v>
      </c>
      <c r="C470" s="9"/>
      <c r="D470" s="9" t="s">
        <v>15</v>
      </c>
      <c r="E470" s="9" t="s">
        <v>13</v>
      </c>
      <c r="F470" s="9" t="s">
        <v>14</v>
      </c>
      <c r="G470" s="48"/>
      <c r="H470" s="48"/>
      <c r="I470" s="9"/>
      <c r="J470" s="47">
        <f>J473</f>
        <v>0</v>
      </c>
      <c r="K470" s="47"/>
      <c r="L470" s="47">
        <f>L473</f>
        <v>85</v>
      </c>
      <c r="M470" s="47">
        <f>M473</f>
        <v>85</v>
      </c>
      <c r="N470" s="47">
        <f>N473</f>
        <v>0</v>
      </c>
      <c r="O470" s="47">
        <f>O473</f>
        <v>0</v>
      </c>
      <c r="P470" s="46">
        <f>P473</f>
        <v>0</v>
      </c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</row>
    <row r="471" spans="1:257" s="2" customFormat="1" ht="60.75" hidden="1" customHeight="1" x14ac:dyDescent="0.25">
      <c r="A471" s="32"/>
      <c r="B471" s="42" t="s">
        <v>22</v>
      </c>
      <c r="C471" s="31"/>
      <c r="D471" s="31" t="s">
        <v>15</v>
      </c>
      <c r="E471" s="31" t="s">
        <v>13</v>
      </c>
      <c r="F471" s="31" t="s">
        <v>21</v>
      </c>
      <c r="G471" s="3373" t="s">
        <v>20</v>
      </c>
      <c r="H471" s="3374"/>
      <c r="I471" s="3374"/>
      <c r="J471" s="3375"/>
      <c r="K471" s="45"/>
      <c r="L471" s="44"/>
      <c r="M471" s="43"/>
      <c r="P471" s="433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</row>
    <row r="472" spans="1:257" s="2" customFormat="1" ht="48" hidden="1" customHeight="1" x14ac:dyDescent="0.25">
      <c r="A472" s="32"/>
      <c r="B472" s="42" t="s">
        <v>19</v>
      </c>
      <c r="C472" s="31"/>
      <c r="D472" s="31" t="s">
        <v>15</v>
      </c>
      <c r="E472" s="31" t="s">
        <v>13</v>
      </c>
      <c r="F472" s="31" t="s">
        <v>18</v>
      </c>
      <c r="G472" s="3373" t="s">
        <v>17</v>
      </c>
      <c r="H472" s="3374"/>
      <c r="I472" s="3374"/>
      <c r="J472" s="3375"/>
      <c r="K472" s="41"/>
      <c r="M472" s="40"/>
      <c r="P472" s="433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</row>
    <row r="473" spans="1:257" s="2" customFormat="1" ht="16.899999999999999" hidden="1" customHeight="1" x14ac:dyDescent="0.3">
      <c r="A473" s="32"/>
      <c r="B473" s="1345" t="s">
        <v>16</v>
      </c>
      <c r="C473" s="31"/>
      <c r="D473" s="9" t="s">
        <v>15</v>
      </c>
      <c r="E473" s="9" t="s">
        <v>13</v>
      </c>
      <c r="F473" s="9" t="s">
        <v>14</v>
      </c>
      <c r="G473" s="33" t="s">
        <v>1</v>
      </c>
      <c r="H473" s="33"/>
      <c r="I473" s="9" t="s">
        <v>13</v>
      </c>
      <c r="J473" s="28"/>
      <c r="K473" s="30"/>
      <c r="L473" s="29">
        <v>85</v>
      </c>
      <c r="M473" s="28">
        <v>85</v>
      </c>
      <c r="N473" s="28"/>
      <c r="O473" s="28"/>
      <c r="P473" s="27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</row>
    <row r="474" spans="1:257" s="2" customFormat="1" ht="26" hidden="1" x14ac:dyDescent="0.3">
      <c r="A474" s="32"/>
      <c r="B474" s="38" t="s">
        <v>8</v>
      </c>
      <c r="C474" s="911"/>
      <c r="D474" s="11"/>
      <c r="E474" s="11"/>
      <c r="F474" s="37" t="s">
        <v>2</v>
      </c>
      <c r="G474" s="11"/>
      <c r="H474" s="11"/>
      <c r="I474" s="11"/>
      <c r="J474" s="1346">
        <f>J475+J477</f>
        <v>600.79999999999995</v>
      </c>
      <c r="K474" s="30"/>
      <c r="L474" s="29"/>
      <c r="M474" s="28"/>
      <c r="N474" s="1346">
        <f>N475+N477</f>
        <v>640.20000000000005</v>
      </c>
      <c r="O474" s="1346">
        <f>O475+O477</f>
        <v>0</v>
      </c>
      <c r="P474" s="1347">
        <f>P475+P477</f>
        <v>0</v>
      </c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</row>
    <row r="475" spans="1:257" s="2" customFormat="1" ht="16.899999999999999" hidden="1" customHeight="1" x14ac:dyDescent="0.3">
      <c r="A475" s="32"/>
      <c r="B475" s="1287" t="s">
        <v>7</v>
      </c>
      <c r="C475" s="911"/>
      <c r="D475" s="11"/>
      <c r="E475" s="11"/>
      <c r="F475" s="10" t="s">
        <v>2</v>
      </c>
      <c r="G475" s="9" t="s">
        <v>5</v>
      </c>
      <c r="H475" s="9"/>
      <c r="I475" s="11"/>
      <c r="J475" s="656">
        <f>J476</f>
        <v>493.39</v>
      </c>
      <c r="K475" s="30"/>
      <c r="L475" s="29"/>
      <c r="M475" s="28"/>
      <c r="N475" s="656">
        <f>N476</f>
        <v>638.005</v>
      </c>
      <c r="O475" s="656">
        <f>O476</f>
        <v>0</v>
      </c>
      <c r="P475" s="1310">
        <f>P476</f>
        <v>0</v>
      </c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</row>
    <row r="476" spans="1:257" ht="16.899999999999999" hidden="1" customHeight="1" x14ac:dyDescent="0.3">
      <c r="A476" s="32"/>
      <c r="B476" s="1287" t="s">
        <v>6</v>
      </c>
      <c r="C476" s="911"/>
      <c r="D476" s="11"/>
      <c r="E476" s="11"/>
      <c r="F476" s="10" t="s">
        <v>2</v>
      </c>
      <c r="G476" s="9" t="s">
        <v>5</v>
      </c>
      <c r="H476" s="9"/>
      <c r="I476" s="9" t="s">
        <v>0</v>
      </c>
      <c r="J476" s="656">
        <f>378.948+114.442</f>
        <v>493.39</v>
      </c>
      <c r="K476" s="30"/>
      <c r="L476" s="29"/>
      <c r="M476" s="28"/>
      <c r="N476" s="656">
        <v>638.005</v>
      </c>
      <c r="O476" s="656"/>
      <c r="P476" s="1310"/>
    </row>
    <row r="477" spans="1:257" ht="16.899999999999999" hidden="1" customHeight="1" x14ac:dyDescent="0.3">
      <c r="A477" s="32"/>
      <c r="B477" s="1312" t="s">
        <v>4</v>
      </c>
      <c r="C477" s="911"/>
      <c r="D477" s="11"/>
      <c r="E477" s="11"/>
      <c r="F477" s="10" t="s">
        <v>2</v>
      </c>
      <c r="G477" s="9" t="s">
        <v>1</v>
      </c>
      <c r="H477" s="9"/>
      <c r="I477" s="9"/>
      <c r="J477" s="1348">
        <f>J478</f>
        <v>107.41</v>
      </c>
      <c r="K477" s="30"/>
      <c r="L477" s="29"/>
      <c r="M477" s="28"/>
      <c r="N477" s="1348">
        <f>N478</f>
        <v>2.1949999999999998</v>
      </c>
      <c r="O477" s="1348">
        <f>O478</f>
        <v>0</v>
      </c>
      <c r="P477" s="1349">
        <f>P478</f>
        <v>0</v>
      </c>
    </row>
    <row r="478" spans="1:257" ht="16.899999999999999" hidden="1" customHeight="1" x14ac:dyDescent="0.3">
      <c r="A478" s="32"/>
      <c r="B478" s="12" t="s">
        <v>3</v>
      </c>
      <c r="C478" s="911"/>
      <c r="D478" s="11"/>
      <c r="E478" s="11"/>
      <c r="F478" s="10" t="s">
        <v>2</v>
      </c>
      <c r="G478" s="9" t="s">
        <v>1</v>
      </c>
      <c r="H478" s="9"/>
      <c r="I478" s="9" t="s">
        <v>0</v>
      </c>
      <c r="J478" s="656">
        <f>86.41+21</f>
        <v>107.41</v>
      </c>
      <c r="K478" s="30"/>
      <c r="L478" s="29"/>
      <c r="M478" s="28"/>
      <c r="N478" s="656">
        <v>2.1949999999999998</v>
      </c>
      <c r="O478" s="656"/>
      <c r="P478" s="1310"/>
      <c r="X478" s="1"/>
    </row>
    <row r="479" spans="1:257" ht="37" customHeight="1" x14ac:dyDescent="0.3">
      <c r="A479" s="32"/>
      <c r="B479" s="534" t="s">
        <v>918</v>
      </c>
      <c r="C479" s="1500"/>
      <c r="D479" s="9"/>
      <c r="E479" s="9"/>
      <c r="F479" s="79" t="s">
        <v>919</v>
      </c>
      <c r="G479" s="9"/>
      <c r="H479" s="9"/>
      <c r="I479" s="9"/>
      <c r="J479" s="677"/>
      <c r="K479" s="30"/>
      <c r="L479" s="29"/>
      <c r="M479" s="28"/>
      <c r="N479" s="677"/>
      <c r="O479" s="1482">
        <f>O480</f>
        <v>1200</v>
      </c>
      <c r="P479" s="1483">
        <f>P480</f>
        <v>1200</v>
      </c>
      <c r="X479" s="1"/>
    </row>
    <row r="480" spans="1:257" ht="16.899999999999999" customHeight="1" x14ac:dyDescent="0.3">
      <c r="A480" s="32"/>
      <c r="B480" s="724" t="s">
        <v>16</v>
      </c>
      <c r="C480" s="1500"/>
      <c r="D480" s="9"/>
      <c r="E480" s="9"/>
      <c r="F480" s="77" t="s">
        <v>919</v>
      </c>
      <c r="G480" s="9" t="s">
        <v>1</v>
      </c>
      <c r="H480" s="9"/>
      <c r="I480" s="9"/>
      <c r="J480" s="677"/>
      <c r="K480" s="30"/>
      <c r="L480" s="29"/>
      <c r="M480" s="28"/>
      <c r="N480" s="677"/>
      <c r="O480" s="677">
        <f>O481</f>
        <v>1200</v>
      </c>
      <c r="P480" s="1321">
        <f>P481</f>
        <v>1200</v>
      </c>
      <c r="X480" s="1"/>
    </row>
    <row r="481" spans="1:24" ht="16.899999999999999" customHeight="1" x14ac:dyDescent="0.3">
      <c r="A481" s="32"/>
      <c r="B481" s="724" t="s">
        <v>920</v>
      </c>
      <c r="C481" s="1500"/>
      <c r="D481" s="9"/>
      <c r="E481" s="9"/>
      <c r="F481" s="77" t="s">
        <v>919</v>
      </c>
      <c r="G481" s="9" t="s">
        <v>1</v>
      </c>
      <c r="H481" s="9" t="s">
        <v>534</v>
      </c>
      <c r="I481" s="9" t="s">
        <v>488</v>
      </c>
      <c r="J481" s="677"/>
      <c r="K481" s="30"/>
      <c r="L481" s="29"/>
      <c r="M481" s="28"/>
      <c r="N481" s="677"/>
      <c r="O481" s="677">
        <v>1200</v>
      </c>
      <c r="P481" s="1321">
        <v>1200</v>
      </c>
      <c r="X481" s="1"/>
    </row>
    <row r="482" spans="1:24" ht="23" x14ac:dyDescent="0.3">
      <c r="A482" s="32"/>
      <c r="B482" s="1350" t="s">
        <v>12</v>
      </c>
      <c r="C482" s="31"/>
      <c r="D482" s="9"/>
      <c r="E482" s="9"/>
      <c r="F482" s="34" t="s">
        <v>10</v>
      </c>
      <c r="G482" s="33"/>
      <c r="H482" s="33"/>
      <c r="I482" s="9"/>
      <c r="J482" s="28">
        <f>J483</f>
        <v>1109.2180000000001</v>
      </c>
      <c r="K482" s="30"/>
      <c r="L482" s="29"/>
      <c r="M482" s="28"/>
      <c r="N482" s="28">
        <f t="shared" ref="N482:P483" si="51">N483</f>
        <v>713.495</v>
      </c>
      <c r="O482" s="28">
        <f t="shared" si="51"/>
        <v>947.01</v>
      </c>
      <c r="P482" s="27">
        <f t="shared" si="51"/>
        <v>947.01</v>
      </c>
      <c r="X482" s="1"/>
    </row>
    <row r="483" spans="1:24" ht="16.899999999999999" customHeight="1" x14ac:dyDescent="0.3">
      <c r="A483" s="32"/>
      <c r="B483" s="1312" t="s">
        <v>4</v>
      </c>
      <c r="C483" s="31"/>
      <c r="D483" s="9"/>
      <c r="E483" s="9"/>
      <c r="F483" s="9" t="s">
        <v>10</v>
      </c>
      <c r="G483" s="9" t="s">
        <v>1</v>
      </c>
      <c r="H483" s="9"/>
      <c r="I483" s="9"/>
      <c r="J483" s="28">
        <f>J484</f>
        <v>1109.2180000000001</v>
      </c>
      <c r="K483" s="30"/>
      <c r="L483" s="29"/>
      <c r="M483" s="28"/>
      <c r="N483" s="28">
        <f t="shared" si="51"/>
        <v>713.495</v>
      </c>
      <c r="O483" s="28">
        <f t="shared" si="51"/>
        <v>947.01</v>
      </c>
      <c r="P483" s="27">
        <f t="shared" si="51"/>
        <v>947.01</v>
      </c>
      <c r="X483" s="1"/>
    </row>
    <row r="484" spans="1:24" ht="16.899999999999999" customHeight="1" x14ac:dyDescent="0.3">
      <c r="A484" s="32"/>
      <c r="B484" s="1287" t="s">
        <v>11</v>
      </c>
      <c r="C484" s="31"/>
      <c r="D484" s="9"/>
      <c r="E484" s="9"/>
      <c r="F484" s="9" t="s">
        <v>10</v>
      </c>
      <c r="G484" s="9" t="s">
        <v>1</v>
      </c>
      <c r="H484" s="9" t="s">
        <v>463</v>
      </c>
      <c r="I484" s="9" t="s">
        <v>456</v>
      </c>
      <c r="J484" s="653">
        <v>1109.2180000000001</v>
      </c>
      <c r="K484" s="30"/>
      <c r="L484" s="29"/>
      <c r="M484" s="527"/>
      <c r="N484" s="653">
        <v>713.495</v>
      </c>
      <c r="O484" s="653">
        <v>947.01</v>
      </c>
      <c r="P484" s="1310">
        <v>947.01</v>
      </c>
      <c r="X484" s="1"/>
    </row>
    <row r="485" spans="1:24" ht="26" x14ac:dyDescent="0.3">
      <c r="A485" s="145"/>
      <c r="B485" s="23" t="s">
        <v>8</v>
      </c>
      <c r="C485" s="22"/>
      <c r="D485" s="20"/>
      <c r="E485" s="20"/>
      <c r="F485" s="21" t="s">
        <v>2</v>
      </c>
      <c r="G485" s="20"/>
      <c r="H485" s="20"/>
      <c r="I485" s="20"/>
      <c r="J485" s="1351">
        <f>J486+J488</f>
        <v>600.79999999999995</v>
      </c>
      <c r="K485" s="1352"/>
      <c r="L485" s="1353">
        <f>L486+L488</f>
        <v>605.88300000000004</v>
      </c>
      <c r="M485" s="1353">
        <f>M486+M488</f>
        <v>605.88300000000004</v>
      </c>
      <c r="N485" s="1351">
        <f>N486+N488</f>
        <v>600.79999999999995</v>
      </c>
      <c r="O485" s="1351">
        <f>O486+O488</f>
        <v>755.8</v>
      </c>
      <c r="P485" s="1354">
        <f>P486+P488</f>
        <v>0</v>
      </c>
      <c r="X485" s="1"/>
    </row>
    <row r="486" spans="1:24" ht="13" x14ac:dyDescent="0.3">
      <c r="A486" s="32"/>
      <c r="B486" s="1287" t="s">
        <v>7</v>
      </c>
      <c r="C486" s="911"/>
      <c r="D486" s="11"/>
      <c r="E486" s="11"/>
      <c r="F486" s="10" t="s">
        <v>2</v>
      </c>
      <c r="G486" s="9" t="s">
        <v>5</v>
      </c>
      <c r="H486" s="9"/>
      <c r="I486" s="11"/>
      <c r="J486" s="656">
        <f>J487</f>
        <v>493.39</v>
      </c>
      <c r="K486" s="1355"/>
      <c r="L486" s="656">
        <v>555.32000000000005</v>
      </c>
      <c r="M486" s="656">
        <v>555.32000000000005</v>
      </c>
      <c r="N486" s="656">
        <f>N487</f>
        <v>493.39</v>
      </c>
      <c r="O486" s="656">
        <f>O487</f>
        <v>728.23299999999995</v>
      </c>
      <c r="P486" s="1310">
        <f>P487</f>
        <v>0</v>
      </c>
      <c r="X486" s="1"/>
    </row>
    <row r="487" spans="1:24" ht="13" x14ac:dyDescent="0.3">
      <c r="A487" s="32"/>
      <c r="B487" s="1287" t="s">
        <v>6</v>
      </c>
      <c r="C487" s="911"/>
      <c r="D487" s="11"/>
      <c r="E487" s="11"/>
      <c r="F487" s="10" t="s">
        <v>2</v>
      </c>
      <c r="G487" s="9" t="s">
        <v>5</v>
      </c>
      <c r="H487" s="9" t="s">
        <v>488</v>
      </c>
      <c r="I487" s="9" t="s">
        <v>495</v>
      </c>
      <c r="J487" s="656">
        <f>378.948+114.442</f>
        <v>493.39</v>
      </c>
      <c r="K487" s="1355"/>
      <c r="L487" s="656">
        <v>555.32000000000005</v>
      </c>
      <c r="M487" s="656">
        <v>555.32000000000005</v>
      </c>
      <c r="N487" s="656">
        <f>378.948+114.442</f>
        <v>493.39</v>
      </c>
      <c r="O487" s="656">
        <v>728.23299999999995</v>
      </c>
      <c r="P487" s="1310">
        <v>0</v>
      </c>
      <c r="X487" s="1"/>
    </row>
    <row r="488" spans="1:24" ht="26" x14ac:dyDescent="0.3">
      <c r="A488" s="32"/>
      <c r="B488" s="1312" t="s">
        <v>4</v>
      </c>
      <c r="C488" s="911"/>
      <c r="D488" s="11"/>
      <c r="E488" s="11"/>
      <c r="F488" s="10" t="s">
        <v>2</v>
      </c>
      <c r="G488" s="9" t="s">
        <v>1</v>
      </c>
      <c r="H488" s="9"/>
      <c r="I488" s="9"/>
      <c r="J488" s="1348">
        <f>J489</f>
        <v>107.41</v>
      </c>
      <c r="K488" s="1355"/>
      <c r="L488" s="1355">
        <v>50.563000000000002</v>
      </c>
      <c r="M488" s="1355">
        <v>50.563000000000002</v>
      </c>
      <c r="N488" s="1348">
        <f>N489</f>
        <v>107.41</v>
      </c>
      <c r="O488" s="1348">
        <f>O489</f>
        <v>27.567</v>
      </c>
      <c r="P488" s="1349">
        <f>P489</f>
        <v>0</v>
      </c>
      <c r="X488" s="1"/>
    </row>
    <row r="489" spans="1:24" ht="13.5" thickBot="1" x14ac:dyDescent="0.3">
      <c r="A489" s="32"/>
      <c r="B489" s="12" t="s">
        <v>3</v>
      </c>
      <c r="C489" s="911"/>
      <c r="D489" s="11"/>
      <c r="E489" s="11"/>
      <c r="F489" s="10" t="s">
        <v>2</v>
      </c>
      <c r="G489" s="9" t="s">
        <v>1</v>
      </c>
      <c r="H489" s="9" t="s">
        <v>488</v>
      </c>
      <c r="I489" s="9" t="s">
        <v>495</v>
      </c>
      <c r="J489" s="1356">
        <f>86.41+21</f>
        <v>107.41</v>
      </c>
      <c r="K489" s="1357"/>
      <c r="L489" s="1357">
        <v>50.563000000000002</v>
      </c>
      <c r="M489" s="1357">
        <v>50.563000000000002</v>
      </c>
      <c r="N489" s="1356">
        <f>86.41+21</f>
        <v>107.41</v>
      </c>
      <c r="O489" s="1437">
        <v>27.567</v>
      </c>
      <c r="P489" s="1310">
        <v>0</v>
      </c>
      <c r="X489" s="1"/>
    </row>
    <row r="490" spans="1:24" ht="26" x14ac:dyDescent="0.25">
      <c r="A490" s="1519"/>
      <c r="B490" s="1151" t="s">
        <v>863</v>
      </c>
      <c r="C490" s="22"/>
      <c r="D490" s="20"/>
      <c r="E490" s="20"/>
      <c r="F490" s="1521" t="s">
        <v>965</v>
      </c>
      <c r="G490" s="1523"/>
      <c r="H490" s="142"/>
      <c r="I490" s="142"/>
      <c r="J490" s="1437"/>
      <c r="K490" s="1479"/>
      <c r="L490" s="1479"/>
      <c r="M490" s="1479"/>
      <c r="N490" s="1480"/>
      <c r="O490" s="1437">
        <f>O491</f>
        <v>777.8</v>
      </c>
      <c r="P490" s="1310">
        <f>P491</f>
        <v>777.8</v>
      </c>
      <c r="X490" s="1"/>
    </row>
    <row r="491" spans="1:24" ht="26" x14ac:dyDescent="0.25">
      <c r="A491" s="1478"/>
      <c r="B491" s="1312" t="s">
        <v>4</v>
      </c>
      <c r="C491" s="22"/>
      <c r="D491" s="20"/>
      <c r="E491" s="20"/>
      <c r="F491" s="1520" t="s">
        <v>965</v>
      </c>
      <c r="G491" s="1523" t="s">
        <v>1</v>
      </c>
      <c r="H491" s="142"/>
      <c r="I491" s="142"/>
      <c r="J491" s="1437"/>
      <c r="K491" s="1479"/>
      <c r="L491" s="1479"/>
      <c r="M491" s="1479"/>
      <c r="N491" s="1480"/>
      <c r="O491" s="1437">
        <f>O492</f>
        <v>777.8</v>
      </c>
      <c r="P491" s="1310">
        <f>P492</f>
        <v>777.8</v>
      </c>
      <c r="X491" s="1"/>
    </row>
    <row r="492" spans="1:24" ht="13" x14ac:dyDescent="0.3">
      <c r="A492" s="1478"/>
      <c r="B492" s="1287" t="s">
        <v>60</v>
      </c>
      <c r="C492" s="22"/>
      <c r="D492" s="20"/>
      <c r="E492" s="20"/>
      <c r="F492" s="1520" t="s">
        <v>965</v>
      </c>
      <c r="G492" s="1523" t="s">
        <v>1</v>
      </c>
      <c r="H492" s="142" t="s">
        <v>452</v>
      </c>
      <c r="I492" s="142" t="s">
        <v>539</v>
      </c>
      <c r="J492" s="1437"/>
      <c r="K492" s="1479"/>
      <c r="L492" s="1479"/>
      <c r="M492" s="1479"/>
      <c r="N492" s="1480"/>
      <c r="O492" s="1437">
        <f>388.9+388.9</f>
        <v>777.8</v>
      </c>
      <c r="P492" s="1310">
        <f>388.9+388.9</f>
        <v>777.8</v>
      </c>
      <c r="X492" s="1"/>
    </row>
    <row r="493" spans="1:24" ht="23" hidden="1" x14ac:dyDescent="0.3">
      <c r="A493" s="844"/>
      <c r="B493" s="1476" t="s">
        <v>830</v>
      </c>
      <c r="C493" s="738"/>
      <c r="D493" s="1503"/>
      <c r="E493" s="1503"/>
      <c r="F493" s="1522" t="s">
        <v>831</v>
      </c>
      <c r="G493" s="1523"/>
      <c r="H493" s="142"/>
      <c r="I493" s="1477"/>
      <c r="J493" s="30"/>
      <c r="K493" s="29"/>
      <c r="L493" s="527"/>
      <c r="M493" s="736">
        <f t="shared" ref="M493:P494" si="52">M494</f>
        <v>139.6</v>
      </c>
      <c r="N493" s="1435">
        <f t="shared" si="52"/>
        <v>851</v>
      </c>
      <c r="O493" s="1485">
        <f t="shared" si="52"/>
        <v>0</v>
      </c>
      <c r="P493" s="1347">
        <f t="shared" si="52"/>
        <v>0</v>
      </c>
      <c r="X493" s="1"/>
    </row>
    <row r="494" spans="1:24" ht="13" hidden="1" x14ac:dyDescent="0.3">
      <c r="A494" s="845"/>
      <c r="B494" s="737" t="s">
        <v>256</v>
      </c>
      <c r="C494" s="738"/>
      <c r="D494" s="1503"/>
      <c r="E494" s="1503"/>
      <c r="F494" s="1523" t="s">
        <v>831</v>
      </c>
      <c r="G494" s="1523" t="s">
        <v>255</v>
      </c>
      <c r="H494" s="142"/>
      <c r="I494" s="740"/>
      <c r="J494" s="741"/>
      <c r="K494" s="742"/>
      <c r="L494" s="64"/>
      <c r="M494" s="743">
        <f t="shared" si="52"/>
        <v>139.6</v>
      </c>
      <c r="N494" s="1436">
        <f t="shared" si="52"/>
        <v>851</v>
      </c>
      <c r="O494" s="1484">
        <f t="shared" si="52"/>
        <v>0</v>
      </c>
      <c r="P494" s="1349">
        <f t="shared" si="52"/>
        <v>0</v>
      </c>
    </row>
    <row r="495" spans="1:24" ht="13" hidden="1" x14ac:dyDescent="0.3">
      <c r="A495" s="844"/>
      <c r="B495" s="744" t="s">
        <v>87</v>
      </c>
      <c r="C495" s="735"/>
      <c r="D495" s="77"/>
      <c r="E495" s="77"/>
      <c r="F495" s="1520" t="s">
        <v>831</v>
      </c>
      <c r="G495" s="1520" t="s">
        <v>255</v>
      </c>
      <c r="H495" s="9" t="s">
        <v>453</v>
      </c>
      <c r="I495" s="9" t="s">
        <v>456</v>
      </c>
      <c r="J495" s="30"/>
      <c r="K495" s="29"/>
      <c r="L495" s="28"/>
      <c r="M495" s="745">
        <v>139.6</v>
      </c>
      <c r="N495" s="1436">
        <v>851</v>
      </c>
      <c r="O495" s="1484"/>
      <c r="P495" s="1349"/>
    </row>
    <row r="496" spans="1:24" ht="23" x14ac:dyDescent="0.3">
      <c r="A496" s="844"/>
      <c r="B496" s="1152" t="s">
        <v>830</v>
      </c>
      <c r="C496" s="735"/>
      <c r="D496" s="77"/>
      <c r="E496" s="77"/>
      <c r="F496" s="34" t="s">
        <v>958</v>
      </c>
      <c r="G496" s="9"/>
      <c r="H496" s="9"/>
      <c r="I496" s="9"/>
      <c r="J496" s="1434"/>
      <c r="K496" s="29"/>
      <c r="L496" s="28"/>
      <c r="M496" s="745"/>
      <c r="N496" s="1436">
        <f>N497</f>
        <v>0</v>
      </c>
      <c r="O496" s="1485">
        <f t="shared" ref="O496:P497" si="53">O497</f>
        <v>1953.6</v>
      </c>
      <c r="P496" s="1347">
        <f t="shared" si="53"/>
        <v>1953.6</v>
      </c>
    </row>
    <row r="497" spans="1:16" ht="13" x14ac:dyDescent="0.3">
      <c r="A497" s="844"/>
      <c r="B497" s="737" t="s">
        <v>256</v>
      </c>
      <c r="C497" s="735"/>
      <c r="D497" s="77"/>
      <c r="E497" s="77"/>
      <c r="F497" s="9" t="s">
        <v>958</v>
      </c>
      <c r="G497" s="9" t="s">
        <v>255</v>
      </c>
      <c r="H497" s="9"/>
      <c r="I497" s="9"/>
      <c r="J497" s="1434"/>
      <c r="K497" s="29"/>
      <c r="L497" s="28"/>
      <c r="M497" s="745"/>
      <c r="N497" s="1436">
        <f>N498</f>
        <v>0</v>
      </c>
      <c r="O497" s="1484">
        <f t="shared" si="53"/>
        <v>1953.6</v>
      </c>
      <c r="P497" s="1349">
        <f t="shared" si="53"/>
        <v>1953.6</v>
      </c>
    </row>
    <row r="498" spans="1:16" ht="13.5" thickBot="1" x14ac:dyDescent="0.35">
      <c r="A498" s="1487"/>
      <c r="B498" s="1488" t="s">
        <v>87</v>
      </c>
      <c r="C498" s="1489"/>
      <c r="D498" s="1490"/>
      <c r="E498" s="1490"/>
      <c r="F498" s="25" t="s">
        <v>958</v>
      </c>
      <c r="G498" s="25" t="s">
        <v>255</v>
      </c>
      <c r="H498" s="25" t="s">
        <v>453</v>
      </c>
      <c r="I498" s="25" t="s">
        <v>456</v>
      </c>
      <c r="J498" s="1491"/>
      <c r="K498" s="1492"/>
      <c r="L498" s="1493"/>
      <c r="M498" s="1494"/>
      <c r="N498" s="1495"/>
      <c r="O498" s="1496">
        <f>976.8+976.8</f>
        <v>1953.6</v>
      </c>
      <c r="P498" s="1497">
        <f>976.8+976.8</f>
        <v>1953.6</v>
      </c>
    </row>
  </sheetData>
  <mergeCells count="13">
    <mergeCell ref="A16:P16"/>
    <mergeCell ref="L2:P2"/>
    <mergeCell ref="B12:J12"/>
    <mergeCell ref="A13:P13"/>
    <mergeCell ref="A14:P14"/>
    <mergeCell ref="A15:P15"/>
    <mergeCell ref="G472:J472"/>
    <mergeCell ref="A17:P17"/>
    <mergeCell ref="G127:J127"/>
    <mergeCell ref="G128:J128"/>
    <mergeCell ref="G445:J445"/>
    <mergeCell ref="G446:J446"/>
    <mergeCell ref="G471:J471"/>
  </mergeCells>
  <pageMargins left="0.59055118110236227" right="0.59055118110236227" top="0.31496062992125984" bottom="0.31496062992125984" header="0.31496062992125984" footer="0.31496062992125984"/>
  <pageSetup scale="53" firstPageNumber="55" fitToHeight="3" orientation="portrait" useFirstPageNumber="1" r:id="rId1"/>
  <headerFooter alignWithMargins="0"/>
  <rowBreaks count="1" manualBreakCount="1">
    <brk id="207" max="1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30</vt:i4>
      </vt:variant>
      <vt:variant>
        <vt:lpstr>Именованные диапазоны</vt:lpstr>
      </vt:variant>
      <vt:variant>
        <vt:i4>28</vt:i4>
      </vt:variant>
    </vt:vector>
  </HeadingPairs>
  <TitlesOfParts>
    <vt:vector size="58" baseType="lpstr">
      <vt:lpstr>прил2 дох 2019-2021 </vt:lpstr>
      <vt:lpstr>прил4 дох 2020 21</vt:lpstr>
      <vt:lpstr>прил2 дох 2021-2023..</vt:lpstr>
      <vt:lpstr>прил2 дох 2020-2022.</vt:lpstr>
      <vt:lpstr>прил 5 2021-2023.</vt:lpstr>
      <vt:lpstr>прил 5 2020-2022</vt:lpstr>
      <vt:lpstr>прил 5 2019-2021 </vt:lpstr>
      <vt:lpstr>прил 7 2017 </vt:lpstr>
      <vt:lpstr>прил 6 2020 2021</vt:lpstr>
      <vt:lpstr>прил 8 2018 2019</vt:lpstr>
      <vt:lpstr>прил 6 2019-2021</vt:lpstr>
      <vt:lpstr>прил 9 2017 </vt:lpstr>
      <vt:lpstr>прил 8 2020-21</vt:lpstr>
      <vt:lpstr>прил 10 2018-19</vt:lpstr>
      <vt:lpstr>прил 6 2020-2022</vt:lpstr>
      <vt:lpstr>прил 6 2019-2021.</vt:lpstr>
      <vt:lpstr>прил 6 2021-2023..</vt:lpstr>
      <vt:lpstr>прил8 2021-2022.</vt:lpstr>
      <vt:lpstr>прил 6 2020-2022.</vt:lpstr>
      <vt:lpstr>прил 7 2020-2022</vt:lpstr>
      <vt:lpstr>прил8 2020-2022 </vt:lpstr>
      <vt:lpstr>прил 13 </vt:lpstr>
      <vt:lpstr>прил 10 2020-2022</vt:lpstr>
      <vt:lpstr>прил 10 2020-2022.</vt:lpstr>
      <vt:lpstr>прил 7 2020-2022.</vt:lpstr>
      <vt:lpstr>прил 7 2021-2023.</vt:lpstr>
      <vt:lpstr>прил 7 2021-2023</vt:lpstr>
      <vt:lpstr>прил8 2021-2022</vt:lpstr>
      <vt:lpstr>прил 10 2021-2023..</vt:lpstr>
      <vt:lpstr>прил 6 2019-2021. (2)</vt:lpstr>
      <vt:lpstr>'прил 10 2018-19'!Область_печати</vt:lpstr>
      <vt:lpstr>'прил 10 2020-2022'!Область_печати</vt:lpstr>
      <vt:lpstr>'прил 13 '!Область_печати</vt:lpstr>
      <vt:lpstr>'прил 5 2019-2021 '!Область_печати</vt:lpstr>
      <vt:lpstr>'прил 5 2020-2022'!Область_печати</vt:lpstr>
      <vt:lpstr>'прил 5 2021-2023.'!Область_печати</vt:lpstr>
      <vt:lpstr>'прил 6 2019-2021'!Область_печати</vt:lpstr>
      <vt:lpstr>'прил 6 2019-2021.'!Область_печати</vt:lpstr>
      <vt:lpstr>'прил 6 2019-2021. (2)'!Область_печати</vt:lpstr>
      <vt:lpstr>'прил 6 2020 2021'!Область_печати</vt:lpstr>
      <vt:lpstr>'прил 6 2020-2022'!Область_печати</vt:lpstr>
      <vt:lpstr>'прил 6 2020-2022.'!Область_печати</vt:lpstr>
      <vt:lpstr>'прил 6 2021-2023..'!Область_печати</vt:lpstr>
      <vt:lpstr>'прил 7 2017 '!Область_печати</vt:lpstr>
      <vt:lpstr>'прил 7 2020-2022'!Область_печати</vt:lpstr>
      <vt:lpstr>'прил 7 2020-2022.'!Область_печати</vt:lpstr>
      <vt:lpstr>'прил 7 2021-2023'!Область_печати</vt:lpstr>
      <vt:lpstr>'прил 7 2021-2023.'!Область_печати</vt:lpstr>
      <vt:lpstr>'прил 8 2018 2019'!Область_печати</vt:lpstr>
      <vt:lpstr>'прил 8 2020-21'!Область_печати</vt:lpstr>
      <vt:lpstr>'прил 9 2017 '!Область_печати</vt:lpstr>
      <vt:lpstr>'прил2 дох 2019-2021 '!Область_печати</vt:lpstr>
      <vt:lpstr>'прил2 дох 2020-2022.'!Область_печати</vt:lpstr>
      <vt:lpstr>'прил2 дох 2021-2023..'!Область_печати</vt:lpstr>
      <vt:lpstr>'прил4 дох 2020 21'!Область_печати</vt:lpstr>
      <vt:lpstr>'прил8 2020-2022 '!Область_печати</vt:lpstr>
      <vt:lpstr>'прил8 2021-2022'!Область_печати</vt:lpstr>
      <vt:lpstr>'прил8 2021-2022.'!Область_печати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1</cp:lastModifiedBy>
  <cp:lastPrinted>2021-05-11T06:34:37Z</cp:lastPrinted>
  <dcterms:created xsi:type="dcterms:W3CDTF">2016-11-18T06:27:13Z</dcterms:created>
  <dcterms:modified xsi:type="dcterms:W3CDTF">2021-05-19T08:57:30Z</dcterms:modified>
</cp:coreProperties>
</file>